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DDP.5\FDS-nowe\NABORY_LISTY_FDS\Nabór 2022 na 2023\listy do wysyłki do PRM_po zmianach\"/>
    </mc:Choice>
  </mc:AlternateContent>
  <bookViews>
    <workbookView xWindow="32760" yWindow="32760" windowWidth="28800" windowHeight="11925"/>
  </bookViews>
  <sheets>
    <sheet name="26 - świętokrzyskie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podst'!$A$1:$X$69</definedName>
    <definedName name="_xlnm._FilterDatabase" localSheetId="4" hidden="1">'gm rez'!$A$1:$X$61</definedName>
    <definedName name="_xlnm._FilterDatabase" localSheetId="1" hidden="1">'pow podst'!$A$1:$W$47</definedName>
    <definedName name="_xlnm._FilterDatabase" localSheetId="3" hidden="1">'pow rez'!$A$2:$W$35</definedName>
    <definedName name="_xlnm.Print_Area" localSheetId="0">'26 - świętokrzyskie'!$A$1:$O$36</definedName>
    <definedName name="_xlnm.Print_Area" localSheetId="2">'gm podst'!$A$1:$X$74</definedName>
    <definedName name="_xlnm.Print_Area" localSheetId="4">'gm rez'!$A$1:$X$67</definedName>
    <definedName name="_xlnm.Print_Area" localSheetId="1">'pow podst'!$A$1:$W$52</definedName>
    <definedName name="_xlnm.Print_Area" localSheetId="3">'pow rez'!$A$1:$W$40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L43" i="3" l="1"/>
  <c r="Y4" i="6" l="1"/>
  <c r="Z4" i="6"/>
  <c r="AA4" i="6" s="1"/>
  <c r="AB4" i="6"/>
  <c r="Y5" i="6"/>
  <c r="Z5" i="6"/>
  <c r="AA5" i="6"/>
  <c r="AB5" i="6"/>
  <c r="Y6" i="6"/>
  <c r="Z6" i="6"/>
  <c r="AA6" i="6" s="1"/>
  <c r="AB6" i="6"/>
  <c r="Y7" i="6"/>
  <c r="Z7" i="6"/>
  <c r="AA7" i="6"/>
  <c r="AB7" i="6"/>
  <c r="Y8" i="6"/>
  <c r="Z8" i="6"/>
  <c r="AA8" i="6" s="1"/>
  <c r="AB8" i="6"/>
  <c r="Y9" i="6"/>
  <c r="Z9" i="6"/>
  <c r="AA9" i="6"/>
  <c r="AB9" i="6"/>
  <c r="Y10" i="6"/>
  <c r="Z10" i="6"/>
  <c r="AA10" i="6" s="1"/>
  <c r="AB10" i="6"/>
  <c r="Y11" i="6"/>
  <c r="Z11" i="6"/>
  <c r="AA11" i="6"/>
  <c r="AB11" i="6"/>
  <c r="Y12" i="6"/>
  <c r="Z12" i="6"/>
  <c r="AA12" i="6" s="1"/>
  <c r="AB12" i="6"/>
  <c r="Y13" i="6"/>
  <c r="Z13" i="6"/>
  <c r="AA13" i="6"/>
  <c r="AB13" i="6"/>
  <c r="Y14" i="6"/>
  <c r="Z14" i="6"/>
  <c r="AA14" i="6" s="1"/>
  <c r="AB14" i="6"/>
  <c r="Y15" i="6"/>
  <c r="Z15" i="6"/>
  <c r="AA15" i="6"/>
  <c r="AB15" i="6"/>
  <c r="Y16" i="6"/>
  <c r="Z16" i="6"/>
  <c r="AA16" i="6" s="1"/>
  <c r="AB16" i="6"/>
  <c r="Y17" i="6"/>
  <c r="Z17" i="6"/>
  <c r="AA17" i="6"/>
  <c r="AB17" i="6"/>
  <c r="Y18" i="6"/>
  <c r="Z18" i="6"/>
  <c r="AA18" i="6" s="1"/>
  <c r="AB18" i="6"/>
  <c r="Y19" i="6"/>
  <c r="Z19" i="6"/>
  <c r="AA19" i="6"/>
  <c r="AB19" i="6"/>
  <c r="Y20" i="6"/>
  <c r="Z20" i="6"/>
  <c r="AA20" i="6" s="1"/>
  <c r="AB20" i="6"/>
  <c r="Y21" i="6"/>
  <c r="Z21" i="6"/>
  <c r="AA21" i="6"/>
  <c r="AB21" i="6"/>
  <c r="Y22" i="6"/>
  <c r="Z22" i="6"/>
  <c r="AA22" i="6" s="1"/>
  <c r="AB22" i="6"/>
  <c r="Y23" i="6"/>
  <c r="Z23" i="6"/>
  <c r="AA23" i="6"/>
  <c r="AB23" i="6"/>
  <c r="Y24" i="6"/>
  <c r="Z24" i="6"/>
  <c r="AA24" i="6" s="1"/>
  <c r="AB24" i="6"/>
  <c r="Y25" i="6"/>
  <c r="Z25" i="6"/>
  <c r="AA25" i="6"/>
  <c r="AB25" i="6"/>
  <c r="Y26" i="6"/>
  <c r="Z26" i="6"/>
  <c r="AA26" i="6" s="1"/>
  <c r="AB26" i="6"/>
  <c r="Y27" i="6"/>
  <c r="Z27" i="6"/>
  <c r="AA27" i="6"/>
  <c r="AB27" i="6"/>
  <c r="Y28" i="6"/>
  <c r="Z28" i="6"/>
  <c r="AA28" i="6" s="1"/>
  <c r="AB28" i="6"/>
  <c r="Y29" i="6"/>
  <c r="Z29" i="6"/>
  <c r="AA29" i="6"/>
  <c r="AB29" i="6"/>
  <c r="Y30" i="6"/>
  <c r="Z30" i="6"/>
  <c r="AA30" i="6" s="1"/>
  <c r="AB30" i="6"/>
  <c r="Y31" i="6"/>
  <c r="Z31" i="6"/>
  <c r="AA31" i="6"/>
  <c r="AB31" i="6"/>
  <c r="Y32" i="6"/>
  <c r="Z32" i="6"/>
  <c r="AA32" i="6" s="1"/>
  <c r="AB32" i="6"/>
  <c r="Y33" i="6"/>
  <c r="Z33" i="6"/>
  <c r="AA33" i="6"/>
  <c r="AB33" i="6"/>
  <c r="Y34" i="6"/>
  <c r="Z34" i="6"/>
  <c r="AA34" i="6" s="1"/>
  <c r="AB34" i="6"/>
  <c r="Y35" i="6"/>
  <c r="Z35" i="6"/>
  <c r="AA35" i="6"/>
  <c r="AB35" i="6"/>
  <c r="Y36" i="6"/>
  <c r="Z36" i="6"/>
  <c r="AA36" i="6" s="1"/>
  <c r="AB36" i="6"/>
  <c r="Y37" i="6"/>
  <c r="Z37" i="6"/>
  <c r="AA37" i="6"/>
  <c r="AB37" i="6"/>
  <c r="Y38" i="6"/>
  <c r="Z38" i="6"/>
  <c r="AA38" i="6" s="1"/>
  <c r="AB38" i="6"/>
  <c r="Y39" i="6"/>
  <c r="Z39" i="6"/>
  <c r="AA39" i="6"/>
  <c r="AB39" i="6"/>
  <c r="Y40" i="6"/>
  <c r="Z40" i="6"/>
  <c r="AA40" i="6" s="1"/>
  <c r="AB40" i="6"/>
  <c r="Y41" i="6"/>
  <c r="Z41" i="6"/>
  <c r="AA41" i="6"/>
  <c r="AB41" i="6"/>
  <c r="Y42" i="6"/>
  <c r="Z42" i="6"/>
  <c r="AA42" i="6" s="1"/>
  <c r="AB42" i="6"/>
  <c r="Y43" i="6"/>
  <c r="Z43" i="6"/>
  <c r="AA43" i="6"/>
  <c r="AB43" i="6"/>
  <c r="Y44" i="6"/>
  <c r="Z44" i="6"/>
  <c r="AA44" i="6" s="1"/>
  <c r="AB44" i="6"/>
  <c r="Y45" i="6"/>
  <c r="Z45" i="6"/>
  <c r="AA45" i="6"/>
  <c r="AB45" i="6"/>
  <c r="Y46" i="6"/>
  <c r="Z46" i="6"/>
  <c r="AA46" i="6" s="1"/>
  <c r="AB46" i="6"/>
  <c r="Y47" i="6"/>
  <c r="Z47" i="6"/>
  <c r="AA47" i="6"/>
  <c r="AB47" i="6"/>
  <c r="Y48" i="6"/>
  <c r="Z48" i="6"/>
  <c r="AA48" i="6" s="1"/>
  <c r="AB48" i="6"/>
  <c r="Y49" i="6"/>
  <c r="Z49" i="6"/>
  <c r="AA49" i="6"/>
  <c r="AB49" i="6"/>
  <c r="Y50" i="6"/>
  <c r="Z50" i="6"/>
  <c r="AA50" i="6" s="1"/>
  <c r="AB50" i="6"/>
  <c r="Y51" i="6"/>
  <c r="Z51" i="6"/>
  <c r="AA51" i="6"/>
  <c r="AB51" i="6"/>
  <c r="Y52" i="6"/>
  <c r="Z52" i="6"/>
  <c r="AA52" i="6" s="1"/>
  <c r="AB52" i="6"/>
  <c r="Y53" i="6"/>
  <c r="Z53" i="6"/>
  <c r="AA53" i="6"/>
  <c r="AB53" i="6"/>
  <c r="Y54" i="6"/>
  <c r="Z54" i="6"/>
  <c r="AA54" i="6" s="1"/>
  <c r="AB54" i="6"/>
  <c r="Y55" i="6"/>
  <c r="Z55" i="6"/>
  <c r="AA55" i="6"/>
  <c r="AB55" i="6"/>
  <c r="Y56" i="6"/>
  <c r="Z56" i="6"/>
  <c r="AA56" i="6" s="1"/>
  <c r="AB56" i="6"/>
  <c r="Y57" i="6"/>
  <c r="Z57" i="6"/>
  <c r="AA57" i="6"/>
  <c r="AB57" i="6"/>
  <c r="Y58" i="6"/>
  <c r="Z58" i="6"/>
  <c r="AA58" i="6" s="1"/>
  <c r="AB58" i="6"/>
  <c r="Y59" i="6"/>
  <c r="Z59" i="6"/>
  <c r="AA59" i="6"/>
  <c r="AB59" i="6"/>
  <c r="Y60" i="6"/>
  <c r="Z60" i="6"/>
  <c r="AA60" i="6" s="1"/>
  <c r="AB60" i="6"/>
  <c r="Y61" i="6"/>
  <c r="Z61" i="6"/>
  <c r="AA61" i="6"/>
  <c r="AB61" i="6"/>
  <c r="X8" i="4"/>
  <c r="X4" i="4"/>
  <c r="Y4" i="4"/>
  <c r="Z4" i="4" s="1"/>
  <c r="AA4" i="4"/>
  <c r="X5" i="4"/>
  <c r="Y5" i="4"/>
  <c r="Z5" i="4"/>
  <c r="AA5" i="4"/>
  <c r="X6" i="4"/>
  <c r="Y6" i="4"/>
  <c r="Z6" i="4" s="1"/>
  <c r="AA6" i="4"/>
  <c r="X7" i="4"/>
  <c r="Y7" i="4"/>
  <c r="Z7" i="4"/>
  <c r="AA7" i="4"/>
  <c r="Y8" i="4"/>
  <c r="Z8" i="4" s="1"/>
  <c r="AA8" i="4"/>
  <c r="X9" i="4"/>
  <c r="Y9" i="4"/>
  <c r="Z9" i="4"/>
  <c r="AA9" i="4"/>
  <c r="X10" i="4"/>
  <c r="Y10" i="4"/>
  <c r="Z10" i="4" s="1"/>
  <c r="AA10" i="4"/>
  <c r="X11" i="4"/>
  <c r="Y11" i="4"/>
  <c r="Z11" i="4"/>
  <c r="AA11" i="4"/>
  <c r="X12" i="4"/>
  <c r="Y12" i="4"/>
  <c r="Z12" i="4" s="1"/>
  <c r="AA12" i="4"/>
  <c r="X13" i="4"/>
  <c r="Y13" i="4"/>
  <c r="Z13" i="4"/>
  <c r="AA13" i="4"/>
  <c r="X14" i="4"/>
  <c r="Y14" i="4"/>
  <c r="Z14" i="4" s="1"/>
  <c r="AA14" i="4"/>
  <c r="X15" i="4"/>
  <c r="Y15" i="4"/>
  <c r="Z15" i="4"/>
  <c r="AA15" i="4"/>
  <c r="X16" i="4"/>
  <c r="Y16" i="4"/>
  <c r="Z16" i="4" s="1"/>
  <c r="AA16" i="4"/>
  <c r="X17" i="4"/>
  <c r="Y17" i="4"/>
  <c r="Z17" i="4"/>
  <c r="AA17" i="4"/>
  <c r="X18" i="4"/>
  <c r="Y18" i="4"/>
  <c r="Z18" i="4" s="1"/>
  <c r="AA18" i="4"/>
  <c r="X19" i="4"/>
  <c r="Y19" i="4"/>
  <c r="Z19" i="4"/>
  <c r="AA19" i="4"/>
  <c r="X20" i="4"/>
  <c r="Y20" i="4"/>
  <c r="Z20" i="4" s="1"/>
  <c r="AA20" i="4"/>
  <c r="X21" i="4"/>
  <c r="Y21" i="4"/>
  <c r="Z21" i="4"/>
  <c r="AA21" i="4"/>
  <c r="X22" i="4"/>
  <c r="Y22" i="4"/>
  <c r="Z22" i="4" s="1"/>
  <c r="AA22" i="4"/>
  <c r="X23" i="4"/>
  <c r="Y23" i="4"/>
  <c r="Z23" i="4"/>
  <c r="AA23" i="4"/>
  <c r="X24" i="4"/>
  <c r="Y24" i="4"/>
  <c r="Z24" i="4" s="1"/>
  <c r="AA24" i="4"/>
  <c r="X25" i="4"/>
  <c r="Y25" i="4"/>
  <c r="Z25" i="4"/>
  <c r="AA25" i="4"/>
  <c r="X26" i="4"/>
  <c r="Y26" i="4"/>
  <c r="Z26" i="4" s="1"/>
  <c r="AA26" i="4"/>
  <c r="X27" i="4"/>
  <c r="Y27" i="4"/>
  <c r="Z27" i="4"/>
  <c r="AA27" i="4"/>
  <c r="X28" i="4"/>
  <c r="Y28" i="4"/>
  <c r="Z28" i="4" s="1"/>
  <c r="AA28" i="4"/>
  <c r="X29" i="4"/>
  <c r="Y29" i="4"/>
  <c r="Z29" i="4"/>
  <c r="AA29" i="4"/>
  <c r="X30" i="4"/>
  <c r="Y30" i="4"/>
  <c r="Z30" i="4" s="1"/>
  <c r="AA30" i="4"/>
  <c r="X31" i="4"/>
  <c r="Y31" i="4"/>
  <c r="Z31" i="4"/>
  <c r="AA31" i="4"/>
  <c r="X32" i="4"/>
  <c r="Y32" i="4"/>
  <c r="Z32" i="4" s="1"/>
  <c r="AA32" i="4"/>
  <c r="X33" i="4"/>
  <c r="Y33" i="4"/>
  <c r="Z33" i="4"/>
  <c r="AA33" i="4"/>
  <c r="X34" i="4"/>
  <c r="Y34" i="4"/>
  <c r="Z34" i="4" s="1"/>
  <c r="AA34" i="4"/>
  <c r="X35" i="4"/>
  <c r="Y35" i="4"/>
  <c r="Z35" i="4"/>
  <c r="AA35" i="4"/>
  <c r="Y4" i="5"/>
  <c r="Z4" i="5"/>
  <c r="AA4" i="5" s="1"/>
  <c r="AB4" i="5"/>
  <c r="Y5" i="5"/>
  <c r="Z5" i="5"/>
  <c r="AA5" i="5"/>
  <c r="AB5" i="5"/>
  <c r="Y6" i="5"/>
  <c r="Z6" i="5"/>
  <c r="AA6" i="5" s="1"/>
  <c r="AB6" i="5"/>
  <c r="Y7" i="5"/>
  <c r="Z7" i="5"/>
  <c r="AA7" i="5"/>
  <c r="AB7" i="5"/>
  <c r="Y8" i="5"/>
  <c r="Z8" i="5"/>
  <c r="AA8" i="5" s="1"/>
  <c r="AB8" i="5"/>
  <c r="Y9" i="5"/>
  <c r="Z9" i="5"/>
  <c r="AA9" i="5"/>
  <c r="AB9" i="5"/>
  <c r="Y10" i="5"/>
  <c r="Z10" i="5"/>
  <c r="AA10" i="5" s="1"/>
  <c r="AB10" i="5"/>
  <c r="Y11" i="5"/>
  <c r="Z11" i="5"/>
  <c r="AA11" i="5"/>
  <c r="AB11" i="5"/>
  <c r="Y12" i="5"/>
  <c r="Z12" i="5"/>
  <c r="AA12" i="5" s="1"/>
  <c r="AB12" i="5"/>
  <c r="Y13" i="5"/>
  <c r="Z13" i="5"/>
  <c r="AA13" i="5"/>
  <c r="AB13" i="5"/>
  <c r="Y14" i="5"/>
  <c r="Z14" i="5"/>
  <c r="AA14" i="5" s="1"/>
  <c r="AB14" i="5"/>
  <c r="Y15" i="5"/>
  <c r="Z15" i="5"/>
  <c r="AA15" i="5"/>
  <c r="AB15" i="5"/>
  <c r="Y16" i="5"/>
  <c r="Z16" i="5"/>
  <c r="AA16" i="5" s="1"/>
  <c r="AB16" i="5"/>
  <c r="Y17" i="5"/>
  <c r="Z17" i="5"/>
  <c r="AA17" i="5"/>
  <c r="AB17" i="5"/>
  <c r="Y18" i="5"/>
  <c r="Z18" i="5"/>
  <c r="AA18" i="5" s="1"/>
  <c r="AB18" i="5"/>
  <c r="Y19" i="5"/>
  <c r="Z19" i="5"/>
  <c r="AA19" i="5"/>
  <c r="AB19" i="5"/>
  <c r="Y20" i="5"/>
  <c r="Z20" i="5"/>
  <c r="AA20" i="5" s="1"/>
  <c r="AB20" i="5"/>
  <c r="Y21" i="5"/>
  <c r="Z21" i="5"/>
  <c r="AA21" i="5"/>
  <c r="AB21" i="5"/>
  <c r="Y22" i="5"/>
  <c r="Z22" i="5"/>
  <c r="AA22" i="5" s="1"/>
  <c r="AB22" i="5"/>
  <c r="Y23" i="5"/>
  <c r="Z23" i="5"/>
  <c r="AA23" i="5"/>
  <c r="AB23" i="5"/>
  <c r="Y24" i="5"/>
  <c r="Z24" i="5"/>
  <c r="AA24" i="5" s="1"/>
  <c r="AB24" i="5"/>
  <c r="Y25" i="5"/>
  <c r="Z25" i="5"/>
  <c r="AA25" i="5"/>
  <c r="AB25" i="5"/>
  <c r="Y26" i="5"/>
  <c r="Z26" i="5"/>
  <c r="AA26" i="5" s="1"/>
  <c r="AB26" i="5"/>
  <c r="Y27" i="5"/>
  <c r="Z27" i="5"/>
  <c r="AA27" i="5"/>
  <c r="AB27" i="5"/>
  <c r="Y28" i="5"/>
  <c r="Z28" i="5"/>
  <c r="AA28" i="5" s="1"/>
  <c r="AB28" i="5"/>
  <c r="Y29" i="5"/>
  <c r="Z29" i="5"/>
  <c r="AA29" i="5"/>
  <c r="AB29" i="5"/>
  <c r="Y30" i="5"/>
  <c r="Z30" i="5"/>
  <c r="AA30" i="5" s="1"/>
  <c r="AB30" i="5"/>
  <c r="Y31" i="5"/>
  <c r="Z31" i="5"/>
  <c r="AA31" i="5"/>
  <c r="AB31" i="5"/>
  <c r="Y32" i="5"/>
  <c r="Z32" i="5"/>
  <c r="AA32" i="5" s="1"/>
  <c r="AB32" i="5"/>
  <c r="Y33" i="5"/>
  <c r="Z33" i="5"/>
  <c r="AA33" i="5"/>
  <c r="AB33" i="5"/>
  <c r="Y34" i="5"/>
  <c r="Z34" i="5"/>
  <c r="AA34" i="5" s="1"/>
  <c r="AB34" i="5"/>
  <c r="Y35" i="5"/>
  <c r="Z35" i="5"/>
  <c r="AA35" i="5"/>
  <c r="AB35" i="5"/>
  <c r="Y36" i="5"/>
  <c r="Z36" i="5"/>
  <c r="AA36" i="5" s="1"/>
  <c r="AB36" i="5"/>
  <c r="Y37" i="5"/>
  <c r="Z37" i="5"/>
  <c r="AA37" i="5"/>
  <c r="AB37" i="5"/>
  <c r="Y38" i="5"/>
  <c r="Z38" i="5"/>
  <c r="AA38" i="5" s="1"/>
  <c r="AB38" i="5"/>
  <c r="Y39" i="5"/>
  <c r="Z39" i="5"/>
  <c r="AA39" i="5"/>
  <c r="AB39" i="5"/>
  <c r="Y40" i="5"/>
  <c r="Z40" i="5"/>
  <c r="AA40" i="5" s="1"/>
  <c r="AB40" i="5"/>
  <c r="Y41" i="5"/>
  <c r="Z41" i="5"/>
  <c r="AA41" i="5"/>
  <c r="AB41" i="5"/>
  <c r="Y42" i="5"/>
  <c r="Z42" i="5"/>
  <c r="AA42" i="5" s="1"/>
  <c r="AB42" i="5"/>
  <c r="Y43" i="5"/>
  <c r="Z43" i="5"/>
  <c r="AA43" i="5"/>
  <c r="AB43" i="5"/>
  <c r="Y44" i="5"/>
  <c r="Z44" i="5"/>
  <c r="AA44" i="5" s="1"/>
  <c r="AB44" i="5"/>
  <c r="Y45" i="5"/>
  <c r="Z45" i="5"/>
  <c r="AA45" i="5"/>
  <c r="AB45" i="5"/>
  <c r="Y46" i="5"/>
  <c r="Z46" i="5"/>
  <c r="AA46" i="5" s="1"/>
  <c r="AB46" i="5"/>
  <c r="Y47" i="5"/>
  <c r="Z47" i="5"/>
  <c r="AA47" i="5"/>
  <c r="AB47" i="5"/>
  <c r="Y48" i="5"/>
  <c r="Z48" i="5"/>
  <c r="AA48" i="5" s="1"/>
  <c r="AB48" i="5"/>
  <c r="Y49" i="5"/>
  <c r="Z49" i="5"/>
  <c r="AA49" i="5"/>
  <c r="AB49" i="5"/>
  <c r="Y50" i="5"/>
  <c r="Z50" i="5"/>
  <c r="AA50" i="5" s="1"/>
  <c r="AB50" i="5"/>
  <c r="Y51" i="5"/>
  <c r="Z51" i="5"/>
  <c r="AA51" i="5"/>
  <c r="AB51" i="5"/>
  <c r="Y52" i="5"/>
  <c r="Z52" i="5"/>
  <c r="AA52" i="5" s="1"/>
  <c r="AB52" i="5"/>
  <c r="Y53" i="5"/>
  <c r="Z53" i="5"/>
  <c r="AA53" i="5"/>
  <c r="AB53" i="5"/>
  <c r="Y54" i="5"/>
  <c r="Z54" i="5"/>
  <c r="AA54" i="5" s="1"/>
  <c r="AB54" i="5"/>
  <c r="Y55" i="5"/>
  <c r="Z55" i="5"/>
  <c r="AA55" i="5"/>
  <c r="AB55" i="5"/>
  <c r="Y56" i="5"/>
  <c r="Z56" i="5"/>
  <c r="AA56" i="5" s="1"/>
  <c r="AB56" i="5"/>
  <c r="Y57" i="5"/>
  <c r="Z57" i="5"/>
  <c r="AA57" i="5"/>
  <c r="AB57" i="5"/>
  <c r="Y58" i="5"/>
  <c r="Z58" i="5"/>
  <c r="AA58" i="5" s="1"/>
  <c r="AB58" i="5"/>
  <c r="Y59" i="5"/>
  <c r="Z59" i="5"/>
  <c r="AA59" i="5"/>
  <c r="AB59" i="5"/>
  <c r="Y60" i="5"/>
  <c r="Z60" i="5"/>
  <c r="AA60" i="5" s="1"/>
  <c r="AB60" i="5"/>
  <c r="Y61" i="5"/>
  <c r="Z61" i="5"/>
  <c r="AA61" i="5" s="1"/>
  <c r="AB61" i="5"/>
  <c r="Y62" i="5"/>
  <c r="Z62" i="5"/>
  <c r="AA62" i="5" s="1"/>
  <c r="AB62" i="5"/>
  <c r="Y63" i="5"/>
  <c r="Z63" i="5"/>
  <c r="AA63" i="5"/>
  <c r="AB63" i="5"/>
  <c r="Y64" i="5"/>
  <c r="Z64" i="5"/>
  <c r="AA64" i="5" s="1"/>
  <c r="AB64" i="5"/>
  <c r="Y65" i="5"/>
  <c r="Z65" i="5"/>
  <c r="AA65" i="5"/>
  <c r="AB65" i="5"/>
  <c r="Y66" i="5"/>
  <c r="Z66" i="5"/>
  <c r="AA66" i="5" s="1"/>
  <c r="AB66" i="5"/>
  <c r="Y67" i="5"/>
  <c r="Z67" i="5"/>
  <c r="AA67" i="5"/>
  <c r="AB67" i="5"/>
  <c r="Y68" i="5"/>
  <c r="Z68" i="5"/>
  <c r="AA68" i="5" s="1"/>
  <c r="AB68" i="5"/>
  <c r="Y69" i="5"/>
  <c r="Z69" i="5"/>
  <c r="AA69" i="5"/>
  <c r="AB69" i="5"/>
  <c r="X4" i="3"/>
  <c r="Y4" i="3"/>
  <c r="Z4" i="3"/>
  <c r="AA4" i="3"/>
  <c r="X5" i="3"/>
  <c r="Y5" i="3"/>
  <c r="Z5" i="3"/>
  <c r="AA5" i="3"/>
  <c r="X6" i="3"/>
  <c r="Y6" i="3"/>
  <c r="Z6" i="3"/>
  <c r="AA6" i="3"/>
  <c r="X7" i="3"/>
  <c r="Y7" i="3"/>
  <c r="Z7" i="3"/>
  <c r="AA7" i="3"/>
  <c r="X8" i="3"/>
  <c r="Y8" i="3"/>
  <c r="Z8" i="3"/>
  <c r="AA8" i="3"/>
  <c r="X9" i="3"/>
  <c r="Y9" i="3"/>
  <c r="Z9" i="3"/>
  <c r="AA9" i="3"/>
  <c r="X10" i="3"/>
  <c r="Y10" i="3"/>
  <c r="Z10" i="3"/>
  <c r="AA10" i="3"/>
  <c r="X11" i="3"/>
  <c r="Y11" i="3"/>
  <c r="Z11" i="3"/>
  <c r="AA11" i="3"/>
  <c r="X12" i="3"/>
  <c r="Y12" i="3"/>
  <c r="Z12" i="3"/>
  <c r="AA12" i="3"/>
  <c r="X13" i="3"/>
  <c r="Y13" i="3"/>
  <c r="Z13" i="3"/>
  <c r="AA13" i="3"/>
  <c r="X14" i="3"/>
  <c r="Y14" i="3"/>
  <c r="Z14" i="3"/>
  <c r="AA14" i="3"/>
  <c r="X15" i="3"/>
  <c r="Y15" i="3"/>
  <c r="Z15" i="3"/>
  <c r="AA15" i="3"/>
  <c r="X16" i="3"/>
  <c r="Y16" i="3"/>
  <c r="Z16" i="3"/>
  <c r="AA16" i="3"/>
  <c r="X17" i="3"/>
  <c r="Y17" i="3"/>
  <c r="Z17" i="3"/>
  <c r="AA17" i="3"/>
  <c r="X18" i="3"/>
  <c r="Y18" i="3"/>
  <c r="Z18" i="3"/>
  <c r="AA18" i="3"/>
  <c r="X19" i="3"/>
  <c r="Y19" i="3"/>
  <c r="Z19" i="3"/>
  <c r="AA19" i="3"/>
  <c r="X20" i="3"/>
  <c r="Y20" i="3"/>
  <c r="Z20" i="3"/>
  <c r="AA20" i="3"/>
  <c r="X21" i="3"/>
  <c r="Y21" i="3"/>
  <c r="Z21" i="3"/>
  <c r="AA21" i="3"/>
  <c r="X22" i="3"/>
  <c r="Y22" i="3"/>
  <c r="Z22" i="3"/>
  <c r="AA22" i="3"/>
  <c r="X23" i="3"/>
  <c r="Y23" i="3"/>
  <c r="Z23" i="3"/>
  <c r="AA23" i="3"/>
  <c r="X24" i="3"/>
  <c r="Y24" i="3"/>
  <c r="Z24" i="3"/>
  <c r="AA24" i="3"/>
  <c r="X25" i="3"/>
  <c r="Y25" i="3"/>
  <c r="Z25" i="3"/>
  <c r="AA25" i="3"/>
  <c r="X26" i="3"/>
  <c r="Y26" i="3"/>
  <c r="Z26" i="3"/>
  <c r="AA26" i="3"/>
  <c r="X27" i="3"/>
  <c r="Y27" i="3"/>
  <c r="Z27" i="3"/>
  <c r="AA27" i="3"/>
  <c r="X28" i="3"/>
  <c r="Y28" i="3"/>
  <c r="Z28" i="3"/>
  <c r="AA28" i="3"/>
  <c r="X29" i="3"/>
  <c r="Y29" i="3"/>
  <c r="Z29" i="3"/>
  <c r="AA29" i="3"/>
  <c r="X30" i="3"/>
  <c r="Y30" i="3"/>
  <c r="Z30" i="3"/>
  <c r="AA30" i="3"/>
  <c r="X31" i="3"/>
  <c r="Y31" i="3"/>
  <c r="Z31" i="3"/>
  <c r="AA31" i="3"/>
  <c r="X32" i="3"/>
  <c r="Y32" i="3"/>
  <c r="Z32" i="3"/>
  <c r="AA32" i="3"/>
  <c r="X33" i="3"/>
  <c r="Y33" i="3"/>
  <c r="Z33" i="3"/>
  <c r="AA33" i="3"/>
  <c r="X34" i="3"/>
  <c r="Y34" i="3"/>
  <c r="Z34" i="3"/>
  <c r="AA34" i="3"/>
  <c r="X35" i="3"/>
  <c r="Y35" i="3"/>
  <c r="Z35" i="3"/>
  <c r="AA35" i="3"/>
  <c r="X36" i="3"/>
  <c r="Y36" i="3"/>
  <c r="Z36" i="3" s="1"/>
  <c r="AA36" i="3"/>
  <c r="X37" i="3"/>
  <c r="Y37" i="3"/>
  <c r="Z37" i="3"/>
  <c r="AA37" i="3"/>
  <c r="X38" i="3"/>
  <c r="Y38" i="3"/>
  <c r="Z38" i="3" s="1"/>
  <c r="AA38" i="3"/>
  <c r="X39" i="3"/>
  <c r="Y39" i="3"/>
  <c r="Z39" i="3"/>
  <c r="AA39" i="3"/>
  <c r="X40" i="3"/>
  <c r="Y40" i="3"/>
  <c r="Z40" i="3" s="1"/>
  <c r="AA40" i="3"/>
  <c r="X41" i="3"/>
  <c r="Y41" i="3"/>
  <c r="Z41" i="3"/>
  <c r="AA41" i="3"/>
  <c r="X42" i="3"/>
  <c r="Y42" i="3"/>
  <c r="Z42" i="3" s="1"/>
  <c r="AA42" i="3"/>
  <c r="X43" i="3"/>
  <c r="Y43" i="3"/>
  <c r="Z43" i="3"/>
  <c r="AA43" i="3"/>
  <c r="X44" i="3"/>
  <c r="Y44" i="3"/>
  <c r="Z44" i="3" s="1"/>
  <c r="AA44" i="3"/>
  <c r="X45" i="3"/>
  <c r="Y45" i="3"/>
  <c r="Z45" i="3"/>
  <c r="AA45" i="3"/>
  <c r="X46" i="3"/>
  <c r="Y46" i="3"/>
  <c r="Z46" i="3" s="1"/>
  <c r="AA46" i="3"/>
  <c r="X47" i="3"/>
  <c r="Y47" i="3"/>
  <c r="Z47" i="3"/>
  <c r="AA47" i="3"/>
  <c r="AB3" i="6"/>
  <c r="Z3" i="6"/>
  <c r="AA3" i="6" s="1"/>
  <c r="Y3" i="6"/>
  <c r="AA3" i="4"/>
  <c r="Y3" i="4"/>
  <c r="Z3" i="4" s="1"/>
  <c r="X3" i="4"/>
  <c r="AB3" i="5"/>
  <c r="Z3" i="5"/>
  <c r="AA3" i="5" s="1"/>
  <c r="Y3" i="5"/>
  <c r="AA3" i="3"/>
  <c r="Y3" i="3"/>
  <c r="Z3" i="3" s="1"/>
  <c r="X3" i="3"/>
  <c r="K43" i="3" l="1"/>
  <c r="J46" i="3"/>
  <c r="Q16" i="7"/>
  <c r="Q17" i="7"/>
  <c r="Q18" i="7"/>
  <c r="Q19" i="7"/>
  <c r="Q24" i="7"/>
  <c r="Q25" i="7"/>
  <c r="Q26" i="7"/>
  <c r="Q27" i="7"/>
  <c r="Q28" i="7"/>
  <c r="Q30" i="7"/>
  <c r="Q31" i="7"/>
  <c r="P16" i="7"/>
  <c r="P17" i="7"/>
  <c r="P18" i="7"/>
  <c r="P19" i="7"/>
  <c r="P24" i="7"/>
  <c r="P25" i="7"/>
  <c r="P26" i="7"/>
  <c r="P27" i="7"/>
  <c r="P28" i="7"/>
  <c r="P29" i="7"/>
  <c r="P30" i="7"/>
  <c r="P31" i="7"/>
  <c r="P32" i="7"/>
  <c r="S45" i="3" l="1"/>
  <c r="R45" i="3"/>
  <c r="J44" i="3"/>
  <c r="H44" i="3"/>
  <c r="K42" i="3"/>
  <c r="R42" i="3" l="1"/>
  <c r="L42" i="3" l="1"/>
  <c r="S57" i="6"/>
  <c r="M57" i="6"/>
  <c r="S56" i="6"/>
  <c r="M56" i="6"/>
  <c r="L55" i="6"/>
  <c r="M55" i="6" s="1"/>
  <c r="S55" i="6"/>
  <c r="O24" i="7"/>
  <c r="O30" i="7" s="1"/>
  <c r="O26" i="7"/>
  <c r="N24" i="7"/>
  <c r="R32" i="4"/>
  <c r="K32" i="4"/>
  <c r="L32" i="4"/>
  <c r="L3" i="4"/>
  <c r="L65" i="5"/>
  <c r="M65" i="5"/>
  <c r="W45" i="3"/>
  <c r="W44" i="3"/>
  <c r="O15" i="7"/>
  <c r="O23" i="7" s="1"/>
  <c r="V44" i="3"/>
  <c r="M14" i="7"/>
  <c r="M22" i="7" s="1"/>
  <c r="U46" i="3"/>
  <c r="M15" i="7"/>
  <c r="M23" i="7" s="1"/>
  <c r="N13" i="7"/>
  <c r="N21" i="7" s="1"/>
  <c r="N34" i="7" s="1"/>
  <c r="R43" i="3"/>
  <c r="S57" i="5"/>
  <c r="M57" i="5"/>
  <c r="L13" i="5"/>
  <c r="M13" i="5" s="1"/>
  <c r="O25" i="7"/>
  <c r="X61" i="6"/>
  <c r="X60" i="6"/>
  <c r="W61" i="6"/>
  <c r="N28" i="7"/>
  <c r="V33" i="4"/>
  <c r="V35" i="4"/>
  <c r="K4" i="4"/>
  <c r="R4" i="4" s="1"/>
  <c r="O14" i="7"/>
  <c r="O22" i="7" s="1"/>
  <c r="W68" i="5"/>
  <c r="W69" i="5"/>
  <c r="X68" i="5"/>
  <c r="X69" i="5"/>
  <c r="O18" i="7"/>
  <c r="X67" i="5"/>
  <c r="U45" i="3"/>
  <c r="L54" i="6"/>
  <c r="L60" i="6"/>
  <c r="S65" i="5"/>
  <c r="L63" i="5"/>
  <c r="S63" i="5" s="1"/>
  <c r="H35" i="4"/>
  <c r="H34" i="4"/>
  <c r="H33" i="4"/>
  <c r="O35" i="4"/>
  <c r="P35" i="4"/>
  <c r="Q35" i="4"/>
  <c r="R35" i="4"/>
  <c r="S35" i="4"/>
  <c r="T35" i="4"/>
  <c r="U35" i="4"/>
  <c r="N35" i="4"/>
  <c r="O34" i="4"/>
  <c r="P34" i="4"/>
  <c r="Q34" i="4"/>
  <c r="S34" i="4"/>
  <c r="T34" i="4"/>
  <c r="U34" i="4"/>
  <c r="N34" i="4"/>
  <c r="O33" i="4"/>
  <c r="P33" i="4"/>
  <c r="Q33" i="4"/>
  <c r="S33" i="4"/>
  <c r="T33" i="4"/>
  <c r="U33" i="4"/>
  <c r="N33" i="4"/>
  <c r="K35" i="4"/>
  <c r="J34" i="4"/>
  <c r="J35" i="4"/>
  <c r="J33" i="4"/>
  <c r="K33" i="3"/>
  <c r="R33" i="3" s="1"/>
  <c r="K9" i="4"/>
  <c r="K34" i="4" s="1"/>
  <c r="K37" i="3"/>
  <c r="L37" i="3" s="1"/>
  <c r="R26" i="3"/>
  <c r="L26" i="3"/>
  <c r="L25" i="3"/>
  <c r="R25" i="3"/>
  <c r="L62" i="5"/>
  <c r="S62" i="5" s="1"/>
  <c r="M53" i="5"/>
  <c r="L30" i="4"/>
  <c r="R31" i="4"/>
  <c r="R29" i="4"/>
  <c r="L31" i="4"/>
  <c r="R30" i="4"/>
  <c r="L29" i="4"/>
  <c r="K40" i="3"/>
  <c r="L40" i="3" s="1"/>
  <c r="L39" i="3"/>
  <c r="L23" i="4"/>
  <c r="L24" i="4"/>
  <c r="L25" i="4"/>
  <c r="L26" i="4"/>
  <c r="L27" i="4"/>
  <c r="L28" i="4"/>
  <c r="L12" i="4"/>
  <c r="L13" i="4"/>
  <c r="L14" i="4"/>
  <c r="L15" i="4"/>
  <c r="L16" i="4"/>
  <c r="L17" i="4"/>
  <c r="L18" i="4"/>
  <c r="L19" i="4"/>
  <c r="L20" i="4"/>
  <c r="L21" i="4"/>
  <c r="L22" i="4"/>
  <c r="L8" i="4"/>
  <c r="L7" i="4"/>
  <c r="L10" i="4"/>
  <c r="L11" i="4"/>
  <c r="L5" i="4"/>
  <c r="L6" i="4"/>
  <c r="L31" i="3"/>
  <c r="L32" i="3"/>
  <c r="L21" i="3"/>
  <c r="L16" i="3"/>
  <c r="L18" i="3"/>
  <c r="L12" i="3"/>
  <c r="L9" i="3"/>
  <c r="R10" i="3"/>
  <c r="L10" i="3"/>
  <c r="M6" i="5"/>
  <c r="M7" i="6"/>
  <c r="M61" i="6" s="1"/>
  <c r="M48" i="6"/>
  <c r="M39" i="6"/>
  <c r="S39" i="6"/>
  <c r="M3" i="6"/>
  <c r="S28" i="6"/>
  <c r="M28" i="6"/>
  <c r="S25" i="6"/>
  <c r="S48" i="6"/>
  <c r="S22" i="6"/>
  <c r="S21" i="6"/>
  <c r="S17" i="6"/>
  <c r="S59" i="6" s="1"/>
  <c r="S9" i="6"/>
  <c r="S61" i="5"/>
  <c r="S58" i="5"/>
  <c r="S54" i="5"/>
  <c r="S47" i="5"/>
  <c r="S48" i="5"/>
  <c r="S51" i="5"/>
  <c r="S17" i="5"/>
  <c r="S68" i="5" s="1"/>
  <c r="L17" i="5"/>
  <c r="S16" i="5"/>
  <c r="S69" i="5"/>
  <c r="L16" i="5"/>
  <c r="F29" i="7"/>
  <c r="F27" i="7"/>
  <c r="K29" i="7"/>
  <c r="E29" i="7"/>
  <c r="L45" i="5"/>
  <c r="M45" i="5"/>
  <c r="V67" i="5"/>
  <c r="M19" i="7"/>
  <c r="S16" i="6"/>
  <c r="S15" i="6"/>
  <c r="J27" i="7" s="1"/>
  <c r="M46" i="5"/>
  <c r="D18" i="7" s="1"/>
  <c r="K8" i="3"/>
  <c r="K23" i="3"/>
  <c r="L23" i="3" s="1"/>
  <c r="K11" i="3"/>
  <c r="E15" i="7" s="1"/>
  <c r="K13" i="3"/>
  <c r="L13" i="3" s="1"/>
  <c r="K14" i="3"/>
  <c r="K15" i="3"/>
  <c r="L15" i="3" s="1"/>
  <c r="K17" i="3"/>
  <c r="L17" i="3" s="1"/>
  <c r="K19" i="3"/>
  <c r="L19" i="3" s="1"/>
  <c r="K20" i="3"/>
  <c r="L20" i="3" s="1"/>
  <c r="K22" i="3"/>
  <c r="L22" i="3" s="1"/>
  <c r="K24" i="3"/>
  <c r="L24" i="3" s="1"/>
  <c r="K27" i="3"/>
  <c r="L27" i="3" s="1"/>
  <c r="K28" i="3"/>
  <c r="L28" i="3"/>
  <c r="K29" i="3"/>
  <c r="L29" i="3" s="1"/>
  <c r="K30" i="3"/>
  <c r="L30" i="3" s="1"/>
  <c r="K34" i="3"/>
  <c r="L34" i="3" s="1"/>
  <c r="K35" i="3"/>
  <c r="L35" i="3"/>
  <c r="K36" i="3"/>
  <c r="L36" i="3" s="1"/>
  <c r="K45" i="3"/>
  <c r="T68" i="5"/>
  <c r="T67" i="5"/>
  <c r="T66" i="5"/>
  <c r="S67" i="5"/>
  <c r="R69" i="5"/>
  <c r="R68" i="5"/>
  <c r="R67" i="5"/>
  <c r="R66" i="5"/>
  <c r="Q69" i="5"/>
  <c r="Q68" i="5"/>
  <c r="Q67" i="5"/>
  <c r="Q66" i="5"/>
  <c r="P69" i="5"/>
  <c r="P68" i="5"/>
  <c r="P67" i="5"/>
  <c r="P66" i="5"/>
  <c r="L67" i="5"/>
  <c r="K69" i="5"/>
  <c r="K68" i="5"/>
  <c r="K67" i="5"/>
  <c r="K66" i="5"/>
  <c r="I69" i="5"/>
  <c r="I68" i="5"/>
  <c r="I67" i="5"/>
  <c r="I66" i="5"/>
  <c r="S47" i="3"/>
  <c r="S46" i="3"/>
  <c r="S44" i="3"/>
  <c r="R47" i="3"/>
  <c r="Q47" i="3"/>
  <c r="Q46" i="3"/>
  <c r="Q45" i="3"/>
  <c r="Q44" i="3"/>
  <c r="P47" i="3"/>
  <c r="P46" i="3"/>
  <c r="P45" i="3"/>
  <c r="P44" i="3"/>
  <c r="O47" i="3"/>
  <c r="O46" i="3"/>
  <c r="O45" i="3"/>
  <c r="O44" i="3"/>
  <c r="L45" i="3"/>
  <c r="J47" i="3"/>
  <c r="J45" i="3"/>
  <c r="H47" i="3"/>
  <c r="H46" i="3"/>
  <c r="H45" i="3"/>
  <c r="U66" i="5"/>
  <c r="O67" i="5"/>
  <c r="U67" i="5"/>
  <c r="W67" i="5"/>
  <c r="U68" i="5"/>
  <c r="V68" i="5"/>
  <c r="T69" i="5"/>
  <c r="U69" i="5"/>
  <c r="N29" i="7"/>
  <c r="M29" i="7"/>
  <c r="M28" i="7"/>
  <c r="M27" i="7"/>
  <c r="L29" i="7"/>
  <c r="L28" i="7"/>
  <c r="L27" i="7"/>
  <c r="I29" i="7"/>
  <c r="H28" i="7"/>
  <c r="H27" i="7"/>
  <c r="G29" i="7"/>
  <c r="G28" i="7"/>
  <c r="G27" i="7"/>
  <c r="C29" i="7"/>
  <c r="C28" i="7"/>
  <c r="C27" i="7"/>
  <c r="B29" i="7"/>
  <c r="B28" i="7"/>
  <c r="U61" i="6"/>
  <c r="V61" i="6"/>
  <c r="U60" i="6"/>
  <c r="V60" i="6"/>
  <c r="U59" i="6"/>
  <c r="V59" i="6"/>
  <c r="R61" i="6"/>
  <c r="Q61" i="6"/>
  <c r="Q60" i="6"/>
  <c r="H29" i="7"/>
  <c r="Q29" i="7" s="1"/>
  <c r="Q59" i="6"/>
  <c r="P61" i="6"/>
  <c r="P60" i="6"/>
  <c r="P59" i="6"/>
  <c r="K61" i="6"/>
  <c r="K60" i="6"/>
  <c r="K59" i="6"/>
  <c r="I61" i="6"/>
  <c r="I60" i="6"/>
  <c r="I59" i="6"/>
  <c r="I24" i="7"/>
  <c r="I30" i="7" s="1"/>
  <c r="B17" i="7"/>
  <c r="B16" i="7"/>
  <c r="M26" i="7"/>
  <c r="M32" i="7" s="1"/>
  <c r="L26" i="7"/>
  <c r="L32" i="7" s="1"/>
  <c r="K26" i="7"/>
  <c r="K32" i="7" s="1"/>
  <c r="J26" i="7"/>
  <c r="J32" i="7" s="1"/>
  <c r="I26" i="7"/>
  <c r="I32" i="7" s="1"/>
  <c r="G26" i="7"/>
  <c r="G32" i="7" s="1"/>
  <c r="F26" i="7"/>
  <c r="M25" i="7"/>
  <c r="L25" i="7"/>
  <c r="L31" i="7" s="1"/>
  <c r="K25" i="7"/>
  <c r="K31" i="7" s="1"/>
  <c r="G25" i="7"/>
  <c r="G31" i="7" s="1"/>
  <c r="F25" i="7"/>
  <c r="G24" i="7"/>
  <c r="G30" i="7" s="1"/>
  <c r="K24" i="7"/>
  <c r="K30" i="7" s="1"/>
  <c r="L24" i="7"/>
  <c r="L30" i="7" s="1"/>
  <c r="M24" i="7"/>
  <c r="F24" i="7"/>
  <c r="F30" i="7" s="1"/>
  <c r="C26" i="7"/>
  <c r="C25" i="7"/>
  <c r="B26" i="7"/>
  <c r="B32" i="7" s="1"/>
  <c r="B25" i="7"/>
  <c r="B31" i="7" s="1"/>
  <c r="B24" i="7"/>
  <c r="B18" i="7"/>
  <c r="B19" i="7"/>
  <c r="B13" i="7"/>
  <c r="B21" i="7" s="1"/>
  <c r="B34" i="7" s="1"/>
  <c r="O19" i="7"/>
  <c r="L19" i="7"/>
  <c r="K19" i="7"/>
  <c r="I19" i="7"/>
  <c r="H19" i="7"/>
  <c r="G19" i="7"/>
  <c r="L18" i="7"/>
  <c r="L17" i="7"/>
  <c r="K17" i="7"/>
  <c r="J17" i="7"/>
  <c r="H17" i="7"/>
  <c r="F17" i="7"/>
  <c r="C17" i="7"/>
  <c r="K15" i="7"/>
  <c r="K23" i="7" s="1"/>
  <c r="I13" i="7"/>
  <c r="C16" i="7"/>
  <c r="L16" i="7"/>
  <c r="G17" i="7"/>
  <c r="G18" i="7"/>
  <c r="G16" i="7"/>
  <c r="C19" i="7"/>
  <c r="V45" i="3"/>
  <c r="H26" i="7"/>
  <c r="H25" i="7"/>
  <c r="H31" i="7" s="1"/>
  <c r="H24" i="7"/>
  <c r="H30" i="7" s="1"/>
  <c r="H16" i="7"/>
  <c r="H18" i="7"/>
  <c r="H12" i="7"/>
  <c r="H20" i="7" s="1"/>
  <c r="C24" i="7"/>
  <c r="C30" i="7" s="1"/>
  <c r="R60" i="6"/>
  <c r="I28" i="7"/>
  <c r="I18" i="7"/>
  <c r="I27" i="7"/>
  <c r="R59" i="6"/>
  <c r="I12" i="7"/>
  <c r="I20" i="7" s="1"/>
  <c r="I33" i="7" s="1"/>
  <c r="I25" i="7"/>
  <c r="I31" i="7" s="1"/>
  <c r="I16" i="7"/>
  <c r="I17" i="7"/>
  <c r="C12" i="7"/>
  <c r="K14" i="7"/>
  <c r="K22" i="7" s="1"/>
  <c r="K12" i="7"/>
  <c r="K20" i="7" s="1"/>
  <c r="E17" i="7"/>
  <c r="O69" i="5"/>
  <c r="F19" i="7"/>
  <c r="F16" i="7"/>
  <c r="C18" i="7"/>
  <c r="O68" i="5"/>
  <c r="O66" i="5"/>
  <c r="F18" i="7"/>
  <c r="K18" i="7"/>
  <c r="K16" i="7"/>
  <c r="D13" i="7"/>
  <c r="C14" i="7"/>
  <c r="I14" i="7"/>
  <c r="I22" i="7" s="1"/>
  <c r="N45" i="3"/>
  <c r="L13" i="7"/>
  <c r="E13" i="7"/>
  <c r="H14" i="7"/>
  <c r="H22" i="7" s="1"/>
  <c r="H13" i="7"/>
  <c r="H21" i="7" s="1"/>
  <c r="H34" i="7" s="1"/>
  <c r="J15" i="7"/>
  <c r="J23" i="7" s="1"/>
  <c r="B15" i="7"/>
  <c r="B23" i="7" s="1"/>
  <c r="H15" i="7"/>
  <c r="H23" i="7" s="1"/>
  <c r="O13" i="7"/>
  <c r="O21" i="7" s="1"/>
  <c r="O34" i="7" s="1"/>
  <c r="K13" i="7"/>
  <c r="K21" i="7" s="1"/>
  <c r="K34" i="7" s="1"/>
  <c r="G13" i="7"/>
  <c r="G21" i="7" s="1"/>
  <c r="G34" i="7" s="1"/>
  <c r="C15" i="7"/>
  <c r="T47" i="3"/>
  <c r="T45" i="3"/>
  <c r="B14" i="7"/>
  <c r="B22" i="7" s="1"/>
  <c r="C13" i="7"/>
  <c r="J13" i="7"/>
  <c r="J21" i="7" s="1"/>
  <c r="J34" i="7" s="1"/>
  <c r="F13" i="7"/>
  <c r="F21" i="7" s="1"/>
  <c r="F34" i="7" s="1"/>
  <c r="I15" i="7"/>
  <c r="I23" i="7" s="1"/>
  <c r="I36" i="7" s="1"/>
  <c r="N47" i="3"/>
  <c r="G15" i="7"/>
  <c r="G23" i="7" s="1"/>
  <c r="G36" i="7" s="1"/>
  <c r="F15" i="7"/>
  <c r="F23" i="7" s="1"/>
  <c r="G12" i="7"/>
  <c r="G20" i="7" s="1"/>
  <c r="G33" i="7" s="1"/>
  <c r="L15" i="7"/>
  <c r="L23" i="7" s="1"/>
  <c r="G14" i="7"/>
  <c r="G22" i="7" s="1"/>
  <c r="W47" i="3"/>
  <c r="V47" i="3"/>
  <c r="N15" i="7"/>
  <c r="N23" i="7" s="1"/>
  <c r="L12" i="7"/>
  <c r="L20" i="7" s="1"/>
  <c r="L33" i="7" s="1"/>
  <c r="T44" i="3"/>
  <c r="T46" i="3"/>
  <c r="L14" i="7"/>
  <c r="L22" i="7" s="1"/>
  <c r="N46" i="3"/>
  <c r="F14" i="7"/>
  <c r="F22" i="7" s="1"/>
  <c r="F12" i="7"/>
  <c r="F20" i="7" s="1"/>
  <c r="N44" i="3"/>
  <c r="N14" i="7"/>
  <c r="N22" i="7" s="1"/>
  <c r="E26" i="7"/>
  <c r="E32" i="7" s="1"/>
  <c r="S61" i="6"/>
  <c r="J29" i="7"/>
  <c r="L61" i="6"/>
  <c r="T59" i="6"/>
  <c r="T61" i="6"/>
  <c r="M18" i="7"/>
  <c r="M16" i="7"/>
  <c r="V69" i="5"/>
  <c r="M17" i="7"/>
  <c r="V66" i="5"/>
  <c r="K28" i="7"/>
  <c r="T60" i="6"/>
  <c r="K27" i="7"/>
  <c r="O61" i="6"/>
  <c r="E18" i="7"/>
  <c r="O60" i="6"/>
  <c r="B27" i="7"/>
  <c r="B30" i="7" s="1"/>
  <c r="O59" i="6"/>
  <c r="F28" i="7"/>
  <c r="F31" i="7"/>
  <c r="J19" i="7"/>
  <c r="M63" i="5"/>
  <c r="E19" i="7"/>
  <c r="L66" i="5"/>
  <c r="M62" i="5"/>
  <c r="E27" i="7"/>
  <c r="X59" i="6"/>
  <c r="N27" i="7"/>
  <c r="W59" i="6"/>
  <c r="O27" i="7"/>
  <c r="O28" i="7"/>
  <c r="O29" i="7"/>
  <c r="O32" i="7" s="1"/>
  <c r="W60" i="6"/>
  <c r="L4" i="4"/>
  <c r="W35" i="4"/>
  <c r="V34" i="4"/>
  <c r="N26" i="7"/>
  <c r="N32" i="7" s="1"/>
  <c r="N19" i="7"/>
  <c r="N17" i="7"/>
  <c r="X66" i="5"/>
  <c r="O16" i="7"/>
  <c r="O17" i="7"/>
  <c r="N18" i="7"/>
  <c r="W66" i="5"/>
  <c r="N16" i="7"/>
  <c r="W34" i="4"/>
  <c r="U47" i="3"/>
  <c r="M12" i="7"/>
  <c r="M20" i="7" s="1"/>
  <c r="M13" i="7"/>
  <c r="M21" i="7" s="1"/>
  <c r="M34" i="7" s="1"/>
  <c r="L69" i="5"/>
  <c r="D29" i="7"/>
  <c r="W46" i="3"/>
  <c r="O12" i="7"/>
  <c r="O20" i="7" s="1"/>
  <c r="V46" i="3"/>
  <c r="N12" i="7"/>
  <c r="N20" i="7" s="1"/>
  <c r="U44" i="3"/>
  <c r="M69" i="5"/>
  <c r="D19" i="7"/>
  <c r="E16" i="7"/>
  <c r="S45" i="5"/>
  <c r="S54" i="6"/>
  <c r="M54" i="6"/>
  <c r="L59" i="6"/>
  <c r="E28" i="7"/>
  <c r="F32" i="7"/>
  <c r="M31" i="7"/>
  <c r="M30" i="7"/>
  <c r="O31" i="7"/>
  <c r="N30" i="7"/>
  <c r="W33" i="4"/>
  <c r="N25" i="7"/>
  <c r="N31" i="7" s="1"/>
  <c r="M68" i="5"/>
  <c r="L68" i="5"/>
  <c r="E23" i="7" l="1"/>
  <c r="Q23" i="7" s="1"/>
  <c r="Q15" i="7"/>
  <c r="L8" i="3"/>
  <c r="K46" i="3"/>
  <c r="C21" i="7"/>
  <c r="P13" i="7"/>
  <c r="L11" i="3"/>
  <c r="C20" i="7"/>
  <c r="C22" i="7"/>
  <c r="I21" i="7"/>
  <c r="I34" i="7" s="1"/>
  <c r="K47" i="3"/>
  <c r="R37" i="3"/>
  <c r="J14" i="7" s="1"/>
  <c r="C23" i="7"/>
  <c r="Q13" i="7"/>
  <c r="R9" i="4"/>
  <c r="K33" i="4"/>
  <c r="L9" i="4"/>
  <c r="E25" i="7"/>
  <c r="E31" i="7" s="1"/>
  <c r="E24" i="7"/>
  <c r="E30" i="7" s="1"/>
  <c r="D25" i="7"/>
  <c r="D31" i="7" s="1"/>
  <c r="M36" i="7"/>
  <c r="F35" i="7"/>
  <c r="G35" i="7"/>
  <c r="D26" i="7"/>
  <c r="D32" i="7" s="1"/>
  <c r="E36" i="7"/>
  <c r="L35" i="7"/>
  <c r="L36" i="7"/>
  <c r="O35" i="7"/>
  <c r="M35" i="7"/>
  <c r="B35" i="7"/>
  <c r="F36" i="7"/>
  <c r="J36" i="7"/>
  <c r="K36" i="7"/>
  <c r="N35" i="7"/>
  <c r="C31" i="7"/>
  <c r="M33" i="7"/>
  <c r="N36" i="7"/>
  <c r="H35" i="7"/>
  <c r="C32" i="7"/>
  <c r="L21" i="7"/>
  <c r="L34" i="7" s="1"/>
  <c r="E12" i="7"/>
  <c r="I35" i="7"/>
  <c r="K35" i="7"/>
  <c r="E21" i="7"/>
  <c r="O33" i="7"/>
  <c r="N33" i="7"/>
  <c r="D24" i="7"/>
  <c r="L33" i="4"/>
  <c r="D21" i="7"/>
  <c r="D34" i="7" s="1"/>
  <c r="D28" i="7"/>
  <c r="F33" i="7"/>
  <c r="D16" i="7"/>
  <c r="M66" i="5"/>
  <c r="M67" i="5"/>
  <c r="D27" i="7"/>
  <c r="M59" i="6"/>
  <c r="H33" i="7"/>
  <c r="J24" i="7"/>
  <c r="J30" i="7" s="1"/>
  <c r="R34" i="4"/>
  <c r="J25" i="7"/>
  <c r="R33" i="4"/>
  <c r="O36" i="7"/>
  <c r="B36" i="7"/>
  <c r="K33" i="7"/>
  <c r="D17" i="7"/>
  <c r="L34" i="4"/>
  <c r="M60" i="6"/>
  <c r="S66" i="5"/>
  <c r="K44" i="3"/>
  <c r="H32" i="7"/>
  <c r="E14" i="7"/>
  <c r="L14" i="3"/>
  <c r="L46" i="3" s="1"/>
  <c r="B12" i="7"/>
  <c r="B20" i="7" s="1"/>
  <c r="B33" i="7" s="1"/>
  <c r="J16" i="7"/>
  <c r="S60" i="6"/>
  <c r="L35" i="4"/>
  <c r="J28" i="7"/>
  <c r="L33" i="3"/>
  <c r="J18" i="7"/>
  <c r="D12" i="7" l="1"/>
  <c r="D20" i="7" s="1"/>
  <c r="D14" i="7"/>
  <c r="D22" i="7" s="1"/>
  <c r="D35" i="7" s="1"/>
  <c r="J12" i="7"/>
  <c r="J20" i="7" s="1"/>
  <c r="C35" i="7"/>
  <c r="C33" i="7"/>
  <c r="E20" i="7"/>
  <c r="Q20" i="7" s="1"/>
  <c r="C34" i="7"/>
  <c r="P21" i="7"/>
  <c r="E34" i="7"/>
  <c r="Q34" i="7" s="1"/>
  <c r="Q21" i="7"/>
  <c r="R46" i="3"/>
  <c r="C36" i="7"/>
  <c r="L44" i="3"/>
  <c r="D15" i="7"/>
  <c r="L47" i="3"/>
  <c r="R44" i="3"/>
  <c r="E22" i="7"/>
  <c r="Q14" i="7"/>
  <c r="H36" i="7"/>
  <c r="Q36" i="7" s="1"/>
  <c r="Q32" i="7"/>
  <c r="E35" i="7"/>
  <c r="E33" i="7"/>
  <c r="J33" i="7"/>
  <c r="J31" i="7"/>
  <c r="J22" i="7"/>
  <c r="D30" i="7"/>
  <c r="D33" i="7" s="1"/>
  <c r="P12" i="7" l="1"/>
  <c r="P14" i="7"/>
  <c r="Q33" i="7"/>
  <c r="Q12" i="7"/>
  <c r="P35" i="7"/>
  <c r="P20" i="7"/>
  <c r="P34" i="7"/>
  <c r="Q22" i="7"/>
  <c r="P33" i="7"/>
  <c r="D23" i="7"/>
  <c r="P15" i="7"/>
  <c r="P22" i="7"/>
  <c r="J35" i="7"/>
  <c r="Q35" i="7" s="1"/>
  <c r="D36" i="7" l="1"/>
  <c r="P36" i="7" s="1"/>
  <c r="P23" i="7"/>
</calcChain>
</file>

<file path=xl/sharedStrings.xml><?xml version="1.0" encoding="utf-8"?>
<sst xmlns="http://schemas.openxmlformats.org/spreadsheetml/2006/main" count="1479" uniqueCount="599">
  <si>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</si>
  <si>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</si>
  <si>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</si>
  <si>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</si>
  <si>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</si>
  <si>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</si>
  <si>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</si>
  <si>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</si>
  <si>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</si>
  <si>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</si>
  <si>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</si>
  <si>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</si>
  <si>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</si>
  <si>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</si>
  <si>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</si>
  <si>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</si>
  <si>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</si>
  <si>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</si>
  <si>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</si>
  <si>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</si>
  <si>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</si>
  <si>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</si>
  <si>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</si>
  <si>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</si>
  <si>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</si>
  <si>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</si>
  <si>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</si>
  <si>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</si>
  <si>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</si>
  <si>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</si>
  <si>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</si>
  <si>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</si>
  <si>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</si>
  <si>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</si>
  <si>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</si>
  <si>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</si>
  <si>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</si>
  <si>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</si>
  <si>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</si>
  <si>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</si>
  <si>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</si>
  <si>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K</t>
  </si>
  <si>
    <t>Powiat Kielecki</t>
  </si>
  <si>
    <t>B</t>
  </si>
  <si>
    <t>160/1/2019</t>
  </si>
  <si>
    <t>09.2019 09.2023</t>
  </si>
  <si>
    <t>R</t>
  </si>
  <si>
    <t>P</t>
  </si>
  <si>
    <t>Powiat Ostrowiecki</t>
  </si>
  <si>
    <t>Powiat Włoszczowski</t>
  </si>
  <si>
    <t>Powiat Staszowski</t>
  </si>
  <si>
    <t>buski</t>
  </si>
  <si>
    <t>Gmina Ostrowiec Świętokrzyski</t>
  </si>
  <si>
    <t>ostrowiecki</t>
  </si>
  <si>
    <t>Gmina Łagów</t>
  </si>
  <si>
    <t>kielecki</t>
  </si>
  <si>
    <t>Gmina Jędrzejów</t>
  </si>
  <si>
    <t>jędrzejowski</t>
  </si>
  <si>
    <t>Gmina Końskie</t>
  </si>
  <si>
    <t>Gmina Klimontów</t>
  </si>
  <si>
    <t>konecki</t>
  </si>
  <si>
    <t>sandomierski</t>
  </si>
  <si>
    <t>Gmina Piekoszów</t>
  </si>
  <si>
    <t>Gmina Suchedniów</t>
  </si>
  <si>
    <t>skarżyski</t>
  </si>
  <si>
    <t>Gmina Chęciny</t>
  </si>
  <si>
    <t>Gmina Pińczów</t>
  </si>
  <si>
    <t>pińczowski</t>
  </si>
  <si>
    <t>187/1/2019</t>
  </si>
  <si>
    <t>Gmina Bieliny</t>
  </si>
  <si>
    <t>09.2019 08.2023</t>
  </si>
  <si>
    <t>Gmina Połaniec</t>
  </si>
  <si>
    <t>staszowski</t>
  </si>
  <si>
    <t>Gmina Masłów</t>
  </si>
  <si>
    <t>Gmina Pawłów</t>
  </si>
  <si>
    <t>starachowicki</t>
  </si>
  <si>
    <t>Gmina Daleszyce</t>
  </si>
  <si>
    <t>N</t>
  </si>
  <si>
    <t>Powiat Opatowski</t>
  </si>
  <si>
    <t>Powiat Jędrzejowski</t>
  </si>
  <si>
    <t>Powiat Sandomierski</t>
  </si>
  <si>
    <t>Powiat Buski</t>
  </si>
  <si>
    <t>Powiat Konecki</t>
  </si>
  <si>
    <t>Powiat Skarżyski</t>
  </si>
  <si>
    <t>Gmina Strawczyn</t>
  </si>
  <si>
    <t>opatowski</t>
  </si>
  <si>
    <t>Gmina Dwikozy</t>
  </si>
  <si>
    <t>Gmina Sędziszów</t>
  </si>
  <si>
    <t>38/A/2020</t>
  </si>
  <si>
    <t>Utworzenie i udostępnienie terenów inwestycyjnych w Ostrowcu Świętokrzyskim - w obrębie ul. Samsonowicza - budowa dróg dojazdowych wraz z infrastrukturą towarzyszącą</t>
  </si>
  <si>
    <t>03.2020 12.2023</t>
  </si>
  <si>
    <t>Gmina Staszów</t>
  </si>
  <si>
    <t>Gmina Sandomierz</t>
  </si>
  <si>
    <t>RAZEM listy, z tego:</t>
  </si>
  <si>
    <t>RAZEM listy rezerwowe, z tego:</t>
  </si>
  <si>
    <t>Budowa drogi gminnej nr 308040 T Bieliny - Porąbki</t>
  </si>
  <si>
    <t>Gmina Tarłów</t>
  </si>
  <si>
    <t>Gmina Obrazów</t>
  </si>
  <si>
    <t>Powiat Starachowicki</t>
  </si>
  <si>
    <t>Gmina Wodzisław</t>
  </si>
  <si>
    <t>Gmina Opatów</t>
  </si>
  <si>
    <t>Lista zadań rekomendowanych do dofinansowania w ramach Rządowego Funduszu Rozwoju Dróg</t>
  </si>
  <si>
    <t>Gmina Nowa Słupia</t>
  </si>
  <si>
    <t>Gmina Łopuszno</t>
  </si>
  <si>
    <t>Powiat Pińczowski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</si>
  <si>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</si>
  <si>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Gmina Wojciechowice</t>
  </si>
  <si>
    <t>Gmina Mirzec</t>
  </si>
  <si>
    <t>Gmina Szydłów</t>
  </si>
  <si>
    <t>Gmina Iwaniska</t>
  </si>
  <si>
    <t>Gmina Kije</t>
  </si>
  <si>
    <t>Gmina Starachowice</t>
  </si>
  <si>
    <t>Gmina Lipnik</t>
  </si>
  <si>
    <t>Gmina Koprzywnica</t>
  </si>
  <si>
    <t>Gmina Fałków</t>
  </si>
  <si>
    <t>280/A/2022</t>
  </si>
  <si>
    <t>315/A/2022</t>
  </si>
  <si>
    <t>Przebudowa dróg gminnych Nr 328109T ul. Klasztornej, Nr 328111T ul. St. Konarskiego w Jędrzejowie, Nr 328110T Jędrzejów - Prząsław polegająca na budowie ciągu pieszo - rowerowego</t>
  </si>
  <si>
    <t>09.2022 11.2023</t>
  </si>
  <si>
    <t>Przebudowa drogi w kierunku Kopalni Jaźwica</t>
  </si>
  <si>
    <t>01.2022 08.2023</t>
  </si>
  <si>
    <t>381/A/2022</t>
  </si>
  <si>
    <t>121/A/2022</t>
  </si>
  <si>
    <t>136/A/2022</t>
  </si>
  <si>
    <t>Gmina Słupia Konecka</t>
  </si>
  <si>
    <t>Gmina Bałtów</t>
  </si>
  <si>
    <t>Gmina Krasocin</t>
  </si>
  <si>
    <t>Gmina Smyków</t>
  </si>
  <si>
    <t>Gmina Ćmielów</t>
  </si>
  <si>
    <t>Rozbudowa drogi gminnej nr 331013T Borek Klimontowski - Kępie - Byszów</t>
  </si>
  <si>
    <t>06.2022 11.2023</t>
  </si>
  <si>
    <t>włoszczowski</t>
  </si>
  <si>
    <t>Odbudowa mostu w ciągu drogi gminnej w miejscowości Brzóstowa</t>
  </si>
  <si>
    <t>02.2022 06.2023</t>
  </si>
  <si>
    <t>Przebudowa ul. Stokowiec oraz odcinka drogi gminnej nr 389003T</t>
  </si>
  <si>
    <t>378/A/2022</t>
  </si>
  <si>
    <t>Rozbudowa drogi gminnej nr 331042T Konary - Kujawy</t>
  </si>
  <si>
    <t>08.2022 11.2024</t>
  </si>
  <si>
    <t>224/A/2022</t>
  </si>
  <si>
    <t>09.2022 12.2024</t>
  </si>
  <si>
    <t>225/A/2022</t>
  </si>
  <si>
    <t>93/A/2022</t>
  </si>
  <si>
    <t>Gmina Michałów</t>
  </si>
  <si>
    <t>Gmina Pacanów</t>
  </si>
  <si>
    <t>Gmina Chmielnik</t>
  </si>
  <si>
    <t>Gmina Zagnańsk</t>
  </si>
  <si>
    <t>Gmina Waśniów</t>
  </si>
  <si>
    <t>Budowa drogi do Osiedla Chrusty wraz z budową ronda na drodze powiatowej Nr 0296T, gmina Zagnańsk</t>
  </si>
  <si>
    <t>01.2022 11.2023</t>
  </si>
  <si>
    <t>316/A/2022</t>
  </si>
  <si>
    <t>Kontynuacja rozbudowy drogi na działce nr 694 w miejscowości Polichno (II linia zabudowy)</t>
  </si>
  <si>
    <t>01.2022 08.2024</t>
  </si>
  <si>
    <t>Gmina Zawichost</t>
  </si>
  <si>
    <t>Gmina Górno</t>
  </si>
  <si>
    <t>Gmina Miedziana Góra</t>
  </si>
  <si>
    <t>Gmina Busko-Zdrój</t>
  </si>
  <si>
    <t>26/A/2023</t>
  </si>
  <si>
    <t>Przebudowa drogi - ul. Towarowej i ul. 1 Maja w granicach istniejącego pasa drogowego w Skarżysku-Kamiennej w ramach zadania pn. "Budowa ronda przy skrzyżowaniu dróg ul. Towarowej z ul. 1 Maja w Skarżysku-Kamiennej"</t>
  </si>
  <si>
    <t>03.2023 11.2023</t>
  </si>
  <si>
    <t>126/A/2023</t>
  </si>
  <si>
    <t>Remont drogi powiatowej nr 1597T Waśniów - Momina</t>
  </si>
  <si>
    <t>06.2023 05.2024</t>
  </si>
  <si>
    <t>110/A/2023</t>
  </si>
  <si>
    <t>Rozbudowa drogi powiatowej nr 1909T (stary numer 0258T) od km 2+166 do km 3+466,24 w miejscowości Wola Świdzińska</t>
  </si>
  <si>
    <t>07.2023 06.2024</t>
  </si>
  <si>
    <t>195/A/2023</t>
  </si>
  <si>
    <t>Rozbudowa skrzyżowania drogi powiatowej nr 1366T ul. Przemysłowa z drogą gminną ul. Białe Zagłębie w Nowinach</t>
  </si>
  <si>
    <t>09.2023 08.2024</t>
  </si>
  <si>
    <t>199/A/2023</t>
  </si>
  <si>
    <t>W</t>
  </si>
  <si>
    <t>Rozbudowa drogi powiatowej nr 1294T wraz z budową chodnika w msc. Samsonów Piechotne, Gmina Zagnańsk</t>
  </si>
  <si>
    <t>03.2023 11.2024</t>
  </si>
  <si>
    <t>178/A/2023</t>
  </si>
  <si>
    <t>Remont odcinka drogi powiatowej nr 1827T (0786T) Jurkowice - Wiśniówka w miejscowości Czajków Południowy, Wola Wiśniowska, Czajków Północny od km 8+794 do km 10+481</t>
  </si>
  <si>
    <t>05.2023 11.2023</t>
  </si>
  <si>
    <t>54/A/2023</t>
  </si>
  <si>
    <t>Remont drogi powiatowej nr 1772T (0564T) przez wieś Mirzec - Malcówki</t>
  </si>
  <si>
    <t>04.2023 11.2023</t>
  </si>
  <si>
    <t>107/A/2023</t>
  </si>
  <si>
    <t>Przebudowa drogi powiatowej nr 1878T (stary numer 0223T) Konieczno - Modrzewie od km 1+415 do km 2+500 w miejscowości Konieczno</t>
  </si>
  <si>
    <t>36/A/2023</t>
  </si>
  <si>
    <t>Przebudowa dróg powiatowych nr 1653T Zagórze - Wierzbica - Kije odc. Wierzbica - Kije dł. 990 mb oraz nr 1144T Zawale Niegosławskie - Pawłowice odc. w m. Tur Piaski dł. 465 mb i odc. w m. Pawłowice dł. 534 mb</t>
  </si>
  <si>
    <t>40/A/2023</t>
  </si>
  <si>
    <t xml:space="preserve">Remont dróg powiatowych nr 1655T Czechów - Stawiany - Lipnik odc. Lipnik - Stawiany; nr 1668T Chroberz - Wola Chroberska odc. Chroberz - Wola Chroberska; nr 1666T Zakamień - Bogucice - Chroberz odc. Bogucice - Leszcze (os. Gacki) </t>
  </si>
  <si>
    <t>127/A/2023</t>
  </si>
  <si>
    <t>Remont drogi powiatowej nr 1631T w miejscowości Antoniów</t>
  </si>
  <si>
    <t>116/A/2023</t>
  </si>
  <si>
    <t>Remont drogi powiatowej nr 1524T Ożarów - Gliniany - Teofilów w m. Ożarów, Gliniany w km 1+075 - 1+810 odc. o dł. 0,735 km</t>
  </si>
  <si>
    <t>05.2023 10.2023</t>
  </si>
  <si>
    <t>04.2023 12.2023</t>
  </si>
  <si>
    <t>114/A/2023</t>
  </si>
  <si>
    <t>Przebudowa dróg powiatowych w ilości 9,012 km: Nr 0026T Śladków Mały - Palonki - Kargów dł. 3617 m, Nr 0050T Ruczynów - Żerniki Górne dł. 1710 m, Nr 0860T Kargów - Tuczępy - Dobrów - Grzybów dł. 3685 m</t>
  </si>
  <si>
    <t>9/A/2023</t>
  </si>
  <si>
    <t>Przebudowa drogi powiatowej nr 1187T Lipie - Cieśle - Leśnica - Małogoszcz od km 11+295 do km 12+295 długości 1000 mb</t>
  </si>
  <si>
    <t>04.2023 09.2023</t>
  </si>
  <si>
    <t>60/A/2023</t>
  </si>
  <si>
    <t>Przebudowa drogi powiatowej Nr 0414T Radoszyce - Jacentów w km 3+774 - 4+741 na długości 967 m</t>
  </si>
  <si>
    <t>117/A/2023</t>
  </si>
  <si>
    <t>Przebudowa drogi powiatowej nr 1572T Bidziny - Jasice - Smugi - dr. woj. Nr 755 w miejscowości Bidziny od km 0+870 do km 1+865 polegająca na budowie chodnika na odcinku o długości 0,995 km</t>
  </si>
  <si>
    <t>172/A/2023</t>
  </si>
  <si>
    <t>Przebudowa odcinka drogi powiatowej nr 1828T (0788T) Jurkowice - Witowice w miejscowości Witowice od km 0+434 do km 1+429</t>
  </si>
  <si>
    <t>67/A/2023</t>
  </si>
  <si>
    <t>13/A/2023</t>
  </si>
  <si>
    <t>Przebudowa drogi powiatowej nr 1139T Jaronowice - Skroniów - Dalechowy polegająca na wykonaniu chodnika w m. Skroniów od km 16+030 do km 16+730</t>
  </si>
  <si>
    <t>139/A/2023</t>
  </si>
  <si>
    <t>Przebudowa drogi powiatowej nr 1737T ul. Wojska Polskiego w miejscowości Sandomierz od km 0+332 do km 0+757</t>
  </si>
  <si>
    <t>205/A/2023</t>
  </si>
  <si>
    <t xml:space="preserve">Przebudowa ul. Staszica w msc. Bobrza na odcinku dł. ok. 600 m wraz z przebudową mostu nad rzeką Bobrza </t>
  </si>
  <si>
    <t>02.2023 12.2024</t>
  </si>
  <si>
    <t>57/A/2023</t>
  </si>
  <si>
    <t>Gmina Bodzechów</t>
  </si>
  <si>
    <t>03.2023 10.2023</t>
  </si>
  <si>
    <t>212/A/2023</t>
  </si>
  <si>
    <t>Przebudowa drogi gminnej nr 401001T ulica Górki w Zawichoście na odcinku od km 0+014 do km 1+011</t>
  </si>
  <si>
    <t>03.2023 12.2023</t>
  </si>
  <si>
    <t>219/A/2023</t>
  </si>
  <si>
    <t>Gmina Ożarów</t>
  </si>
  <si>
    <t>01.2023 12.2023</t>
  </si>
  <si>
    <t>82/A/2023</t>
  </si>
  <si>
    <t>Remont ulicy II Pułku Piechoty Legionów w Sandomierzu</t>
  </si>
  <si>
    <t>05.2023 04.2024</t>
  </si>
  <si>
    <t>25/A/2023</t>
  </si>
  <si>
    <t>Przebudowa drogi wewnętrznej położonej na działce o nr ewid. 1578/303 w msc. Piekoszów (dojazd do oczyszczalni ścieków)</t>
  </si>
  <si>
    <t>12/A/2023</t>
  </si>
  <si>
    <t>Przebudowa drogi gminnej nr 361032T Komorów-Kółko Żabieckie od km 0+000 do km 1+346</t>
  </si>
  <si>
    <t>74/A/2023</t>
  </si>
  <si>
    <t>Przebudowa drogi gminnej Nr 328011T w miejscowości Książe Skroniów</t>
  </si>
  <si>
    <t>42/A/2023</t>
  </si>
  <si>
    <t>22/A/2023</t>
  </si>
  <si>
    <t>Budowa drogi gminnej w msc. Bartków gm. Zagnańsk</t>
  </si>
  <si>
    <t>01.2023 11.2024</t>
  </si>
  <si>
    <t>30/A/2023</t>
  </si>
  <si>
    <t>Rozbudowa ulicy Zielonej i ulicy Batalionów Chłopskich nr 314057T w Busku-Zdroju</t>
  </si>
  <si>
    <t>10.2023 09.2025</t>
  </si>
  <si>
    <t>83/A/2023</t>
  </si>
  <si>
    <t>Przebudowa drogi gminnej nr 382009T w miejscowości Stanowiska</t>
  </si>
  <si>
    <t>58/A/2023</t>
  </si>
  <si>
    <t>03.2023 10.2024</t>
  </si>
  <si>
    <t>4/A/2023</t>
  </si>
  <si>
    <t>Gmina Baćkowice</t>
  </si>
  <si>
    <t>Remont drogi gminnej nr 305012T Podlesie dr. kr. 74 - Kol. Żerniki w km od 0+600 do km 4+925
Remont drogi gminnej nr 305017T Stanisławów - dr. kr. 74 w km od 0+000 do km 1+228</t>
  </si>
  <si>
    <t>05.2023 12.2023</t>
  </si>
  <si>
    <t>15/A/2023</t>
  </si>
  <si>
    <t>Remont drogi gminnej nr 345006T Michałów - Równiny od km 0+000 do km 1+210 o łącznej długości 1210 mb</t>
  </si>
  <si>
    <t>06.2023 12.2023</t>
  </si>
  <si>
    <t>70/A/2023</t>
  </si>
  <si>
    <t>Remont drogi gminnej nr 004496T Sadłowice - Studzianki dz. nr ewid. 95/2 w Sadłowicach w km od 0+000 do km 0+925</t>
  </si>
  <si>
    <t>07.2023 05.2024</t>
  </si>
  <si>
    <t>79/A/2023</t>
  </si>
  <si>
    <t>04.2023 11.2024</t>
  </si>
  <si>
    <t>225/A/2023</t>
  </si>
  <si>
    <t>Gmina Łoniów</t>
  </si>
  <si>
    <t>Przebudowa drogi gminnej w m. Łoniów dz. nr ewid. 471, 469/1</t>
  </si>
  <si>
    <t>03.2023 06.2023</t>
  </si>
  <si>
    <t>71/A/2023</t>
  </si>
  <si>
    <t>Remont drogi gminnej nr 334084T w m. Koprzywnica, ul. Gęsia</t>
  </si>
  <si>
    <t>23/A/2023</t>
  </si>
  <si>
    <t>Remont drogi gminnej nr 347024T Mirzec Majorat III</t>
  </si>
  <si>
    <t>02.2023 12.2023</t>
  </si>
  <si>
    <t>226/A/2023</t>
  </si>
  <si>
    <t>Remont drogi gminnej nr 001575T Pijanów przez wieś - Kajetanów</t>
  </si>
  <si>
    <t>03.2023 09.2023</t>
  </si>
  <si>
    <t>32/A/2023</t>
  </si>
  <si>
    <t>Remont drogi nr 393026T w msc. Wronów o długości 869 mb w km od 0+700 do 1+569</t>
  </si>
  <si>
    <t>02.2023 09.2023</t>
  </si>
  <si>
    <t>121/A/2023</t>
  </si>
  <si>
    <t>50/A/2023</t>
  </si>
  <si>
    <t>Gmina Bodzentyn</t>
  </si>
  <si>
    <t>Budowa ul. Jodłowej w Świętej Katarzynie, gm. Bodzentyn - etap I</t>
  </si>
  <si>
    <t>102/A/2023</t>
  </si>
  <si>
    <t>Remont drogi gminnej nr 362020T Warszówek - Zbrza</t>
  </si>
  <si>
    <t>98/A/2023</t>
  </si>
  <si>
    <t>Budowa drogi w Pińczowie oznaczonej w miejscowym planie zagospodarowania przestrzennego jako 63 KDL</t>
  </si>
  <si>
    <t>153/A/2023</t>
  </si>
  <si>
    <t>Przebudowa drogi gminnej nr 388043T w msc. Ruda Strawczyńska</t>
  </si>
  <si>
    <t>17/A/2023</t>
  </si>
  <si>
    <t>Przebudowa drogi wewnętrznej w Wiśniówce na działce nr 14/84 na odcinku 230 m</t>
  </si>
  <si>
    <t>06.2023 11.2023</t>
  </si>
  <si>
    <t>145/A/2023</t>
  </si>
  <si>
    <t>Przebudowa drogi gminnej Zrecze Duże - Zrecze Małe od km 0+004 do km 0+344</t>
  </si>
  <si>
    <t>04.2023 10.2023</t>
  </si>
  <si>
    <t>68/A/2023</t>
  </si>
  <si>
    <t xml:space="preserve">Remont DG o nr 327021T Radwanówek - Schabówka - Kopiec - Boduszów dł. 830 m od 0+000 do 0+830; Remont DG o nr 327034T Planta przez wieś dł. 1610 m od 0+000 do 1+610; Remont DG o nr 327050T Iwaniska ul. Młyńska dł. 760 m od 0+000 do 0+760 </t>
  </si>
  <si>
    <t>124/A/2023</t>
  </si>
  <si>
    <t>Gmina Sadowie</t>
  </si>
  <si>
    <t>Remont drogi gminnej Nr 372043T Michałów - Truskolasy o dł. 570 mb od km 0+000 do 0+570; Remont drogi gminnej Nr 372011T Biskupice - Bukowiany o dł. 595 mb od km 1+908 do km 2+503</t>
  </si>
  <si>
    <t>92/A/2023</t>
  </si>
  <si>
    <t>Remont dróg gminnych: nr 302015T - ul. Kościuszki oraz nr 302033T - ul. Klimkiewiczowskiej w Ostrowcu Świętokrzyskim</t>
  </si>
  <si>
    <t>143/A/2023</t>
  </si>
  <si>
    <t>105/A/2023</t>
  </si>
  <si>
    <t>Rozbudowa drogi w miejscowości Siedlce na działce nr 247</t>
  </si>
  <si>
    <t>09.2023 11.2024</t>
  </si>
  <si>
    <t>73/A/2023</t>
  </si>
  <si>
    <t>49/A/2023</t>
  </si>
  <si>
    <t>Remont drogi gminnej nr 335008T Świdno - Chotów w miejscowości Świdno</t>
  </si>
  <si>
    <t>204/A/2023</t>
  </si>
  <si>
    <t>Przebudowa drogi gminnej nr 337048T Włostów 4 na odcinku 520 mb od km 0+000 do km 0+520</t>
  </si>
  <si>
    <t>227/A/2023</t>
  </si>
  <si>
    <t>Budowa drogi gminnej wokół cmentarza w Łagowie wraz z infrastrukturą techniczną pozwalającą na jej prawidłowe funkcjonowanie</t>
  </si>
  <si>
    <t>01.2023 12.2024</t>
  </si>
  <si>
    <t>Przebudowa drogi powiatowej nr 1704T Pierzchnica - Nowa Wieś w miejscowości Nowa Wieś od km 1+700 do km 2+461 Etap II</t>
  </si>
  <si>
    <t>140/A/2023</t>
  </si>
  <si>
    <t>Przebudowa drogi powiatowej nr 1567T Stodoły - Zawichost w miejscowościach Buczek, Dziurów od km 4+230 do km 5+075</t>
  </si>
  <si>
    <t>133/A/2023</t>
  </si>
  <si>
    <t>Przebudowa drogi powiatowej nr 1275T od km 0+000 do km 0+870 polegająca na budowie chodnika w miejscowości Rykoszyn</t>
  </si>
  <si>
    <t>201/A/2023</t>
  </si>
  <si>
    <t>Przebudowa drogi powiatowej nr 1338T na odcinku od drogi powiatowej nr 1344T do leśniczówki Łuczewnica</t>
  </si>
  <si>
    <t>196/A/2023</t>
  </si>
  <si>
    <t>Budowa drogi powiatowej Nr 0413T Młotkowice - Cis - Zychy - Podlesie</t>
  </si>
  <si>
    <t>61/A/2023</t>
  </si>
  <si>
    <t>37/A/2023</t>
  </si>
  <si>
    <t>Przebudowa dróg nr 1659T Górka Umianowska - Umianowice odc. m. Umianowice dł. 315 mb; nr 1677T Wola Knyszyńska - Stępocice odc. Podrózie - Wola Knyszyńska dł. 921 mb; nr 1652T Włosczowice - Gołuchów - Stawiany odc. Gołuchów - Stawiany dł. 740 mb</t>
  </si>
  <si>
    <t>38/A/2023</t>
  </si>
  <si>
    <t>Remont odcinka drogi powiatowej nr 1836T (0813T) Wiśniówka - Niekrasów w miejscowości Niekrasów od km 8+540 do km 10+920</t>
  </si>
  <si>
    <t>176/A/2023</t>
  </si>
  <si>
    <t>04.2023 11.2026</t>
  </si>
  <si>
    <t>Przebudowa i rozbudowa drogi powiatowej nr 1358T na odcinku Łabędziów - Radomice w trybie zaprojektuj i wybuduj</t>
  </si>
  <si>
    <t>203/A/2023</t>
  </si>
  <si>
    <t>Rozbudowa drogi powiatowej nr 1372T od km 2+775 do km 5+000 oraz od km 6+800 do km 8+100 w trybie zaprojektuj i wybuduj</t>
  </si>
  <si>
    <t>202/A/2023</t>
  </si>
  <si>
    <t>Przebudowa drogi powiatowej nr 1581T Sobótka - Wilczyce w miejscowości Wilczyce od km 3+809 do km 4+024</t>
  </si>
  <si>
    <t>136/A/2023</t>
  </si>
  <si>
    <t xml:space="preserve">Remont drogi powiatowej nr 1609T - ul. Iłżecka w Ostrowcu Świętokrzyskim od km 10+940 do km 11+368 </t>
  </si>
  <si>
    <t>130/A/2023</t>
  </si>
  <si>
    <t>Przebudowa drogi powiatowej nr 1153T Przełaj - Wodzisław w m. Kowalów Dolny od km 14+690 do km 15+200</t>
  </si>
  <si>
    <t>8/A/2023</t>
  </si>
  <si>
    <t>06.2023 09.2023</t>
  </si>
  <si>
    <t>Remont drogi powiatowej Nr 0860T Kargów -Tuczępy - Dobrów - Grzybów od km 7+750 do km 8+330 dł. 580 m</t>
  </si>
  <si>
    <t>115/A/2023</t>
  </si>
  <si>
    <t>Przebudowa drogi powiatowej nr 1128T Podlesie - Brus od km 3+000 do km 3+830</t>
  </si>
  <si>
    <t>14/A/2023</t>
  </si>
  <si>
    <t>59/A/2023</t>
  </si>
  <si>
    <t>08.2023 07.2024</t>
  </si>
  <si>
    <t>Przebudowa drogi powiatowej nr 1393T polegająca na budowie chodnika dla pieszych wraz z poszerzeniem jezdni w miejscowości Malmurzyn, gmina Mniów</t>
  </si>
  <si>
    <t>193/A/2023</t>
  </si>
  <si>
    <t>Przebudowa odcinka drogi powiatowej nr 1870T (0856T) Przeczów - Łubnice w miejscowości Przeczów od km 0+000 do km 0+995</t>
  </si>
  <si>
    <t>173/A/2023</t>
  </si>
  <si>
    <t>Remont drogi powiatowej nr 1621T Szewna - Miłków</t>
  </si>
  <si>
    <t>129/A/2023</t>
  </si>
  <si>
    <t>Rozbudowa drogi powiatowej Nr 1904T (stary numer 0252T) Pilczyca - Januszewice - Komorniki od km 1+230 do km 3+100 w miejscowości Jakubowice</t>
  </si>
  <si>
    <t>108/A/2023</t>
  </si>
  <si>
    <t>Przebudowa drogi powiatowej Nr 0401T Stąporków - Smyków - Radoszyce - Włoszczowa w km 41+978 - 42+968 na dł. 990 mb (odc. 1), w km 42+968 - 43,958 na dł. 990 mb (odc. 2) i w km 43+958 - 44+948 na dł. 990 mb (odc. 3)</t>
  </si>
  <si>
    <t>62/A/2023</t>
  </si>
  <si>
    <t>Rozbudowa drogi powiatowej nr 1763T (0573T) obejmująca zaprojektowanie (aktualizację dokumentacji) i realizację zadania pn.: "Przebudowa drogi powiatowej nr 0573T Majków - Marcinków - Wąchock"</t>
  </si>
  <si>
    <t>52/A/2023</t>
  </si>
  <si>
    <t>39/A/2023</t>
  </si>
  <si>
    <t>Remont drogi powiatowej nr 1624T Ostrowiec Św. - Przyborów - Bodzechów</t>
  </si>
  <si>
    <t>131/A/2023</t>
  </si>
  <si>
    <t>Przebudowa drogi powiatowej nr 1793T (0618T) w miejscowości Lipie, ul. Starachowicka oraz rozbudowa drogi powiatowej nr 1788T (0613T) w miejscowości Adamów ul. Szkolna</t>
  </si>
  <si>
    <t>55/A/2023</t>
  </si>
  <si>
    <t>119/A/2023</t>
  </si>
  <si>
    <t>Remont odcinka drogi powiatowej nr 1840T (0817T) Tursko Wielkie - Tursko Małe Kolonia w miejscowości Tursko Małe Kolonia od km 2+133 do km 2+753</t>
  </si>
  <si>
    <t>177/A/2023</t>
  </si>
  <si>
    <t>Rozbudowa drogi powiatowej nr 1785T (0606T) obejmująca zaprojektowanie (aktualizację dokumentacji) i realizację zadania pn.: "Przebudowa drogi powiatowej nr 0606T Rzepinek - Świślina - Szerzawy w km 2+270 do 3+905 o długości 1635 m w miejscowości Szerzawy"</t>
  </si>
  <si>
    <t>53/A/2023</t>
  </si>
  <si>
    <t>Remont drogi powiatowej nr 1608T Kunów - Janik</t>
  </si>
  <si>
    <t>128/A/2023</t>
  </si>
  <si>
    <t>Remont drogi powiatowej nr 1522T w miejscowości Podgórze i Wiktoryn</t>
  </si>
  <si>
    <t>132/A/2023</t>
  </si>
  <si>
    <t>Przebudowa dróg powiatowych w ilości 4,369 km: Nr 1008T Ludwinów - Parchocin - Podwale dł. 3030 m, Nr 0145T Pacanów - Niegosławice - Chrzanów dł. 1339 m</t>
  </si>
  <si>
    <t>112/A/2023</t>
  </si>
  <si>
    <t xml:space="preserve">Przebudowa dróg powiatowych o nr 1040T Mozgawa - Koniecmosty - Stary Korczyn na odc. Niegosławice - Nieprowice dł. 270 mb (budowa chodnika) i nr 1266T Chmielnik - Szarbków - Pińczów, odc. ul. Leśna w Pińczowie dł. 476 mb (budowa chodnika)  </t>
  </si>
  <si>
    <t>41/A/2023</t>
  </si>
  <si>
    <t>109/A/2023</t>
  </si>
  <si>
    <t>11/A/2023</t>
  </si>
  <si>
    <t>Budowa drogi gminnej - tzw. ulica Okrężna w Borkowie</t>
  </si>
  <si>
    <t>171/A/2023</t>
  </si>
  <si>
    <t>Przebudowa ul. inż. Wincentego Choroszewskiego</t>
  </si>
  <si>
    <t>95/A/2023</t>
  </si>
  <si>
    <t xml:space="preserve">Przebudowa dróg gminnych 330008T w miejscowości Umianowice, 330061T w miejscowości Wola Żydowska oraz drogi usytuowanej na działkach o nr ewid. 557,574 w miejscowości Borczyn </t>
  </si>
  <si>
    <t>04.2023 06.2024</t>
  </si>
  <si>
    <t>72/A/2023</t>
  </si>
  <si>
    <t>Remont drogi gminnej nr 376017T Tarnawa - Marianów</t>
  </si>
  <si>
    <t>35/A/2023</t>
  </si>
  <si>
    <t>Gmina Skarżysko-Kamienna</t>
  </si>
  <si>
    <t>216/A/2023</t>
  </si>
  <si>
    <t>Rozbudowa drogi gminnej nr 331037T Ułanowice - Olbierzowice w miejscowości Ułanowice</t>
  </si>
  <si>
    <t>04.2023 12.2024</t>
  </si>
  <si>
    <t>220/A/2023</t>
  </si>
  <si>
    <t>04.2023 03.2024</t>
  </si>
  <si>
    <t>89/A/2023</t>
  </si>
  <si>
    <t>Przebudowa dróg gminnych nr 366117T i nr 366123T w m. Zrębin na terenie gminy Połaniec</t>
  </si>
  <si>
    <t>03.2023 02.2024</t>
  </si>
  <si>
    <t>210/A/2023</t>
  </si>
  <si>
    <t>Remont drogi Nr 002460T Zdanów - Kleczanów od km 0+000 do km 0+441</t>
  </si>
  <si>
    <t>04.2023 08.2023</t>
  </si>
  <si>
    <t>87/A/2023</t>
  </si>
  <si>
    <t>Rozbudowa drogi gminnej Nr 320029T Gałkowice - Kolonia Gałkowice od km 0+000 do km 0+429,60</t>
  </si>
  <si>
    <t>01.2023 09.2024</t>
  </si>
  <si>
    <t>21/A/2023</t>
  </si>
  <si>
    <t>Przebudowa drogi gminnej ul. Zagórska, gm. Zagnańsk</t>
  </si>
  <si>
    <t>125/A/2023</t>
  </si>
  <si>
    <t>Przebudowa ulic Ariańskiej i Sportowej w miejscowości Wodzisław</t>
  </si>
  <si>
    <t>207/A/2023</t>
  </si>
  <si>
    <t xml:space="preserve">Budowa drogi do hydroforni w Leszczynach i odcinka w stronę cmentarza, oznaczonej w miejscowym planie zagospodarowania przestrzennego symbolami 2KDD, 3KDD i 5KDD </t>
  </si>
  <si>
    <t>01.2023 10.2025</t>
  </si>
  <si>
    <t>69/A/2023</t>
  </si>
  <si>
    <t>Remont drogi gminnej o nr 327047T Iwaniska, ul. Szeroka o dł. 115 mb od km 0+000 do 0+115; Remont drogi gminnej o nr 327039T Zielonka - Stobiec Porąbki Dolne o dł. 420 m od km 0+000 do km 0+420</t>
  </si>
  <si>
    <t>76/A/2023</t>
  </si>
  <si>
    <t>Gmina Kunów</t>
  </si>
  <si>
    <t>Przebudowa drogi gminnej nr 336029T Boksycka - do dr. Kunów - Ostrowiec Św.</t>
  </si>
  <si>
    <t>91/A/2023</t>
  </si>
  <si>
    <t>28/A/2023</t>
  </si>
  <si>
    <t>10.2023 11.2025</t>
  </si>
  <si>
    <t>224/A/2023</t>
  </si>
  <si>
    <t>Budowa ulic wraz z infrastrukturą towarzyszącą na Osiedlu Małopolskie w Staszowie III etap</t>
  </si>
  <si>
    <t>29/A/2023</t>
  </si>
  <si>
    <t>Rozbudowa ul. Ogrodowej nr 314097T w Busku-Zdroju wraz z budową niezbędnej infrastruktury technicznej</t>
  </si>
  <si>
    <t>10.2023 10.2025</t>
  </si>
  <si>
    <t>206/A/2023</t>
  </si>
  <si>
    <t>Budowa drogi gminnej nr 325043T Wola Jachowa - Górno Parcele - Krajno Parcele - Krajno Drugie w miejscowości Krajno Parcele i Górno Parcele</t>
  </si>
  <si>
    <t>215/A/2023</t>
  </si>
  <si>
    <t>Przebudowa drogi gminnej nr 331017T Nawodzice przez wieś od km 0+000 do km 0+341</t>
  </si>
  <si>
    <t>02.2023 10.2023</t>
  </si>
  <si>
    <t>156/A/2023</t>
  </si>
  <si>
    <t>Przebudowa drogi wewnętrznej w miejscowości Korczyn - Kopaniny, Gmina Strawczyn</t>
  </si>
  <si>
    <t>18/A/2023</t>
  </si>
  <si>
    <t>Budowa drogi gminnej ul. Laskowa, gmina Zagnańsk</t>
  </si>
  <si>
    <t>19/A/2023</t>
  </si>
  <si>
    <t>Budowa drogi gminnej w msc. Jaworze, gm. Zagnańsk</t>
  </si>
  <si>
    <t>94/A/2023</t>
  </si>
  <si>
    <t>Rozbudowa odcinków dróg gminnych: nr 302018T - ul. Leśnej, nr 302131T - ul. Malinowej, nr 302099T - ul. Jarzębinowej w Ostrowcu Świętokrzyskim</t>
  </si>
  <si>
    <t>09.2023 08.2027</t>
  </si>
  <si>
    <t>103/A/2023</t>
  </si>
  <si>
    <t>Przebudowa drogi gminnej nr 362023T Chybice - Nieczulice - etap II oraz Przebudowa drogi wewnętrznej w miejscowości Tarczek</t>
  </si>
  <si>
    <t>5/A/2023</t>
  </si>
  <si>
    <t>208/A/2023</t>
  </si>
  <si>
    <t>02.2023 10.2025</t>
  </si>
  <si>
    <t>86/A/2023</t>
  </si>
  <si>
    <t>Przebudowa drogi gminnej nr 358015T w Wąworkowie</t>
  </si>
  <si>
    <t>214/A/2023</t>
  </si>
  <si>
    <t>Rozbudowa drogi gminnej nr 331093T Olbierzowice - Pełczyce w miejscowości Olbierzowice</t>
  </si>
  <si>
    <t>20/A/2023</t>
  </si>
  <si>
    <t>Budowa drogi w msc. Zachełmie, ul. Chełmowa w Gminie Zagnańsk</t>
  </si>
  <si>
    <t>155/A/2023</t>
  </si>
  <si>
    <t>Remont drogi gminnej ul. Klonowej w msc. Chełmce, Gmina Strawczyn</t>
  </si>
  <si>
    <t>122/A/2023</t>
  </si>
  <si>
    <t>Przebudowa drogi wewnętrznej ulicy Ogrodowej w miejscowości Nowa Słupia</t>
  </si>
  <si>
    <t>84/A/2023</t>
  </si>
  <si>
    <t>Przebudowa drogi gminnej nr 382019T w miejscowości Piaski Królewieckie</t>
  </si>
  <si>
    <t>27/A/2023</t>
  </si>
  <si>
    <t>Przebudowa ul. Langiewicza nr 314085T w Busku-Zdroju</t>
  </si>
  <si>
    <t>154/A/2023</t>
  </si>
  <si>
    <t>Remont drogi gminnej nr 388010T w msc. Niedźwiedź - Zaskale, Gmina Strawczyn</t>
  </si>
  <si>
    <t>6/A/2023</t>
  </si>
  <si>
    <t>Remont drogi gminnej nr 305004T Piórków Zajesienie - Wszachów Krowiniec w km od 0+000 do km 0+874</t>
  </si>
  <si>
    <t>56/A/2023</t>
  </si>
  <si>
    <t>Remont drogi gminnej nr 310036T - ul. Szerokiej w miejscowości Bodzechów</t>
  </si>
  <si>
    <t>213/A/2023</t>
  </si>
  <si>
    <t xml:space="preserve">Budowa dróg wraz z odwodnieniem i oświetleniem na terenie osiedla Skiby, gmina Chęciny - część 2 </t>
  </si>
  <si>
    <t>04.2023 09.2025</t>
  </si>
  <si>
    <t>158/A/2023</t>
  </si>
  <si>
    <t>09.2023 08.2025</t>
  </si>
  <si>
    <t>152/A/2023</t>
  </si>
  <si>
    <t>Remont drogi gminnej nr 388130T ul. Leśna w msc. Strawczyn</t>
  </si>
  <si>
    <t>218/A/2023</t>
  </si>
  <si>
    <t>Przebudowa drogi na dz. nr ew. 223/2 w miejscowości Grabki Duże od km 0+000 do km 0+290</t>
  </si>
  <si>
    <t>142/A/2023</t>
  </si>
  <si>
    <t>Przebudowa dróg wewnętrznych - ul. Kasztelańska, Królewska w Piekoszowie</t>
  </si>
  <si>
    <t>217/A/2023</t>
  </si>
  <si>
    <t>Remont drogi gminnej nr 390033T Szydłów, ul. Targowa od km 0+000 do km 0+130</t>
  </si>
  <si>
    <t>24/A/2023</t>
  </si>
  <si>
    <t>Remont drogi gminnej nr 347005T Trębowiec Mały - droga wojewódzka nr 744</t>
  </si>
  <si>
    <t>93/A/2023</t>
  </si>
  <si>
    <t>Budowa i rozbudowa publicznej drogi gminnej - ul. Północnej na odcinku od skrzyżowania z ul. Las Rzeczki do skrzyżowania z ul. Iłżecką w Ostrowcu Świętokrzyskim</t>
  </si>
  <si>
    <t>90/A/2023</t>
  </si>
  <si>
    <t>Przebudowa odcinków dróg gminnych: nr 302036T - ul. Szkolnej, nr 302191T - ul. Spółdzielczej oraz nr 302054T - ul. Browarnej w Ostrowcu Świętokrzyskim</t>
  </si>
  <si>
    <t>150/A/2023</t>
  </si>
  <si>
    <t>Przebudowa drogi wewnętrznej w msc. Daleszyce dz. nr 352</t>
  </si>
  <si>
    <t>10.2023 09.2024</t>
  </si>
  <si>
    <t>106/A/2023</t>
  </si>
  <si>
    <t>Budowa drogi od Osiedla Sosnówka do ul. Partyzantów w Chęcinach</t>
  </si>
  <si>
    <t>09.2023 11.2025</t>
  </si>
  <si>
    <t>165/A/2023</t>
  </si>
  <si>
    <t xml:space="preserve">Remont drogi gminnej nr 304241T ul. Zakładowej od km 0+000 do km 0+443 w Starachowicach </t>
  </si>
  <si>
    <t>2601</t>
  </si>
  <si>
    <t>2602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</si>
  <si>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</si>
  <si>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</si>
  <si>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</si>
  <si>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</si>
  <si>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</si>
  <si>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</si>
  <si>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</si>
  <si>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</si>
  <si>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</si>
  <si>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</si>
  <si>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/>
  </si>
  <si>
    <t>Rozbudowa drogi powiatowej Nr 0469T Grzymałków - Gliniany Las - Smyków w km 3+473 do km 5+948 - 2,475 km. ETAP II odcinek od km 4+360 do km 5+260</t>
  </si>
  <si>
    <t>Rozbudowa ulicy Koniecpolskiej we Włoszczowie stanowiącej odcinek drogi powiatowej nr 1899T (stary numer 0247T) na odcinku od km 5+625 do km 6+465,90</t>
  </si>
  <si>
    <t>Przebudowa drogi powiatowej nr 1540T Dziewiątle - Wola Jastrzębska - Iwaniska w m. Jastrzębska Wola polegająca na budowie zatoki autobusowej i chodnika o łącznej dł. 0,152 km</t>
  </si>
  <si>
    <t>Remont dróg powiatowych nr 1145T Michałów - Niegosławice - Sędziszów odc. Jelcza Mała - Jelcza Wielka, nr 1197T Kozubów - Dzierążnia - Drożejowice odc. Dzierążnia - Kujawki; nr 1656T Stawiany - Gartatowice - Chruścice odc. Chwałowice - Chruścice</t>
  </si>
  <si>
    <t>Rozbudowa drogi powiatowej Nr 0469T Grzymałków - Gliniany Las - Smyków w km 3+473 do km 5+948 - 2,475 km. ETAP I odcinek od km 3+ 473 do km 4+360</t>
  </si>
  <si>
    <t>Przebudowa dróg powiatowych o nr 1670T Probołowice - Miernów - Stawiszyce na odc. Miernów - Probołowice dł. 813 mb oraz nr 1036T Szarbków - Uników - Galów, odc. m. Szarbków - Uników dł. 990 mb</t>
  </si>
  <si>
    <t>137/A/2023</t>
  </si>
  <si>
    <t>Przebudowa drogi powiatowej nr 1696T Gałkowice - Dwikozy w miejscowości Góry Wysokie od km 3+784 do km 4+425</t>
  </si>
  <si>
    <t>180/A/2023</t>
  </si>
  <si>
    <t>Przebudowa odcinka drogi powiatowej nr 1851T (0830T) Niemścice - Ponik w miejscowości Niemścice od km 0+511 do km 0+995</t>
  </si>
  <si>
    <t>191/A/2023</t>
  </si>
  <si>
    <t>Przebudowa drogi powiatowej ul. Szkolna w miejscowości Chmielnik</t>
  </si>
  <si>
    <t>141/A/2023</t>
  </si>
  <si>
    <t>Przebudowa drogi powiatowej nr 1703T Świątniki - Byszów w miejscowości Janowice od km 4+480 do km 5+470</t>
  </si>
  <si>
    <t>190/A/2023</t>
  </si>
  <si>
    <t>Przebudowa i rozbudowa drogi powiatowej nr 1424T na odcinku Jeleniów - Piórków od km 3+950 do km 5+945</t>
  </si>
  <si>
    <t>06.2023 11.2024</t>
  </si>
  <si>
    <t>198/A/2023</t>
  </si>
  <si>
    <t>Usprawnienie dostępu do drogi krajowej nr 73 i Węzła Kielce Północ drogi ekspresowej S7 poprzez przebudowę i rozbudowę drogi powiatowej nr 1302T w miejscowościach Masłów Drugi i Dąbrowa - Etap II</t>
  </si>
  <si>
    <t>07.2023 11.2024</t>
  </si>
  <si>
    <t>181/A/2023</t>
  </si>
  <si>
    <t>Przebudowa odcinka drogi powiatowej nr 1814T (0035T) Brzeziny - Szydłów - Kotuszów w miejscowości Szydłów ul. Brzezińska od km 2+570 do km 3+565</t>
  </si>
  <si>
    <t>135/A/2023</t>
  </si>
  <si>
    <t>Remont drogi powiatowej nr 1709T Sztombergi - Sulisławice w miejscowości Sulisławice od km 2+920 do km 3+430</t>
  </si>
  <si>
    <t>174/A/2023</t>
  </si>
  <si>
    <t>Przebudowa odcinka drogi powiatowej nr 1845T (0822T) Ruszcza - Słupiec w miejscowości Budziska od km 2+015 do km 3+010</t>
  </si>
  <si>
    <t>63/A/2023</t>
  </si>
  <si>
    <t>Przebudowa drogi powiatowej Nr 0401T ul. Konecka w Radoszycach na długości 424 mb</t>
  </si>
  <si>
    <t>Remont 3 odcinków dróg gminnych tj. ul. Szkolnej, ul. Polnej i ul. Marcinówka w miejscowości Bodzechów</t>
  </si>
  <si>
    <t>Budowa odcinka drogi gminnej Nr 360041T Sobów - Czachów o początku od skrzyżowania z drogą powiatową odc. Ożarów - Szymanówka i końcu do skrzyżowania z drogą powiatową odc. Ożarów - Czachów</t>
  </si>
  <si>
    <t>Remont drogi gminnej 306020T w miejscowości Skarbka Dolna oraz 306022T w miejscowości Pętkowice</t>
  </si>
  <si>
    <t xml:space="preserve">Rozbudowa drogi gminnej w miejscowości Szewna - ulica Wakacyjna nr 310012T wraz z budową niezbędnej infrastruktury </t>
  </si>
  <si>
    <t>Przebudowa skrzyżowania dróg gminnych ul. Piłsudskiego, Mieszka I i ks. Granta z drogą wojewódzką nr 749 ul. Odrowąża i Zamkową w Końskich</t>
  </si>
  <si>
    <t>Przebudowa dr. gm.: 1 dr. nr 391027T Tarłów - Kozłówek Ostrowiecki od km 0+070 km wraz z chodn. oraz chodnik od km 0+080 do km 0+540 km; 2: dr. nr 391001T Tarłów - Zemborzyn Kościelny od km 0+000 km do km 0+180 km wraz z chodn. na odcinku od km 0+000 do km 0+123</t>
  </si>
  <si>
    <t>Remont drogi gminnej nr 376013T Zielonkl-Sielec</t>
  </si>
  <si>
    <t>Budowa drogi gminnej na działkach ewid. nr 720 (720/1, 720/2), 5598/5, 5626, 5627/9 (5627/13, 5627/10, 5627/11, 5627/12) w miejscowości Staszów</t>
  </si>
  <si>
    <t>2/A/2023</t>
  </si>
  <si>
    <t>Przebudowa drogi wewnętrznej w Gnieździskach dz. nr ewid. 583 na długości 619 mb</t>
  </si>
  <si>
    <t>Remont dróg gminnych: nr 302038T - ul. Śliskiej, nr 302029T - ul. Różanej oraz odcinka drogi nr 302023T - ul. Niskiej w Ostrowcu Świętokrzyskim</t>
  </si>
  <si>
    <t>Przebudowa i rozbudowa ul. Kochanowskiego nr 314141T, ul. Polnej nr 314105T w Busku-Zdroju</t>
  </si>
  <si>
    <t>75/A/2023</t>
  </si>
  <si>
    <t>Przebudowa drogi gminnej w miejscowości Podzagaje</t>
  </si>
  <si>
    <t>07.2023 10.2023</t>
  </si>
  <si>
    <t>Remont drogi gminnej nr 305023T dr. kr. nr 74 - Oziębłów w km od 0+000 do km 1+142</t>
  </si>
  <si>
    <t>Budowa dróg w miejscowości Radlin oznaczonych w MPZP symbolem 1.KDL.5 (wzdłuż działki nr ewid. 445/1) oraz symbolem 1.KDD.14 (wzdłuż działki nr ewid. 1770)</t>
  </si>
  <si>
    <t>3/A/2023</t>
  </si>
  <si>
    <t>Przebudowa drogi wewnętrznej w msc. Ewelinów dz. nr ewid. 448 na dł. 180,00 mb, szer. 5,0 m</t>
  </si>
  <si>
    <t>Budowa odcinka ul. Wiosennej w Starachowicach wraz z przebudową sieci kanalizacji deszczowej i budową oświetlenia ulicznego</t>
  </si>
  <si>
    <t>85/A/2023</t>
  </si>
  <si>
    <t>Remont dróg gminnych w Opatowie: nr 358085T - ul. Polna oraz nr 358066T - ul. Górna</t>
  </si>
  <si>
    <t>16/A/2023</t>
  </si>
  <si>
    <t>Przebudowa ul. Sosnowej w Woli Kopcowej</t>
  </si>
  <si>
    <t>104/A/2023</t>
  </si>
  <si>
    <t>Rozbudowa drogi na działce nr 604 oraz częściowo na działce nr 637/6, w miejscowości Chęciny (Obręb 1, od ul. Zelejowa do ul Dąbrowskiego)</t>
  </si>
  <si>
    <t>07.2023 10.2024</t>
  </si>
  <si>
    <t>168/A/2023</t>
  </si>
  <si>
    <t>Remont nawierzchni jezdni, chodników i zatok postojowych na ul. Górnej w Starachowicach</t>
  </si>
  <si>
    <t>170/A/2023</t>
  </si>
  <si>
    <t>Remont dróg gminnych ul. Nowej i ul. Suchyni</t>
  </si>
  <si>
    <t>169/A/2023</t>
  </si>
  <si>
    <t>Remont nawierzchni jezdni oraz chodników na odcinku ul. Harcerskiej w Starachowicach</t>
  </si>
  <si>
    <t>Budowa ulicy Polnej w Staszowie od km 0+092 do km 0+347 i od km 0+000 do km 0+083</t>
  </si>
  <si>
    <t>222/A/2023</t>
  </si>
  <si>
    <t>Rozbudowa drogi gminnej o dł. 443 m stanowiącej przedłużenie ul. KEN wraz z przebudową istniejącego skrzyżowania z ulicą Konstytucji 3 Maja w Staszowie</t>
  </si>
  <si>
    <t>Gmina Morawica</t>
  </si>
  <si>
    <t>Przebudowa ul. Sadowej i Pod Lasem w miejscowości Łabędziów</t>
  </si>
  <si>
    <t>221/A/2023</t>
  </si>
  <si>
    <t>189/A/2023</t>
  </si>
  <si>
    <t>Przebudowa ul. Bocznej w miejscowości Chmielowice</t>
  </si>
  <si>
    <t>Przebudowa ul. Jesiennej i Letniej w miejscowości Bilcza</t>
  </si>
  <si>
    <t>187/A/2023</t>
  </si>
  <si>
    <t>186/A/2023</t>
  </si>
  <si>
    <t>188/A/2023</t>
  </si>
  <si>
    <t>Przebudowa ul. Nad Nidą w miejscowości Kuby Młyny</t>
  </si>
  <si>
    <t>Przebudowa ul. Magnoliowej w miejscowości Bilcza</t>
  </si>
  <si>
    <t>Przebudowa ulic o łącznej długości 1,057 km na osiedlu mieszkaniowym w Fałkowie</t>
  </si>
  <si>
    <t>Przebudowa ul. Głównej w Skarżysku-Kamiennej</t>
  </si>
  <si>
    <t>192/A/2023</t>
  </si>
  <si>
    <t>Rozbudowa skrzyżowania drogi powiatowej nr 1429T (starodroże DW764) z drogami powiatowymi nr 1319T i nr 1322T w miejscowości Daleszyce</t>
  </si>
  <si>
    <t>Przebudowa dróg powiatowych w ilości 5,600 km: Nr 0104T Stopnica - Mariampol - Borek dł. 1700 m, Nr 0085T Siesławice - Biniątki - Zagość dł. 1135 m, Nr 0041T Tuczępy - Januszkowice - Niziny dł. 2765 m</t>
  </si>
  <si>
    <t>113/A/2023</t>
  </si>
  <si>
    <t>34/A/2023</t>
  </si>
  <si>
    <t>Remont drogi nr 393027T w miejscowości Czażów na długości 1130 mb w km od 0+000 do 1+130</t>
  </si>
  <si>
    <t>42/A/2022</t>
  </si>
  <si>
    <t>Przebudowa dróg gminnych - ulic Polskiego Czerwonego Krzyża, Stefana Żeromskiego i Adama Mickiewicza w Końskich</t>
  </si>
  <si>
    <t>02.2022 10.2023</t>
  </si>
  <si>
    <t>243/A/2022</t>
  </si>
  <si>
    <t>Przebudowa  drogi powiatowej nr 0372T w msc. Suków Borki wraz z budową chodnika</t>
  </si>
  <si>
    <t>06.2022 10.2023</t>
  </si>
  <si>
    <t>63*</t>
  </si>
  <si>
    <t>182/A/2023</t>
  </si>
  <si>
    <t>111/A/2023</t>
  </si>
  <si>
    <t>Przebudowa dróg powiatowych w ilości 3,564 km: Nr 0029T Gnojno - Janowice Poduszowskie - Balice dł. 2164 m, Nr 0051T Kuchary - Szczytniki dł. 1400 m</t>
  </si>
  <si>
    <t>33/A/2023</t>
  </si>
  <si>
    <t>Remont drogi nr 393029T w msc. Milejowice na długości 1125 mb w km od 0+000 do 1+125</t>
  </si>
  <si>
    <t>1/A/2023</t>
  </si>
  <si>
    <t>Remont drogi gminnej nr 001631T w msc. Fanisławice dł. 902,00 mb (nowy numer drogi 341052T)</t>
  </si>
  <si>
    <t>56*</t>
  </si>
  <si>
    <t>96/A/2023</t>
  </si>
  <si>
    <t>Remont odcinka drogi gminnej nr 365075T Młodzawy Małe -Mozgawa</t>
  </si>
  <si>
    <t>205/A/2022</t>
  </si>
  <si>
    <t>Przebudowa drogi powiatowej nr 1719T Koprzywnica - Łążek (ul. 11 Listopada) w miejscowości Koprzywnica etap I od km 0+000 do km 0+360</t>
  </si>
  <si>
    <t>03.2022 02.2024</t>
  </si>
  <si>
    <t>07.2022 12.2023</t>
  </si>
  <si>
    <t>Rozbudowa drogi powiatowej nr 1312T Porąbki - Kakonin - Huta Podłysica - Huta Szklana od km 0+000 do km 5+018 w msc. Porąbki, Kakonin i Bieliny oraz na odcinku od km 10+540 do km 11+377 w msc. Huta Podłysica - Huta Szklana</t>
  </si>
  <si>
    <t>Rozbudowa drogi powiatowej nr 1276T Jaworznia - Łaziska w trybie zaprojektuj i wybuduj</t>
  </si>
  <si>
    <t xml:space="preserve">Przebudowa dróg powiatowych nr 1357T i nr 1360T w miejscowości Bilcza </t>
  </si>
  <si>
    <t>Województwo: Świętokrzyskie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</si>
  <si>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</si>
  <si>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41*</t>
  </si>
  <si>
    <t>30*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</si>
</sst>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#,##0.000"/>
    <numFmt numFmtId="167" formatCode="0.000"/>
    <numFmt numFmtId="168" formatCode="#,##0.00_ ;\-#,##0.00\ "/>
    <numFmt numFmtId="169" formatCode="0.0"/>
  </numFmts>
  <fonts count="34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theme="7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5"/>
      <name val="Arial"/>
      <family val="2"/>
      <charset val="238"/>
    </font>
    <font>
      <sz val="8"/>
      <color rgb="FFFF3300"/>
      <name val="Arial"/>
      <family val="2"/>
      <charset val="238"/>
    </font>
    <font>
      <b/>
      <sz val="8"/>
      <color rgb="FFFF33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color theme="7"/>
      <name val="Arial"/>
      <family val="2"/>
      <charset val="238"/>
    </font>
    <font>
      <sz val="8"/>
      <color rgb="FFFFC000"/>
      <name val="Arial"/>
      <family val="2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4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11" fillId="0" borderId="0" xfId="0" applyFont="1"/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7" fillId="4" borderId="2" xfId="0" applyNumberFormat="1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165" fontId="7" fillId="3" borderId="2" xfId="0" applyNumberFormat="1" applyFont="1" applyFill="1" applyBorder="1" applyAlignment="1">
      <alignment vertical="center"/>
    </xf>
    <xf numFmtId="165" fontId="7" fillId="4" borderId="3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2"/>
    </xf>
    <xf numFmtId="165" fontId="13" fillId="3" borderId="4" xfId="0" applyNumberFormat="1" applyFont="1" applyFill="1" applyBorder="1" applyAlignment="1">
      <alignment vertical="center"/>
    </xf>
    <xf numFmtId="165" fontId="7" fillId="3" borderId="4" xfId="0" applyNumberFormat="1" applyFont="1" applyFill="1" applyBorder="1" applyAlignment="1">
      <alignment vertical="center"/>
    </xf>
    <xf numFmtId="165" fontId="7" fillId="4" borderId="4" xfId="0" applyNumberFormat="1" applyFont="1" applyFill="1" applyBorder="1" applyAlignment="1">
      <alignment vertical="center"/>
    </xf>
    <xf numFmtId="165" fontId="14" fillId="5" borderId="4" xfId="0" applyNumberFormat="1" applyFont="1" applyFill="1" applyBorder="1" applyAlignment="1">
      <alignment vertical="center"/>
    </xf>
    <xf numFmtId="165" fontId="13" fillId="3" borderId="5" xfId="0" applyNumberFormat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vertical="center"/>
    </xf>
    <xf numFmtId="165" fontId="7" fillId="4" borderId="5" xfId="0" applyNumberFormat="1" applyFont="1" applyFill="1" applyBorder="1" applyAlignment="1">
      <alignment vertical="center"/>
    </xf>
    <xf numFmtId="165" fontId="14" fillId="5" borderId="5" xfId="0" applyNumberFormat="1" applyFont="1" applyFill="1" applyBorder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7" fillId="2" borderId="9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vertical="center"/>
    </xf>
    <xf numFmtId="165" fontId="7" fillId="2" borderId="13" xfId="0" applyNumberFormat="1" applyFont="1" applyFill="1" applyBorder="1" applyAlignment="1">
      <alignment vertical="center"/>
    </xf>
    <xf numFmtId="165" fontId="7" fillId="0" borderId="14" xfId="0" applyNumberFormat="1" applyFont="1" applyFill="1" applyBorder="1" applyAlignment="1">
      <alignment vertical="center"/>
    </xf>
    <xf numFmtId="165" fontId="7" fillId="0" borderId="15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left" vertical="center" wrapText="1" indent="2"/>
    </xf>
    <xf numFmtId="0" fontId="7" fillId="0" borderId="16" xfId="0" applyFont="1" applyFill="1" applyBorder="1" applyAlignment="1">
      <alignment horizontal="left" vertical="center" indent="2"/>
    </xf>
    <xf numFmtId="0" fontId="13" fillId="0" borderId="17" xfId="0" applyFont="1" applyFill="1" applyBorder="1" applyAlignment="1">
      <alignment horizontal="left" vertical="center" indent="2"/>
    </xf>
    <xf numFmtId="165" fontId="13" fillId="2" borderId="18" xfId="0" applyNumberFormat="1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 wrapText="1" indent="2"/>
    </xf>
    <xf numFmtId="165" fontId="13" fillId="3" borderId="19" xfId="0" applyNumberFormat="1" applyFont="1" applyFill="1" applyBorder="1" applyAlignment="1">
      <alignment vertical="center"/>
    </xf>
    <xf numFmtId="0" fontId="7" fillId="3" borderId="16" xfId="0" applyFont="1" applyFill="1" applyBorder="1" applyAlignment="1">
      <alignment horizontal="left" vertical="center" indent="2"/>
    </xf>
    <xf numFmtId="165" fontId="7" fillId="3" borderId="19" xfId="0" applyNumberFormat="1" applyFont="1" applyFill="1" applyBorder="1" applyAlignment="1">
      <alignment vertical="center"/>
    </xf>
    <xf numFmtId="0" fontId="13" fillId="3" borderId="17" xfId="0" applyFont="1" applyFill="1" applyBorder="1" applyAlignment="1">
      <alignment horizontal="left" vertical="center" indent="2"/>
    </xf>
    <xf numFmtId="165" fontId="13" fillId="3" borderId="20" xfId="0" applyNumberFormat="1" applyFont="1" applyFill="1" applyBorder="1" applyAlignment="1">
      <alignment vertical="center"/>
    </xf>
    <xf numFmtId="165" fontId="13" fillId="3" borderId="21" xfId="0" applyNumberFormat="1" applyFont="1" applyFill="1" applyBorder="1" applyAlignment="1">
      <alignment vertical="center"/>
    </xf>
    <xf numFmtId="165" fontId="13" fillId="3" borderId="22" xfId="0" applyNumberFormat="1" applyFont="1" applyFill="1" applyBorder="1" applyAlignment="1">
      <alignment vertical="center"/>
    </xf>
    <xf numFmtId="165" fontId="13" fillId="3" borderId="23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65" fontId="7" fillId="4" borderId="24" xfId="0" applyNumberFormat="1" applyFont="1" applyFill="1" applyBorder="1" applyAlignment="1">
      <alignment vertical="center"/>
    </xf>
    <xf numFmtId="165" fontId="7" fillId="4" borderId="25" xfId="0" applyNumberFormat="1" applyFont="1" applyFill="1" applyBorder="1" applyAlignment="1">
      <alignment vertical="center"/>
    </xf>
    <xf numFmtId="165" fontId="7" fillId="4" borderId="26" xfId="0" applyNumberFormat="1" applyFont="1" applyFill="1" applyBorder="1" applyAlignment="1">
      <alignment vertical="center"/>
    </xf>
    <xf numFmtId="165" fontId="7" fillId="4" borderId="27" xfId="0" applyNumberFormat="1" applyFont="1" applyFill="1" applyBorder="1" applyAlignment="1">
      <alignment vertical="center"/>
    </xf>
    <xf numFmtId="0" fontId="13" fillId="4" borderId="28" xfId="0" applyFont="1" applyFill="1" applyBorder="1" applyAlignment="1">
      <alignment horizontal="left" vertical="center" indent="2"/>
    </xf>
    <xf numFmtId="165" fontId="13" fillId="4" borderId="7" xfId="0" applyNumberFormat="1" applyFont="1" applyFill="1" applyBorder="1" applyAlignment="1">
      <alignment vertical="center"/>
    </xf>
    <xf numFmtId="165" fontId="13" fillId="4" borderId="29" xfId="0" applyNumberFormat="1" applyFont="1" applyFill="1" applyBorder="1" applyAlignment="1">
      <alignment vertical="center"/>
    </xf>
    <xf numFmtId="165" fontId="13" fillId="2" borderId="28" xfId="0" applyNumberFormat="1" applyFont="1" applyFill="1" applyBorder="1" applyAlignment="1">
      <alignment vertical="center"/>
    </xf>
    <xf numFmtId="165" fontId="13" fillId="4" borderId="6" xfId="0" applyNumberFormat="1" applyFont="1" applyFill="1" applyBorder="1" applyAlignment="1">
      <alignment vertical="center"/>
    </xf>
    <xf numFmtId="165" fontId="13" fillId="4" borderId="8" xfId="0" applyNumberFormat="1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165" fontId="14" fillId="5" borderId="11" xfId="0" applyNumberFormat="1" applyFont="1" applyFill="1" applyBorder="1" applyAlignment="1">
      <alignment vertical="center"/>
    </xf>
    <xf numFmtId="165" fontId="14" fillId="5" borderId="12" xfId="0" applyNumberFormat="1" applyFont="1" applyFill="1" applyBorder="1" applyAlignment="1">
      <alignment vertical="center"/>
    </xf>
    <xf numFmtId="165" fontId="14" fillId="2" borderId="13" xfId="0" applyNumberFormat="1" applyFont="1" applyFill="1" applyBorder="1" applyAlignment="1">
      <alignment vertical="center"/>
    </xf>
    <xf numFmtId="165" fontId="14" fillId="5" borderId="14" xfId="0" applyNumberFormat="1" applyFont="1" applyFill="1" applyBorder="1" applyAlignment="1">
      <alignment vertical="center"/>
    </xf>
    <xf numFmtId="165" fontId="14" fillId="5" borderId="15" xfId="0" applyNumberFormat="1" applyFont="1" applyFill="1" applyBorder="1" applyAlignment="1">
      <alignment vertical="center"/>
    </xf>
    <xf numFmtId="165" fontId="14" fillId="5" borderId="19" xfId="0" applyNumberFormat="1" applyFont="1" applyFill="1" applyBorder="1" applyAlignment="1">
      <alignment vertical="center"/>
    </xf>
    <xf numFmtId="0" fontId="13" fillId="5" borderId="17" xfId="0" applyFont="1" applyFill="1" applyBorder="1" applyAlignment="1">
      <alignment horizontal="left" vertical="center" indent="2"/>
    </xf>
    <xf numFmtId="165" fontId="13" fillId="5" borderId="20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13" fillId="6" borderId="2" xfId="0" applyNumberFormat="1" applyFont="1" applyFill="1" applyBorder="1" applyAlignment="1">
      <alignment vertical="center"/>
    </xf>
    <xf numFmtId="165" fontId="13" fillId="6" borderId="4" xfId="0" applyNumberFormat="1" applyFont="1" applyFill="1" applyBorder="1" applyAlignment="1">
      <alignment vertical="center"/>
    </xf>
    <xf numFmtId="165" fontId="7" fillId="6" borderId="2" xfId="0" applyNumberFormat="1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13" fillId="6" borderId="20" xfId="0" applyNumberFormat="1" applyFont="1" applyFill="1" applyBorder="1" applyAlignment="1">
      <alignment vertical="center"/>
    </xf>
    <xf numFmtId="165" fontId="13" fillId="6" borderId="21" xfId="0" applyNumberFormat="1" applyFont="1" applyFill="1" applyBorder="1" applyAlignment="1">
      <alignment vertical="center"/>
    </xf>
    <xf numFmtId="165" fontId="13" fillId="6" borderId="5" xfId="0" applyNumberFormat="1" applyFont="1" applyFill="1" applyBorder="1" applyAlignment="1">
      <alignment vertical="center"/>
    </xf>
    <xf numFmtId="165" fontId="13" fillId="6" borderId="19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165" fontId="7" fillId="6" borderId="19" xfId="0" applyNumberFormat="1" applyFont="1" applyFill="1" applyBorder="1" applyAlignment="1">
      <alignment vertical="center"/>
    </xf>
    <xf numFmtId="165" fontId="13" fillId="6" borderId="22" xfId="0" applyNumberFormat="1" applyFont="1" applyFill="1" applyBorder="1" applyAlignment="1">
      <alignment vertical="center"/>
    </xf>
    <xf numFmtId="165" fontId="13" fillId="6" borderId="23" xfId="0" applyNumberFormat="1" applyFont="1" applyFill="1" applyBorder="1" applyAlignment="1">
      <alignment vertical="center"/>
    </xf>
    <xf numFmtId="165" fontId="7" fillId="6" borderId="14" xfId="0" applyNumberFormat="1" applyFont="1" applyFill="1" applyBorder="1" applyAlignment="1">
      <alignment vertical="center"/>
    </xf>
    <xf numFmtId="165" fontId="7" fillId="6" borderId="11" xfId="0" applyNumberFormat="1" applyFont="1" applyFill="1" applyBorder="1" applyAlignment="1">
      <alignment vertical="center"/>
    </xf>
    <xf numFmtId="165" fontId="7" fillId="6" borderId="15" xfId="0" applyNumberFormat="1" applyFont="1" applyFill="1" applyBorder="1" applyAlignment="1">
      <alignment vertical="center"/>
    </xf>
    <xf numFmtId="4" fontId="15" fillId="6" borderId="2" xfId="0" applyNumberFormat="1" applyFont="1" applyFill="1" applyBorder="1" applyAlignment="1">
      <alignment horizontal="right" vertical="center" wrapText="1"/>
    </xf>
    <xf numFmtId="4" fontId="15" fillId="6" borderId="2" xfId="0" applyNumberFormat="1" applyFont="1" applyFill="1" applyBorder="1" applyAlignment="1">
      <alignment horizontal="right" vertical="center"/>
    </xf>
    <xf numFmtId="166" fontId="8" fillId="6" borderId="2" xfId="0" applyNumberFormat="1" applyFont="1" applyFill="1" applyBorder="1" applyAlignment="1">
      <alignment horizontal="center" vertical="center"/>
    </xf>
    <xf numFmtId="9" fontId="8" fillId="6" borderId="2" xfId="0" applyNumberFormat="1" applyFont="1" applyFill="1" applyBorder="1" applyAlignment="1">
      <alignment horizontal="center" vertical="center"/>
    </xf>
    <xf numFmtId="166" fontId="15" fillId="6" borderId="2" xfId="0" applyNumberFormat="1" applyFont="1" applyFill="1" applyBorder="1" applyAlignment="1">
      <alignment horizontal="center" vertical="center"/>
    </xf>
    <xf numFmtId="9" fontId="15" fillId="6" borderId="2" xfId="0" applyNumberFormat="1" applyFont="1" applyFill="1" applyBorder="1" applyAlignment="1">
      <alignment horizontal="center" vertical="center"/>
    </xf>
    <xf numFmtId="4" fontId="16" fillId="6" borderId="2" xfId="0" applyNumberFormat="1" applyFont="1" applyFill="1" applyBorder="1" applyAlignment="1">
      <alignment horizontal="right" vertical="center" wrapText="1"/>
    </xf>
    <xf numFmtId="165" fontId="13" fillId="5" borderId="24" xfId="0" applyNumberFormat="1" applyFont="1" applyFill="1" applyBorder="1" applyAlignment="1">
      <alignment vertical="center"/>
    </xf>
    <xf numFmtId="165" fontId="13" fillId="5" borderId="25" xfId="0" applyNumberFormat="1" applyFont="1" applyFill="1" applyBorder="1" applyAlignment="1">
      <alignment vertical="center"/>
    </xf>
    <xf numFmtId="165" fontId="13" fillId="2" borderId="9" xfId="0" applyNumberFormat="1" applyFont="1" applyFill="1" applyBorder="1" applyAlignment="1">
      <alignment vertical="center"/>
    </xf>
    <xf numFmtId="165" fontId="13" fillId="5" borderId="26" xfId="0" applyNumberFormat="1" applyFont="1" applyFill="1" applyBorder="1" applyAlignment="1">
      <alignment vertical="center"/>
    </xf>
    <xf numFmtId="165" fontId="13" fillId="5" borderId="30" xfId="0" applyNumberFormat="1" applyFont="1" applyFill="1" applyBorder="1" applyAlignment="1">
      <alignment vertical="center"/>
    </xf>
    <xf numFmtId="0" fontId="7" fillId="5" borderId="31" xfId="0" applyFont="1" applyFill="1" applyBorder="1" applyAlignment="1">
      <alignment horizontal="left" vertical="center" indent="2"/>
    </xf>
    <xf numFmtId="0" fontId="13" fillId="5" borderId="16" xfId="0" applyFont="1" applyFill="1" applyBorder="1" applyAlignment="1">
      <alignment horizontal="left" vertical="center" indent="2"/>
    </xf>
    <xf numFmtId="0" fontId="7" fillId="0" borderId="14" xfId="0" applyNumberFormat="1" applyFont="1" applyFill="1" applyBorder="1" applyAlignment="1">
      <alignment horizontal="center" vertical="center"/>
    </xf>
    <xf numFmtId="0" fontId="13" fillId="6" borderId="5" xfId="0" applyNumberFormat="1" applyFont="1" applyFill="1" applyBorder="1" applyAlignment="1">
      <alignment horizontal="center" vertical="center"/>
    </xf>
    <xf numFmtId="0" fontId="7" fillId="6" borderId="5" xfId="0" applyNumberFormat="1" applyFont="1" applyFill="1" applyBorder="1" applyAlignment="1">
      <alignment horizontal="center" vertical="center"/>
    </xf>
    <xf numFmtId="0" fontId="13" fillId="6" borderId="22" xfId="0" applyNumberFormat="1" applyFont="1" applyFill="1" applyBorder="1" applyAlignment="1">
      <alignment horizontal="center" vertical="center"/>
    </xf>
    <xf numFmtId="0" fontId="7" fillId="0" borderId="32" xfId="0" applyNumberFormat="1" applyFont="1" applyFill="1" applyBorder="1" applyAlignment="1">
      <alignment horizontal="center" vertical="center"/>
    </xf>
    <xf numFmtId="0" fontId="13" fillId="0" borderId="26" xfId="0" applyNumberFormat="1" applyFont="1" applyFill="1" applyBorder="1" applyAlignment="1">
      <alignment horizontal="center" vertical="center"/>
    </xf>
    <xf numFmtId="0" fontId="13" fillId="3" borderId="5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13" fillId="3" borderId="22" xfId="0" applyNumberFormat="1" applyFont="1" applyFill="1" applyBorder="1" applyAlignment="1">
      <alignment horizontal="center" vertical="center"/>
    </xf>
    <xf numFmtId="0" fontId="7" fillId="4" borderId="26" xfId="0" applyNumberFormat="1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center" vertical="center"/>
    </xf>
    <xf numFmtId="0" fontId="13" fillId="4" borderId="6" xfId="0" applyNumberFormat="1" applyFont="1" applyFill="1" applyBorder="1" applyAlignment="1">
      <alignment horizontal="center" vertical="center"/>
    </xf>
    <xf numFmtId="0" fontId="14" fillId="5" borderId="14" xfId="0" applyNumberFormat="1" applyFont="1" applyFill="1" applyBorder="1" applyAlignment="1">
      <alignment horizontal="center" vertical="center"/>
    </xf>
    <xf numFmtId="0" fontId="13" fillId="5" borderId="26" xfId="0" applyNumberFormat="1" applyFont="1" applyFill="1" applyBorder="1" applyAlignment="1">
      <alignment horizontal="center" vertical="center"/>
    </xf>
    <xf numFmtId="0" fontId="14" fillId="5" borderId="5" xfId="0" applyNumberFormat="1" applyFont="1" applyFill="1" applyBorder="1" applyAlignment="1">
      <alignment horizontal="center" vertical="center"/>
    </xf>
    <xf numFmtId="0" fontId="13" fillId="5" borderId="2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8" fillId="6" borderId="4" xfId="0" applyNumberFormat="1" applyFont="1" applyFill="1" applyBorder="1" applyAlignment="1">
      <alignment vertical="center"/>
    </xf>
    <xf numFmtId="4" fontId="8" fillId="6" borderId="2" xfId="0" applyNumberFormat="1" applyFont="1" applyFill="1" applyBorder="1" applyAlignment="1">
      <alignment vertical="center" wrapText="1"/>
    </xf>
    <xf numFmtId="9" fontId="2" fillId="6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horizontal="center" vertical="center"/>
    </xf>
    <xf numFmtId="4" fontId="17" fillId="6" borderId="2" xfId="0" applyNumberFormat="1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NumberFormat="1" applyFont="1" applyFill="1" applyBorder="1" applyAlignment="1">
      <alignment horizontal="center" vertical="center"/>
    </xf>
    <xf numFmtId="165" fontId="14" fillId="3" borderId="11" xfId="0" applyNumberFormat="1" applyFont="1" applyFill="1" applyBorder="1" applyAlignment="1">
      <alignment vertical="center"/>
    </xf>
    <xf numFmtId="165" fontId="14" fillId="3" borderId="12" xfId="0" applyNumberFormat="1" applyFont="1" applyFill="1" applyBorder="1" applyAlignment="1">
      <alignment vertical="center"/>
    </xf>
    <xf numFmtId="165" fontId="14" fillId="3" borderId="14" xfId="0" applyNumberFormat="1" applyFont="1" applyFill="1" applyBorder="1" applyAlignment="1">
      <alignment vertical="center"/>
    </xf>
    <xf numFmtId="165" fontId="14" fillId="3" borderId="15" xfId="0" applyNumberFormat="1" applyFont="1" applyFill="1" applyBorder="1" applyAlignment="1">
      <alignment vertical="center"/>
    </xf>
    <xf numFmtId="4" fontId="19" fillId="0" borderId="0" xfId="0" applyNumberFormat="1" applyFont="1" applyFill="1" applyBorder="1" applyAlignment="1"/>
    <xf numFmtId="4" fontId="19" fillId="0" borderId="0" xfId="0" applyNumberFormat="1" applyFont="1" applyBorder="1" applyAlignment="1"/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wrapText="1"/>
    </xf>
    <xf numFmtId="0" fontId="20" fillId="6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/>
    <xf numFmtId="0" fontId="0" fillId="6" borderId="0" xfId="0" applyFill="1"/>
    <xf numFmtId="0" fontId="0" fillId="6" borderId="0" xfId="0" applyFill="1" applyAlignment="1">
      <alignment vertical="center"/>
    </xf>
    <xf numFmtId="0" fontId="6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5" fillId="6" borderId="0" xfId="0" applyFont="1" applyFill="1" applyAlignment="1"/>
    <xf numFmtId="0" fontId="21" fillId="6" borderId="0" xfId="0" applyFont="1" applyFill="1" applyAlignment="1">
      <alignment horizontal="center" vertical="center"/>
    </xf>
    <xf numFmtId="0" fontId="21" fillId="6" borderId="0" xfId="0" applyFont="1" applyFill="1"/>
    <xf numFmtId="0" fontId="16" fillId="6" borderId="2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2" fillId="6" borderId="0" xfId="4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2" fillId="6" borderId="0" xfId="4" applyFont="1" applyFill="1" applyAlignment="1">
      <alignment vertical="center"/>
    </xf>
    <xf numFmtId="0" fontId="23" fillId="6" borderId="0" xfId="4" applyFont="1" applyFill="1" applyAlignment="1">
      <alignment vertical="center"/>
    </xf>
    <xf numFmtId="0" fontId="21" fillId="6" borderId="0" xfId="0" applyFont="1" applyFill="1" applyAlignment="1">
      <alignment wrapText="1" shrinkToFit="1"/>
    </xf>
    <xf numFmtId="0" fontId="16" fillId="6" borderId="33" xfId="0" applyFont="1" applyFill="1" applyBorder="1" applyAlignment="1">
      <alignment vertical="center" wrapText="1"/>
    </xf>
    <xf numFmtId="4" fontId="21" fillId="6" borderId="0" xfId="0" applyNumberFormat="1" applyFont="1" applyFill="1"/>
    <xf numFmtId="0" fontId="23" fillId="6" borderId="0" xfId="0" applyFont="1" applyFill="1"/>
    <xf numFmtId="4" fontId="0" fillId="6" borderId="0" xfId="0" applyNumberFormat="1" applyFill="1"/>
    <xf numFmtId="4" fontId="16" fillId="6" borderId="2" xfId="0" applyNumberFormat="1" applyFont="1" applyFill="1" applyBorder="1" applyAlignment="1">
      <alignment horizontal="center" vertical="center" wrapText="1"/>
    </xf>
    <xf numFmtId="4" fontId="15" fillId="6" borderId="2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vertical="center" wrapText="1" shrinkToFit="1"/>
    </xf>
    <xf numFmtId="0" fontId="23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horizontal="center" vertical="center"/>
    </xf>
    <xf numFmtId="4" fontId="16" fillId="6" borderId="2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 wrapText="1" shrinkToFit="1"/>
    </xf>
    <xf numFmtId="0" fontId="25" fillId="6" borderId="0" xfId="0" applyFont="1" applyFill="1" applyAlignment="1">
      <alignment vertical="center"/>
    </xf>
    <xf numFmtId="0" fontId="26" fillId="6" borderId="0" xfId="0" applyFont="1" applyFill="1" applyAlignment="1">
      <alignment vertical="center"/>
    </xf>
    <xf numFmtId="4" fontId="22" fillId="0" borderId="2" xfId="0" applyNumberFormat="1" applyFont="1" applyFill="1" applyBorder="1" applyAlignment="1">
      <alignment horizontal="right" vertical="center"/>
    </xf>
    <xf numFmtId="9" fontId="22" fillId="7" borderId="4" xfId="0" applyNumberFormat="1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wrapText="1"/>
    </xf>
    <xf numFmtId="167" fontId="27" fillId="7" borderId="2" xfId="0" applyNumberFormat="1" applyFont="1" applyFill="1" applyBorder="1" applyAlignment="1">
      <alignment horizontal="center" vertical="center"/>
    </xf>
    <xf numFmtId="167" fontId="22" fillId="7" borderId="2" xfId="0" applyNumberFormat="1" applyFont="1" applyFill="1" applyBorder="1" applyAlignment="1">
      <alignment horizontal="center" vertical="center"/>
    </xf>
    <xf numFmtId="4" fontId="28" fillId="7" borderId="2" xfId="0" applyNumberFormat="1" applyFont="1" applyFill="1" applyBorder="1" applyAlignment="1">
      <alignment horizontal="right" vertical="center"/>
    </xf>
    <xf numFmtId="4" fontId="15" fillId="7" borderId="2" xfId="0" applyNumberFormat="1" applyFont="1" applyFill="1" applyBorder="1" applyAlignment="1">
      <alignment horizontal="right" vertical="center"/>
    </xf>
    <xf numFmtId="4" fontId="22" fillId="7" borderId="4" xfId="0" applyNumberFormat="1" applyFont="1" applyFill="1" applyBorder="1" applyAlignment="1">
      <alignment horizontal="right" vertical="center"/>
    </xf>
    <xf numFmtId="168" fontId="22" fillId="7" borderId="4" xfId="1" applyNumberFormat="1" applyFont="1" applyFill="1" applyBorder="1" applyAlignment="1">
      <alignment horizontal="right" vertical="center"/>
    </xf>
    <xf numFmtId="3" fontId="22" fillId="7" borderId="2" xfId="0" applyNumberFormat="1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3" fontId="2" fillId="7" borderId="2" xfId="0" applyNumberFormat="1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 wrapText="1"/>
    </xf>
    <xf numFmtId="167" fontId="2" fillId="7" borderId="24" xfId="0" applyNumberFormat="1" applyFont="1" applyFill="1" applyBorder="1" applyAlignment="1">
      <alignment horizontal="center" vertical="center"/>
    </xf>
    <xf numFmtId="4" fontId="22" fillId="7" borderId="2" xfId="0" applyNumberFormat="1" applyFont="1" applyFill="1" applyBorder="1" applyAlignment="1">
      <alignment horizontal="right" vertical="center"/>
    </xf>
    <xf numFmtId="4" fontId="2" fillId="8" borderId="25" xfId="0" applyNumberFormat="1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right" vertical="center"/>
    </xf>
    <xf numFmtId="0" fontId="15" fillId="6" borderId="2" xfId="0" applyFont="1" applyFill="1" applyBorder="1" applyAlignment="1">
      <alignment horizontal="center" vertical="center" wrapText="1"/>
    </xf>
    <xf numFmtId="167" fontId="22" fillId="0" borderId="2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4" fontId="15" fillId="0" borderId="2" xfId="0" applyNumberFormat="1" applyFont="1" applyFill="1" applyBorder="1" applyAlignment="1">
      <alignment horizontal="right" vertical="center" wrapText="1"/>
    </xf>
    <xf numFmtId="9" fontId="22" fillId="0" borderId="2" xfId="0" applyNumberFormat="1" applyFont="1" applyFill="1" applyBorder="1" applyAlignment="1">
      <alignment horizontal="center" vertical="center"/>
    </xf>
    <xf numFmtId="4" fontId="22" fillId="0" borderId="4" xfId="0" applyNumberFormat="1" applyFont="1" applyFill="1" applyBorder="1" applyAlignment="1">
      <alignment horizontal="right" vertical="center"/>
    </xf>
    <xf numFmtId="4" fontId="22" fillId="0" borderId="2" xfId="0" applyNumberFormat="1" applyFont="1" applyFill="1" applyBorder="1" applyAlignment="1">
      <alignment horizontal="right" vertical="center" wrapText="1"/>
    </xf>
    <xf numFmtId="9" fontId="22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 wrapText="1"/>
    </xf>
    <xf numFmtId="4" fontId="22" fillId="0" borderId="4" xfId="0" applyNumberFormat="1" applyFont="1" applyFill="1" applyBorder="1" applyAlignment="1">
      <alignment horizontal="right" vertical="center" wrapText="1"/>
    </xf>
    <xf numFmtId="4" fontId="2" fillId="7" borderId="25" xfId="0" applyNumberFormat="1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4" fontId="2" fillId="7" borderId="24" xfId="0" applyNumberFormat="1" applyFont="1" applyFill="1" applyBorder="1" applyAlignment="1">
      <alignment horizontal="center" vertical="center" wrapText="1"/>
    </xf>
    <xf numFmtId="4" fontId="8" fillId="7" borderId="24" xfId="0" applyNumberFormat="1" applyFont="1" applyFill="1" applyBorder="1" applyAlignment="1">
      <alignment horizontal="right" vertical="center" wrapText="1"/>
    </xf>
    <xf numFmtId="4" fontId="8" fillId="7" borderId="4" xfId="0" applyNumberFormat="1" applyFont="1" applyFill="1" applyBorder="1" applyAlignment="1">
      <alignment vertical="center"/>
    </xf>
    <xf numFmtId="4" fontId="8" fillId="7" borderId="2" xfId="0" applyNumberFormat="1" applyFont="1" applyFill="1" applyBorder="1" applyAlignment="1">
      <alignment vertical="center" wrapText="1"/>
    </xf>
    <xf numFmtId="9" fontId="2" fillId="7" borderId="2" xfId="0" applyNumberFormat="1" applyFont="1" applyFill="1" applyBorder="1" applyAlignment="1">
      <alignment horizontal="center" vertical="center"/>
    </xf>
    <xf numFmtId="4" fontId="2" fillId="7" borderId="4" xfId="0" applyNumberFormat="1" applyFont="1" applyFill="1" applyBorder="1" applyAlignment="1">
      <alignment vertical="center"/>
    </xf>
    <xf numFmtId="168" fontId="2" fillId="7" borderId="4" xfId="1" applyNumberFormat="1" applyFont="1" applyFill="1" applyBorder="1" applyAlignment="1">
      <alignment horizontal="right" vertical="center"/>
    </xf>
    <xf numFmtId="4" fontId="2" fillId="7" borderId="2" xfId="0" applyNumberFormat="1" applyFont="1" applyFill="1" applyBorder="1" applyAlignment="1">
      <alignment vertical="center" wrapText="1"/>
    </xf>
    <xf numFmtId="4" fontId="22" fillId="7" borderId="25" xfId="0" applyNumberFormat="1" applyFont="1" applyFill="1" applyBorder="1" applyAlignment="1">
      <alignment horizontal="center" vertical="center" wrapText="1"/>
    </xf>
    <xf numFmtId="0" fontId="22" fillId="7" borderId="25" xfId="0" applyFont="1" applyFill="1" applyBorder="1" applyAlignment="1">
      <alignment horizontal="center" vertical="center" wrapText="1"/>
    </xf>
    <xf numFmtId="4" fontId="22" fillId="7" borderId="24" xfId="0" applyNumberFormat="1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/>
    </xf>
    <xf numFmtId="167" fontId="22" fillId="7" borderId="24" xfId="0" applyNumberFormat="1" applyFont="1" applyFill="1" applyBorder="1" applyAlignment="1">
      <alignment horizontal="center" vertical="center"/>
    </xf>
    <xf numFmtId="0" fontId="22" fillId="7" borderId="24" xfId="0" applyFont="1" applyFill="1" applyBorder="1" applyAlignment="1">
      <alignment horizontal="center" vertical="center" wrapText="1"/>
    </xf>
    <xf numFmtId="4" fontId="15" fillId="7" borderId="24" xfId="0" applyNumberFormat="1" applyFont="1" applyFill="1" applyBorder="1" applyAlignment="1">
      <alignment horizontal="right" vertical="center" wrapText="1"/>
    </xf>
    <xf numFmtId="4" fontId="15" fillId="7" borderId="4" xfId="0" applyNumberFormat="1" applyFont="1" applyFill="1" applyBorder="1" applyAlignment="1">
      <alignment vertical="center"/>
    </xf>
    <xf numFmtId="4" fontId="15" fillId="7" borderId="2" xfId="0" applyNumberFormat="1" applyFont="1" applyFill="1" applyBorder="1" applyAlignment="1">
      <alignment vertical="center" wrapText="1"/>
    </xf>
    <xf numFmtId="9" fontId="22" fillId="7" borderId="2" xfId="0" applyNumberFormat="1" applyFont="1" applyFill="1" applyBorder="1" applyAlignment="1">
      <alignment horizontal="center" vertical="center"/>
    </xf>
    <xf numFmtId="4" fontId="22" fillId="7" borderId="4" xfId="0" applyNumberFormat="1" applyFont="1" applyFill="1" applyBorder="1" applyAlignment="1">
      <alignment vertical="center"/>
    </xf>
    <xf numFmtId="4" fontId="22" fillId="7" borderId="2" xfId="0" applyNumberFormat="1" applyFont="1" applyFill="1" applyBorder="1" applyAlignment="1">
      <alignment vertical="center" wrapText="1"/>
    </xf>
    <xf numFmtId="0" fontId="2" fillId="8" borderId="25" xfId="0" applyFont="1" applyFill="1" applyBorder="1" applyAlignment="1">
      <alignment horizontal="center" vertical="center" wrapText="1"/>
    </xf>
    <xf numFmtId="4" fontId="2" fillId="8" borderId="24" xfId="0" applyNumberFormat="1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/>
    </xf>
    <xf numFmtId="167" fontId="2" fillId="8" borderId="24" xfId="0" applyNumberFormat="1" applyFont="1" applyFill="1" applyBorder="1" applyAlignment="1">
      <alignment horizontal="center" vertical="center"/>
    </xf>
    <xf numFmtId="4" fontId="8" fillId="8" borderId="24" xfId="0" applyNumberFormat="1" applyFont="1" applyFill="1" applyBorder="1" applyAlignment="1">
      <alignment horizontal="right" vertical="center" wrapText="1"/>
    </xf>
    <xf numFmtId="168" fontId="2" fillId="8" borderId="4" xfId="1" applyNumberFormat="1" applyFont="1" applyFill="1" applyBorder="1" applyAlignment="1">
      <alignment horizontal="right" vertical="center"/>
    </xf>
    <xf numFmtId="4" fontId="22" fillId="7" borderId="2" xfId="0" applyNumberFormat="1" applyFont="1" applyFill="1" applyBorder="1" applyAlignment="1">
      <alignment horizontal="right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4" fontId="22" fillId="7" borderId="2" xfId="0" applyNumberFormat="1" applyFont="1" applyFill="1" applyBorder="1" applyAlignment="1">
      <alignment vertical="center"/>
    </xf>
    <xf numFmtId="4" fontId="2" fillId="7" borderId="2" xfId="0" applyNumberFormat="1" applyFont="1" applyFill="1" applyBorder="1" applyAlignment="1">
      <alignment horizontal="right" vertical="center"/>
    </xf>
    <xf numFmtId="4" fontId="15" fillId="7" borderId="4" xfId="0" applyNumberFormat="1" applyFont="1" applyFill="1" applyBorder="1" applyAlignment="1">
      <alignment horizontal="right" vertical="center" wrapText="1"/>
    </xf>
    <xf numFmtId="4" fontId="22" fillId="7" borderId="4" xfId="0" applyNumberFormat="1" applyFont="1" applyFill="1" applyBorder="1" applyAlignment="1">
      <alignment horizontal="right" vertical="center" wrapText="1"/>
    </xf>
    <xf numFmtId="4" fontId="29" fillId="7" borderId="2" xfId="0" applyNumberFormat="1" applyFont="1" applyFill="1" applyBorder="1" applyAlignment="1">
      <alignment horizontal="right" vertical="center" wrapText="1"/>
    </xf>
    <xf numFmtId="169" fontId="2" fillId="7" borderId="25" xfId="0" applyNumberFormat="1" applyFont="1" applyFill="1" applyBorder="1" applyAlignment="1">
      <alignment horizontal="center" vertical="center" wrapText="1"/>
    </xf>
    <xf numFmtId="169" fontId="22" fillId="7" borderId="25" xfId="0" applyNumberFormat="1" applyFont="1" applyFill="1" applyBorder="1" applyAlignment="1">
      <alignment horizontal="center" vertical="center" wrapText="1"/>
    </xf>
    <xf numFmtId="0" fontId="30" fillId="6" borderId="0" xfId="0" applyFont="1" applyFill="1"/>
    <xf numFmtId="169" fontId="2" fillId="8" borderId="25" xfId="0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3" fontId="2" fillId="6" borderId="2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4" fontId="22" fillId="8" borderId="25" xfId="0" applyNumberFormat="1" applyFont="1" applyFill="1" applyBorder="1" applyAlignment="1">
      <alignment horizontal="center" vertical="center" wrapText="1"/>
    </xf>
    <xf numFmtId="0" fontId="22" fillId="8" borderId="24" xfId="0" applyFont="1" applyFill="1" applyBorder="1" applyAlignment="1">
      <alignment horizontal="center" vertical="center"/>
    </xf>
    <xf numFmtId="167" fontId="22" fillId="8" borderId="24" xfId="0" applyNumberFormat="1" applyFont="1" applyFill="1" applyBorder="1" applyAlignment="1">
      <alignment horizontal="center" vertical="center"/>
    </xf>
    <xf numFmtId="168" fontId="22" fillId="8" borderId="4" xfId="1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0" borderId="25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167" fontId="2" fillId="0" borderId="24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vertical="center"/>
    </xf>
    <xf numFmtId="168" fontId="2" fillId="0" borderId="4" xfId="1" applyNumberFormat="1" applyFont="1" applyFill="1" applyBorder="1" applyAlignment="1">
      <alignment horizontal="right" vertical="center"/>
    </xf>
    <xf numFmtId="0" fontId="15" fillId="6" borderId="2" xfId="0" applyFont="1" applyFill="1" applyBorder="1" applyAlignment="1">
      <alignment horizontal="center" vertical="center" wrapText="1"/>
    </xf>
    <xf numFmtId="3" fontId="2" fillId="8" borderId="2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4" fontId="8" fillId="8" borderId="4" xfId="0" applyNumberFormat="1" applyFont="1" applyFill="1" applyBorder="1" applyAlignment="1">
      <alignment vertical="center"/>
    </xf>
    <xf numFmtId="4" fontId="8" fillId="8" borderId="2" xfId="0" applyNumberFormat="1" applyFont="1" applyFill="1" applyBorder="1" applyAlignment="1">
      <alignment vertical="center" wrapText="1"/>
    </xf>
    <xf numFmtId="9" fontId="2" fillId="8" borderId="2" xfId="0" applyNumberFormat="1" applyFont="1" applyFill="1" applyBorder="1" applyAlignment="1">
      <alignment horizontal="center" vertical="center"/>
    </xf>
    <xf numFmtId="4" fontId="2" fillId="8" borderId="4" xfId="0" applyNumberFormat="1" applyFont="1" applyFill="1" applyBorder="1" applyAlignment="1">
      <alignment vertical="center"/>
    </xf>
    <xf numFmtId="167" fontId="25" fillId="6" borderId="2" xfId="0" applyNumberFormat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4" fontId="22" fillId="8" borderId="2" xfId="0" applyNumberFormat="1" applyFont="1" applyFill="1" applyBorder="1" applyAlignment="1">
      <alignment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3" fontId="22" fillId="7" borderId="24" xfId="0" applyNumberFormat="1" applyFont="1" applyFill="1" applyBorder="1" applyAlignment="1">
      <alignment horizontal="center" vertical="center"/>
    </xf>
    <xf numFmtId="4" fontId="15" fillId="7" borderId="25" xfId="0" applyNumberFormat="1" applyFont="1" applyFill="1" applyBorder="1" applyAlignment="1">
      <alignment vertical="center"/>
    </xf>
    <xf numFmtId="4" fontId="15" fillId="7" borderId="24" xfId="0" applyNumberFormat="1" applyFont="1" applyFill="1" applyBorder="1" applyAlignment="1">
      <alignment vertical="center" wrapText="1"/>
    </xf>
    <xf numFmtId="9" fontId="22" fillId="7" borderId="24" xfId="0" applyNumberFormat="1" applyFont="1" applyFill="1" applyBorder="1" applyAlignment="1">
      <alignment horizontal="center" vertical="center"/>
    </xf>
    <xf numFmtId="4" fontId="22" fillId="7" borderId="25" xfId="0" applyNumberFormat="1" applyFont="1" applyFill="1" applyBorder="1" applyAlignment="1">
      <alignment vertical="center"/>
    </xf>
    <xf numFmtId="168" fontId="22" fillId="7" borderId="25" xfId="1" applyNumberFormat="1" applyFont="1" applyFill="1" applyBorder="1" applyAlignment="1">
      <alignment horizontal="right" vertical="center"/>
    </xf>
    <xf numFmtId="168" fontId="22" fillId="8" borderId="25" xfId="1" applyNumberFormat="1" applyFont="1" applyFill="1" applyBorder="1" applyAlignment="1">
      <alignment horizontal="right" vertical="center"/>
    </xf>
    <xf numFmtId="3" fontId="2" fillId="8" borderId="24" xfId="0" applyNumberFormat="1" applyFont="1" applyFill="1" applyBorder="1" applyAlignment="1">
      <alignment horizontal="center" vertical="center"/>
    </xf>
    <xf numFmtId="4" fontId="8" fillId="7" borderId="25" xfId="0" applyNumberFormat="1" applyFont="1" applyFill="1" applyBorder="1" applyAlignment="1">
      <alignment vertical="center"/>
    </xf>
    <xf numFmtId="4" fontId="8" fillId="7" borderId="24" xfId="0" applyNumberFormat="1" applyFont="1" applyFill="1" applyBorder="1" applyAlignment="1">
      <alignment vertical="center" wrapText="1"/>
    </xf>
    <xf numFmtId="9" fontId="2" fillId="7" borderId="24" xfId="0" applyNumberFormat="1" applyFont="1" applyFill="1" applyBorder="1" applyAlignment="1">
      <alignment horizontal="center" vertical="center"/>
    </xf>
    <xf numFmtId="4" fontId="2" fillId="7" borderId="25" xfId="0" applyNumberFormat="1" applyFont="1" applyFill="1" applyBorder="1" applyAlignment="1">
      <alignment vertical="center"/>
    </xf>
    <xf numFmtId="168" fontId="2" fillId="7" borderId="25" xfId="1" applyNumberFormat="1" applyFont="1" applyFill="1" applyBorder="1" applyAlignment="1">
      <alignment horizontal="right" vertical="center"/>
    </xf>
    <xf numFmtId="0" fontId="12" fillId="6" borderId="2" xfId="0" applyFont="1" applyFill="1" applyBorder="1" applyAlignment="1">
      <alignment vertical="center"/>
    </xf>
    <xf numFmtId="4" fontId="22" fillId="8" borderId="4" xfId="0" applyNumberFormat="1" applyFont="1" applyFill="1" applyBorder="1" applyAlignment="1">
      <alignment horizontal="right" vertical="center"/>
    </xf>
    <xf numFmtId="0" fontId="24" fillId="6" borderId="2" xfId="0" applyFont="1" applyFill="1" applyBorder="1" applyAlignment="1">
      <alignment vertical="center"/>
    </xf>
    <xf numFmtId="3" fontId="2" fillId="7" borderId="24" xfId="0" applyNumberFormat="1" applyFont="1" applyFill="1" applyBorder="1" applyAlignment="1">
      <alignment horizontal="center" vertical="center"/>
    </xf>
    <xf numFmtId="3" fontId="23" fillId="8" borderId="2" xfId="0" applyNumberFormat="1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4" fontId="23" fillId="8" borderId="25" xfId="0" applyNumberFormat="1" applyFont="1" applyFill="1" applyBorder="1" applyAlignment="1">
      <alignment horizontal="center" vertical="center" wrapText="1"/>
    </xf>
    <xf numFmtId="4" fontId="23" fillId="8" borderId="24" xfId="0" applyNumberFormat="1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/>
    </xf>
    <xf numFmtId="167" fontId="23" fillId="8" borderId="24" xfId="0" applyNumberFormat="1" applyFont="1" applyFill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 wrapText="1"/>
    </xf>
    <xf numFmtId="4" fontId="31" fillId="8" borderId="24" xfId="0" applyNumberFormat="1" applyFont="1" applyFill="1" applyBorder="1" applyAlignment="1">
      <alignment horizontal="right" vertical="center" wrapText="1"/>
    </xf>
    <xf numFmtId="4" fontId="31" fillId="8" borderId="4" xfId="0" applyNumberFormat="1" applyFont="1" applyFill="1" applyBorder="1" applyAlignment="1">
      <alignment vertical="center"/>
    </xf>
    <xf numFmtId="4" fontId="31" fillId="8" borderId="2" xfId="0" applyNumberFormat="1" applyFont="1" applyFill="1" applyBorder="1" applyAlignment="1">
      <alignment vertical="center" wrapText="1"/>
    </xf>
    <xf numFmtId="9" fontId="23" fillId="8" borderId="2" xfId="0" applyNumberFormat="1" applyFont="1" applyFill="1" applyBorder="1" applyAlignment="1">
      <alignment horizontal="center" vertical="center"/>
    </xf>
    <xf numFmtId="4" fontId="23" fillId="8" borderId="4" xfId="0" applyNumberFormat="1" applyFont="1" applyFill="1" applyBorder="1" applyAlignment="1">
      <alignment vertical="center"/>
    </xf>
    <xf numFmtId="168" fontId="23" fillId="8" borderId="4" xfId="1" applyNumberFormat="1" applyFont="1" applyFill="1" applyBorder="1" applyAlignment="1">
      <alignment horizontal="right" vertical="center"/>
    </xf>
    <xf numFmtId="0" fontId="25" fillId="6" borderId="2" xfId="0" applyFont="1" applyFill="1" applyBorder="1" applyAlignment="1">
      <alignment horizontal="center" vertical="center"/>
    </xf>
    <xf numFmtId="4" fontId="15" fillId="8" borderId="4" xfId="0" applyNumberFormat="1" applyFont="1" applyFill="1" applyBorder="1" applyAlignment="1">
      <alignment vertical="center"/>
    </xf>
    <xf numFmtId="3" fontId="22" fillId="8" borderId="2" xfId="0" applyNumberFormat="1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 wrapText="1"/>
    </xf>
    <xf numFmtId="169" fontId="22" fillId="8" borderId="25" xfId="0" applyNumberFormat="1" applyFont="1" applyFill="1" applyBorder="1" applyAlignment="1">
      <alignment horizontal="center" vertical="center" wrapText="1"/>
    </xf>
    <xf numFmtId="4" fontId="22" fillId="8" borderId="24" xfId="0" applyNumberFormat="1" applyFont="1" applyFill="1" applyBorder="1" applyAlignment="1">
      <alignment horizontal="center" vertical="center" wrapText="1"/>
    </xf>
    <xf numFmtId="0" fontId="22" fillId="8" borderId="24" xfId="0" applyFont="1" applyFill="1" applyBorder="1" applyAlignment="1">
      <alignment horizontal="center" vertical="center" wrapText="1"/>
    </xf>
    <xf numFmtId="4" fontId="15" fillId="8" borderId="24" xfId="0" applyNumberFormat="1" applyFont="1" applyFill="1" applyBorder="1" applyAlignment="1">
      <alignment horizontal="right" vertical="center" wrapText="1"/>
    </xf>
    <xf numFmtId="4" fontId="15" fillId="8" borderId="2" xfId="0" applyNumberFormat="1" applyFont="1" applyFill="1" applyBorder="1" applyAlignment="1">
      <alignment vertical="center" wrapText="1"/>
    </xf>
    <xf numFmtId="9" fontId="22" fillId="8" borderId="2" xfId="0" applyNumberFormat="1" applyFont="1" applyFill="1" applyBorder="1" applyAlignment="1">
      <alignment horizontal="center" vertical="center"/>
    </xf>
    <xf numFmtId="4" fontId="22" fillId="8" borderId="4" xfId="0" applyNumberFormat="1" applyFont="1" applyFill="1" applyBorder="1" applyAlignment="1">
      <alignment vertical="center"/>
    </xf>
    <xf numFmtId="0" fontId="23" fillId="8" borderId="25" xfId="0" applyFont="1" applyFill="1" applyBorder="1" applyAlignment="1">
      <alignment horizontal="center" vertical="center" wrapText="1"/>
    </xf>
    <xf numFmtId="169" fontId="23" fillId="8" borderId="25" xfId="0" applyNumberFormat="1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3" fontId="23" fillId="7" borderId="2" xfId="0" applyNumberFormat="1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4" fontId="23" fillId="7" borderId="24" xfId="0" applyNumberFormat="1" applyFont="1" applyFill="1" applyBorder="1" applyAlignment="1">
      <alignment horizontal="center" vertical="center" wrapText="1"/>
    </xf>
    <xf numFmtId="0" fontId="23" fillId="7" borderId="24" xfId="0" applyFont="1" applyFill="1" applyBorder="1" applyAlignment="1">
      <alignment horizontal="center" vertical="center"/>
    </xf>
    <xf numFmtId="167" fontId="23" fillId="7" borderId="24" xfId="0" applyNumberFormat="1" applyFon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center" vertical="center" wrapText="1"/>
    </xf>
    <xf numFmtId="4" fontId="31" fillId="7" borderId="24" xfId="0" applyNumberFormat="1" applyFont="1" applyFill="1" applyBorder="1" applyAlignment="1">
      <alignment horizontal="right" vertical="center" wrapText="1"/>
    </xf>
    <xf numFmtId="4" fontId="31" fillId="7" borderId="2" xfId="0" applyNumberFormat="1" applyFont="1" applyFill="1" applyBorder="1" applyAlignment="1">
      <alignment vertical="center" wrapText="1"/>
    </xf>
    <xf numFmtId="9" fontId="23" fillId="7" borderId="2" xfId="0" applyNumberFormat="1" applyFont="1" applyFill="1" applyBorder="1" applyAlignment="1">
      <alignment horizontal="center" vertical="center"/>
    </xf>
    <xf numFmtId="4" fontId="23" fillId="7" borderId="4" xfId="0" applyNumberFormat="1" applyFont="1" applyFill="1" applyBorder="1" applyAlignment="1">
      <alignment vertical="center"/>
    </xf>
    <xf numFmtId="168" fontId="23" fillId="7" borderId="4" xfId="1" applyNumberFormat="1" applyFont="1" applyFill="1" applyBorder="1" applyAlignment="1">
      <alignment horizontal="right" vertical="center"/>
    </xf>
    <xf numFmtId="4" fontId="31" fillId="7" borderId="4" xfId="0" applyNumberFormat="1" applyFont="1" applyFill="1" applyBorder="1" applyAlignment="1">
      <alignment vertical="center"/>
    </xf>
    <xf numFmtId="0" fontId="22" fillId="0" borderId="24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4" fontId="22" fillId="6" borderId="4" xfId="0" applyNumberFormat="1" applyFont="1" applyFill="1" applyBorder="1" applyAlignment="1">
      <alignment horizontal="right" vertical="center"/>
    </xf>
    <xf numFmtId="4" fontId="23" fillId="6" borderId="2" xfId="0" applyNumberFormat="1" applyFont="1" applyFill="1" applyBorder="1" applyAlignment="1">
      <alignment horizontal="center" vertical="center" wrapText="1"/>
    </xf>
    <xf numFmtId="4" fontId="23" fillId="7" borderId="2" xfId="0" applyNumberFormat="1" applyFont="1" applyFill="1" applyBorder="1" applyAlignment="1">
      <alignment vertical="center" wrapText="1"/>
    </xf>
    <xf numFmtId="0" fontId="32" fillId="7" borderId="2" xfId="0" applyFont="1" applyFill="1" applyBorder="1" applyAlignment="1">
      <alignment horizontal="center" vertical="center" wrapText="1"/>
    </xf>
    <xf numFmtId="169" fontId="32" fillId="7" borderId="25" xfId="0" applyNumberFormat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vertical="center"/>
    </xf>
    <xf numFmtId="0" fontId="18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vertical="center"/>
    </xf>
    <xf numFmtId="0" fontId="33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vertical="center"/>
    </xf>
    <xf numFmtId="9" fontId="21" fillId="6" borderId="0" xfId="6" applyFont="1" applyFill="1"/>
    <xf numFmtId="9" fontId="0" fillId="6" borderId="0" xfId="6" applyFont="1" applyFill="1"/>
    <xf numFmtId="9" fontId="0" fillId="6" borderId="0" xfId="6" applyFont="1" applyFill="1" applyAlignment="1">
      <alignment vertical="center"/>
    </xf>
    <xf numFmtId="9" fontId="30" fillId="6" borderId="0" xfId="6" applyFont="1" applyFill="1"/>
    <xf numFmtId="9" fontId="12" fillId="6" borderId="0" xfId="6" applyFont="1" applyFill="1" applyAlignment="1">
      <alignment vertical="center"/>
    </xf>
    <xf numFmtId="0" fontId="23" fillId="0" borderId="2" xfId="0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" fontId="23" fillId="0" borderId="25" xfId="0" applyNumberFormat="1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4" fontId="23" fillId="0" borderId="24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/>
    </xf>
    <xf numFmtId="167" fontId="23" fillId="0" borderId="24" xfId="0" applyNumberFormat="1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4" fontId="31" fillId="0" borderId="24" xfId="0" applyNumberFormat="1" applyFont="1" applyFill="1" applyBorder="1" applyAlignment="1">
      <alignment horizontal="right" vertical="center" wrapText="1"/>
    </xf>
    <xf numFmtId="4" fontId="31" fillId="0" borderId="4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 wrapText="1"/>
    </xf>
    <xf numFmtId="9" fontId="23" fillId="0" borderId="2" xfId="0" applyNumberFormat="1" applyFont="1" applyFill="1" applyBorder="1" applyAlignment="1">
      <alignment horizontal="center" vertical="center"/>
    </xf>
    <xf numFmtId="4" fontId="23" fillId="0" borderId="4" xfId="0" applyNumberFormat="1" applyFont="1" applyFill="1" applyBorder="1" applyAlignment="1">
      <alignment vertical="center"/>
    </xf>
    <xf numFmtId="168" fontId="23" fillId="0" borderId="4" xfId="1" applyNumberFormat="1" applyFont="1" applyFill="1" applyBorder="1" applyAlignment="1">
      <alignment horizontal="right" vertical="center"/>
    </xf>
    <xf numFmtId="4" fontId="2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21" fillId="0" borderId="0" xfId="0" applyFont="1" applyFill="1"/>
    <xf numFmtId="9" fontId="21" fillId="0" borderId="0" xfId="6" applyFont="1" applyFill="1"/>
    <xf numFmtId="0" fontId="16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vertical="center"/>
    </xf>
    <xf numFmtId="4" fontId="15" fillId="0" borderId="2" xfId="0" applyNumberFormat="1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vertical="center"/>
    </xf>
    <xf numFmtId="168" fontId="22" fillId="0" borderId="4" xfId="1" applyNumberFormat="1" applyFont="1" applyFill="1" applyBorder="1" applyAlignment="1">
      <alignment horizontal="right" vertical="center"/>
    </xf>
    <xf numFmtId="4" fontId="22" fillId="0" borderId="25" xfId="0" applyNumberFormat="1" applyFont="1" applyFill="1" applyBorder="1" applyAlignment="1">
      <alignment horizontal="center" vertical="center" wrapText="1"/>
    </xf>
    <xf numFmtId="4" fontId="22" fillId="0" borderId="24" xfId="0" applyNumberFormat="1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/>
    </xf>
    <xf numFmtId="167" fontId="22" fillId="0" borderId="24" xfId="0" applyNumberFormat="1" applyFont="1" applyFill="1" applyBorder="1" applyAlignment="1">
      <alignment horizontal="center" vertical="center"/>
    </xf>
    <xf numFmtId="4" fontId="15" fillId="0" borderId="24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 wrapText="1"/>
    </xf>
    <xf numFmtId="9" fontId="2" fillId="0" borderId="2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9" fontId="8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right" vertical="center"/>
    </xf>
    <xf numFmtId="166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9" fontId="15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1" fillId="0" borderId="0" xfId="0" applyFont="1" applyFill="1" applyAlignment="1">
      <alignment horizontal="center" vertical="center"/>
    </xf>
    <xf numFmtId="0" fontId="2" fillId="0" borderId="0" xfId="4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22" fillId="0" borderId="0" xfId="4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3" fillId="0" borderId="0" xfId="4" applyFont="1" applyFill="1" applyAlignment="1">
      <alignment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 wrapText="1" shrinkToFi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49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4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</cellXfs>
  <cellStyles count="7">
    <cellStyle name="Dziesiętny" xfId="1" builtinId="3"/>
    <cellStyle name="Dziesiętny 2" xfId="2"/>
    <cellStyle name="Normalny" xfId="0" builtinId="0"/>
    <cellStyle name="Normalny 2" xfId="3"/>
    <cellStyle name="Normalny 3" xfId="4"/>
    <cellStyle name="Procentowy" xfId="6" builtinId="5"/>
    <cellStyle name="Procentowy 2" xfId="5"/>
  </cellStyles>
  <dxfs count="84"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0"/>
    <pageSetUpPr fitToPage="1"/>
  </sheetPr>
  <dimension ref="A1:X43"/>
  <sheetViews>
    <sheetView tabSelected="1" view="pageBreakPreview" topLeftCell="A19" zoomScale="90" zoomScaleNormal="90" zoomScaleSheetLayoutView="90" zoomScalePageLayoutView="70" workbookViewId="0">
      <selection activeCell="R19" sqref="R19:R24"/>
    </sheetView>
  </sheetViews>
  <sheetFormatPr defaultRowHeight="15" x14ac:dyDescent="0.25"/>
  <cols>
    <col min="1" max="1" width="32.140625" style="5" customWidth="1"/>
    <col min="2" max="2" width="10.7109375" style="1" customWidth="1"/>
    <col min="3" max="5" width="20.7109375" style="5" customWidth="1"/>
    <col min="6" max="15" width="15.7109375" style="5" customWidth="1"/>
    <col min="16" max="16" width="9.140625" style="5"/>
    <col min="17" max="17" width="11.7109375" style="5" bestFit="1" customWidth="1"/>
    <col min="18" max="19" width="12" style="3" bestFit="1" customWidth="1"/>
    <col min="20" max="20" width="9.7109375" style="3" bestFit="1" customWidth="1"/>
    <col min="21" max="16384" width="9.140625" style="3"/>
  </cols>
  <sheetData>
    <row r="1" spans="1:24" s="149" customFormat="1" ht="30" customHeight="1" thickBot="1" x14ac:dyDescent="0.35">
      <c r="A1" s="145" t="s">
        <v>101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8"/>
      <c r="S1" s="148"/>
      <c r="T1" s="148"/>
      <c r="U1" s="148"/>
      <c r="V1" s="148"/>
      <c r="W1" s="148"/>
      <c r="X1" s="148"/>
    </row>
    <row r="2" spans="1:24" s="152" customFormat="1" x14ac:dyDescent="0.25">
      <c r="A2" s="353"/>
      <c r="B2" s="354"/>
      <c r="C2" s="150"/>
      <c r="D2" s="150"/>
      <c r="E2" s="150"/>
      <c r="F2" s="422" t="s">
        <v>18</v>
      </c>
      <c r="G2" s="423"/>
      <c r="H2" s="423"/>
      <c r="I2" s="423"/>
      <c r="J2" s="423"/>
      <c r="K2" s="423"/>
      <c r="L2" s="423"/>
      <c r="M2" s="423"/>
      <c r="N2" s="424"/>
      <c r="O2" s="150"/>
      <c r="P2" s="150"/>
      <c r="Q2" s="150"/>
      <c r="R2" s="151"/>
      <c r="S2" s="151"/>
      <c r="T2" s="151"/>
      <c r="U2" s="151"/>
      <c r="V2" s="151"/>
      <c r="W2" s="151"/>
      <c r="X2" s="151"/>
    </row>
    <row r="3" spans="1:24" s="152" customFormat="1" x14ac:dyDescent="0.25">
      <c r="A3" s="355"/>
      <c r="B3" s="354"/>
      <c r="C3" s="150"/>
      <c r="D3" s="150"/>
      <c r="E3" s="150"/>
      <c r="F3" s="425"/>
      <c r="G3" s="426"/>
      <c r="H3" s="426"/>
      <c r="I3" s="426"/>
      <c r="J3" s="426"/>
      <c r="K3" s="426"/>
      <c r="L3" s="426"/>
      <c r="M3" s="426"/>
      <c r="N3" s="427"/>
      <c r="O3" s="153"/>
      <c r="P3" s="153"/>
      <c r="Q3" s="153"/>
      <c r="X3" s="151"/>
    </row>
    <row r="4" spans="1:24" s="152" customFormat="1" x14ac:dyDescent="0.25">
      <c r="A4" s="356" t="s">
        <v>596</v>
      </c>
      <c r="B4" s="357"/>
      <c r="C4" s="156"/>
      <c r="D4" s="156"/>
      <c r="E4" s="156"/>
      <c r="F4" s="425"/>
      <c r="G4" s="426"/>
      <c r="H4" s="426"/>
      <c r="I4" s="426"/>
      <c r="J4" s="426"/>
      <c r="K4" s="426"/>
      <c r="L4" s="426"/>
      <c r="M4" s="426"/>
      <c r="N4" s="427"/>
      <c r="O4" s="153"/>
      <c r="P4" s="153"/>
      <c r="Q4" s="153"/>
      <c r="X4" s="157"/>
    </row>
    <row r="5" spans="1:24" s="152" customFormat="1" x14ac:dyDescent="0.25">
      <c r="A5" s="358"/>
      <c r="B5" s="357"/>
      <c r="C5" s="156"/>
      <c r="D5" s="156"/>
      <c r="E5" s="156"/>
      <c r="F5" s="425"/>
      <c r="G5" s="426"/>
      <c r="H5" s="426"/>
      <c r="I5" s="426"/>
      <c r="J5" s="426"/>
      <c r="K5" s="426"/>
      <c r="L5" s="426"/>
      <c r="M5" s="426"/>
      <c r="N5" s="427"/>
      <c r="O5" s="153"/>
      <c r="P5" s="153"/>
      <c r="Q5" s="153"/>
      <c r="X5" s="151"/>
    </row>
    <row r="6" spans="1:24" s="152" customFormat="1" x14ac:dyDescent="0.25">
      <c r="A6" s="356" t="s">
        <v>595</v>
      </c>
      <c r="B6" s="357"/>
      <c r="C6" s="156"/>
      <c r="D6" s="156"/>
      <c r="E6" s="156"/>
      <c r="F6" s="425"/>
      <c r="G6" s="426"/>
      <c r="H6" s="426"/>
      <c r="I6" s="426"/>
      <c r="J6" s="426"/>
      <c r="K6" s="426"/>
      <c r="L6" s="426"/>
      <c r="M6" s="426"/>
      <c r="N6" s="427"/>
      <c r="O6" s="153"/>
      <c r="P6" s="153"/>
      <c r="Q6" s="153"/>
      <c r="X6" s="157"/>
    </row>
    <row r="7" spans="1:24" s="152" customFormat="1" ht="15.75" thickBot="1" x14ac:dyDescent="0.3">
      <c r="A7" s="358"/>
      <c r="B7" s="357"/>
      <c r="C7" s="156"/>
      <c r="D7" s="156"/>
      <c r="E7" s="156"/>
      <c r="F7" s="428" t="s">
        <v>19</v>
      </c>
      <c r="G7" s="429"/>
      <c r="H7" s="429"/>
      <c r="I7" s="429"/>
      <c r="J7" s="429"/>
      <c r="K7" s="429"/>
      <c r="L7" s="429"/>
      <c r="M7" s="429"/>
      <c r="N7" s="430"/>
      <c r="O7" s="153"/>
      <c r="P7" s="153"/>
      <c r="Q7" s="153"/>
      <c r="X7" s="151"/>
    </row>
    <row r="8" spans="1:24" s="152" customFormat="1" x14ac:dyDescent="0.25">
      <c r="A8" s="358"/>
      <c r="B8" s="357"/>
      <c r="C8" s="156"/>
      <c r="D8" s="156"/>
      <c r="E8" s="156"/>
      <c r="F8" s="155"/>
      <c r="G8" s="155"/>
      <c r="H8" s="155"/>
      <c r="I8" s="155"/>
      <c r="J8" s="155"/>
      <c r="K8" s="155"/>
      <c r="L8" s="155"/>
      <c r="M8" s="155"/>
      <c r="N8" s="155"/>
      <c r="O8" s="153"/>
      <c r="P8" s="153"/>
      <c r="Q8" s="153"/>
      <c r="X8" s="151"/>
    </row>
    <row r="9" spans="1:24" s="152" customFormat="1" ht="20.100000000000001" customHeight="1" thickBot="1" x14ac:dyDescent="0.3">
      <c r="A9" s="154" t="s">
        <v>0</v>
      </c>
      <c r="B9" s="155"/>
      <c r="C9" s="156"/>
      <c r="D9" s="156"/>
      <c r="E9" s="156"/>
      <c r="F9" s="155"/>
      <c r="G9" s="155"/>
      <c r="H9" s="155"/>
      <c r="I9" s="155"/>
      <c r="J9" s="155"/>
      <c r="K9" s="155"/>
      <c r="L9" s="155"/>
      <c r="M9" s="155"/>
      <c r="N9" s="155"/>
      <c r="O9" s="153"/>
      <c r="P9" s="153"/>
      <c r="Q9" s="153"/>
      <c r="X9" s="151"/>
    </row>
    <row r="10" spans="1:24" ht="20.100000000000001" customHeight="1" x14ac:dyDescent="0.25">
      <c r="A10" s="431" t="s">
        <v>1</v>
      </c>
      <c r="B10" s="433" t="s">
        <v>29</v>
      </c>
      <c r="C10" s="435" t="s">
        <v>20</v>
      </c>
      <c r="D10" s="437" t="s">
        <v>21</v>
      </c>
      <c r="E10" s="439" t="s">
        <v>22</v>
      </c>
      <c r="F10" s="441" t="s">
        <v>12</v>
      </c>
      <c r="G10" s="442"/>
      <c r="H10" s="442"/>
      <c r="I10" s="442"/>
      <c r="J10" s="442"/>
      <c r="K10" s="442"/>
      <c r="L10" s="442"/>
      <c r="M10" s="442"/>
      <c r="N10" s="442"/>
      <c r="O10" s="443"/>
      <c r="P10" s="19"/>
      <c r="Q10" s="19"/>
      <c r="R10" s="2"/>
      <c r="S10" s="2"/>
      <c r="T10" s="2"/>
      <c r="U10" s="2"/>
      <c r="X10" s="4"/>
    </row>
    <row r="11" spans="1:24" s="1" customFormat="1" ht="20.100000000000001" customHeight="1" thickBot="1" x14ac:dyDescent="0.3">
      <c r="A11" s="432"/>
      <c r="B11" s="434"/>
      <c r="C11" s="436"/>
      <c r="D11" s="438"/>
      <c r="E11" s="440"/>
      <c r="F11" s="39">
        <v>2019</v>
      </c>
      <c r="G11" s="40">
        <v>2020</v>
      </c>
      <c r="H11" s="40">
        <v>2021</v>
      </c>
      <c r="I11" s="40">
        <v>2022</v>
      </c>
      <c r="J11" s="40">
        <v>2023</v>
      </c>
      <c r="K11" s="40">
        <v>2024</v>
      </c>
      <c r="L11" s="40">
        <v>2025</v>
      </c>
      <c r="M11" s="40">
        <v>2026</v>
      </c>
      <c r="N11" s="40">
        <v>2027</v>
      </c>
      <c r="O11" s="41">
        <v>2028</v>
      </c>
      <c r="P11" s="6"/>
      <c r="Q11" s="6"/>
      <c r="R11" s="6"/>
      <c r="S11" s="6"/>
      <c r="T11" s="6"/>
      <c r="U11" s="6"/>
      <c r="V11" s="7"/>
      <c r="W11" s="7"/>
      <c r="X11" s="7"/>
    </row>
    <row r="12" spans="1:24" ht="39.950000000000003" customHeight="1" thickTop="1" x14ac:dyDescent="0.25">
      <c r="A12" s="43" t="s">
        <v>31</v>
      </c>
      <c r="B12" s="135">
        <f>COUNTA('pow podst'!K3:K43)</f>
        <v>41</v>
      </c>
      <c r="C12" s="44">
        <f>SUM('pow podst'!J3:J43)</f>
        <v>157284782.53099996</v>
      </c>
      <c r="D12" s="45">
        <f>SUM('pow podst'!L3:L43)</f>
        <v>61980830.530999996</v>
      </c>
      <c r="E12" s="46">
        <f>SUM('pow podst'!K3:K43)</f>
        <v>95303952</v>
      </c>
      <c r="F12" s="47">
        <f>SUM('pow podst'!N3:N43)</f>
        <v>0</v>
      </c>
      <c r="G12" s="47">
        <f>SUM('pow podst'!O3:O43)</f>
        <v>50000</v>
      </c>
      <c r="H12" s="47">
        <f>SUM('pow podst'!P3:P43)</f>
        <v>260000</v>
      </c>
      <c r="I12" s="47">
        <f>SUM('pow podst'!Q3:Q43)</f>
        <v>3530277</v>
      </c>
      <c r="J12" s="47">
        <f>SUM('pow podst'!R3:R43)</f>
        <v>71450179</v>
      </c>
      <c r="K12" s="47">
        <f>SUM('pow podst'!S3:S43)</f>
        <v>20013496</v>
      </c>
      <c r="L12" s="47">
        <f>SUM('pow podst'!T3:T43)</f>
        <v>0</v>
      </c>
      <c r="M12" s="47">
        <f>SUM('pow podst'!U3:U43)</f>
        <v>0</v>
      </c>
      <c r="N12" s="47">
        <f>SUM('pow podst'!V3:V43)</f>
        <v>0</v>
      </c>
      <c r="O12" s="48">
        <f>SUM('pow podst'!W3:W43)</f>
        <v>0</v>
      </c>
      <c r="P12" s="8" t="b">
        <f>C12=(D12+E12)</f>
        <v>1</v>
      </c>
      <c r="Q12" s="20" t="b">
        <f>E12=SUM(F12:O12)</f>
        <v>1</v>
      </c>
      <c r="R12" s="9"/>
      <c r="S12" s="9"/>
      <c r="T12" s="10"/>
      <c r="U12" s="10"/>
      <c r="V12" s="11"/>
      <c r="W12" s="4"/>
      <c r="X12" s="4"/>
    </row>
    <row r="13" spans="1:24" ht="39.950000000000003" customHeight="1" x14ac:dyDescent="0.25">
      <c r="A13" s="49" t="s">
        <v>32</v>
      </c>
      <c r="B13" s="115">
        <f>COUNTIF('pow podst'!C3:C43,"K")</f>
        <v>5</v>
      </c>
      <c r="C13" s="85">
        <f>SUMIF('pow podst'!C3:C43,"K",'pow podst'!J3:J43)</f>
        <v>23304007.489999998</v>
      </c>
      <c r="D13" s="86">
        <f>SUMIF('pow podst'!C3:C43,"K",'pow podst'!L3:L43)</f>
        <v>10366034.49</v>
      </c>
      <c r="E13" s="23">
        <f>SUMIF('pow podst'!C3:C43,"K",'pow podst'!K3:K43)</f>
        <v>12937973</v>
      </c>
      <c r="F13" s="91">
        <f>SUMIF('pow podst'!$C$3:$C$43,"K",'pow podst'!N3:N43)</f>
        <v>0</v>
      </c>
      <c r="G13" s="85">
        <f>SUMIF('pow podst'!$C$3:$C$43,"K",'pow podst'!O3:O43)</f>
        <v>50000</v>
      </c>
      <c r="H13" s="85">
        <f>SUMIF('pow podst'!$C$3:$C$43,"K",'pow podst'!P3:P43)</f>
        <v>260000</v>
      </c>
      <c r="I13" s="85">
        <f>SUMIF('pow podst'!$C$3:$C$43,"K",'pow podst'!Q3:Q43)</f>
        <v>3530277</v>
      </c>
      <c r="J13" s="85">
        <f>SUMIF('pow podst'!$C$3:$C$43,"K",'pow podst'!R3:R43)</f>
        <v>7627696</v>
      </c>
      <c r="K13" s="85">
        <f>SUMIF('pow podst'!$C$3:$C$43,"K",'pow podst'!S3:S43)</f>
        <v>1470000</v>
      </c>
      <c r="L13" s="85">
        <f>SUMIF('pow podst'!$C$3:$C$43,"K",'pow podst'!T3:T43)</f>
        <v>0</v>
      </c>
      <c r="M13" s="85">
        <f>SUMIF('pow podst'!$C$3:$C$43,"K",'pow podst'!U3:U43)</f>
        <v>0</v>
      </c>
      <c r="N13" s="85">
        <f>SUMIF('pow podst'!$C$3:$C$43,"K",'pow podst'!V3:V43)</f>
        <v>0</v>
      </c>
      <c r="O13" s="92">
        <f>SUMIF('pow podst'!$C$3:$C$43,"K",'pow podst'!W3:W43)</f>
        <v>0</v>
      </c>
      <c r="P13" s="8" t="b">
        <f t="shared" ref="P13:P36" si="0">C13=(D13+E13)</f>
        <v>1</v>
      </c>
      <c r="Q13" s="20" t="b">
        <f t="shared" ref="Q13:Q36" si="1">E13=SUM(F13:O13)</f>
        <v>1</v>
      </c>
      <c r="R13" s="9"/>
      <c r="S13" s="9"/>
      <c r="T13" s="10"/>
      <c r="U13" s="10"/>
      <c r="V13" s="11"/>
      <c r="W13" s="4"/>
      <c r="X13" s="4"/>
    </row>
    <row r="14" spans="1:24" ht="39.950000000000003" customHeight="1" x14ac:dyDescent="0.25">
      <c r="A14" s="50" t="s">
        <v>33</v>
      </c>
      <c r="B14" s="116">
        <f>COUNTIF('pow podst'!C3:C43,"N")</f>
        <v>32</v>
      </c>
      <c r="C14" s="87">
        <f>SUMIF('pow podst'!C3:C43,"N",'pow podst'!J3:J43)</f>
        <v>99606614.331</v>
      </c>
      <c r="D14" s="88">
        <f>SUMIF('pow podst'!C3:C43,"N",'pow podst'!L3:L43)</f>
        <v>39755131.330999993</v>
      </c>
      <c r="E14" s="22">
        <f>SUMIF('pow podst'!C3:C43,"N",'pow podst'!K3:K43)</f>
        <v>59851483</v>
      </c>
      <c r="F14" s="93">
        <f>SUMIF('pow podst'!$C$3:$C$43,"N",'pow podst'!N3:N43)</f>
        <v>0</v>
      </c>
      <c r="G14" s="87">
        <f>SUMIF('pow podst'!$C$3:$C$43,"N",'pow podst'!O3:O43)</f>
        <v>0</v>
      </c>
      <c r="H14" s="87">
        <f>SUMIF('pow podst'!$C$3:$C$43,"N",'pow podst'!P3:P43)</f>
        <v>0</v>
      </c>
      <c r="I14" s="87">
        <f>SUMIF('pow podst'!$C$3:$C$43,"N",'pow podst'!Q3:Q43)</f>
        <v>0</v>
      </c>
      <c r="J14" s="87">
        <f>SUMIF('pow podst'!$C$3:$C$43,"N",'pow podst'!R3:R43)</f>
        <v>59851483</v>
      </c>
      <c r="K14" s="87">
        <f>SUMIF('pow podst'!$C$3:$C$43,"N",'pow podst'!S3:S43)</f>
        <v>0</v>
      </c>
      <c r="L14" s="87">
        <f>SUMIF('pow podst'!$C$3:$C$43,"N",'pow podst'!T3:T43)</f>
        <v>0</v>
      </c>
      <c r="M14" s="87">
        <f>SUMIF('pow podst'!$C$3:$C$43,"N",'pow podst'!U3:U43)</f>
        <v>0</v>
      </c>
      <c r="N14" s="87">
        <f>SUMIF('pow podst'!$C$3:$C$43,"N",'pow podst'!V3:V43)</f>
        <v>0</v>
      </c>
      <c r="O14" s="94">
        <f>SUMIF('pow podst'!$C$3:$C$43,"N",'pow podst'!W3:W43)</f>
        <v>0</v>
      </c>
      <c r="P14" s="8" t="b">
        <f>C14=(D14+E14)</f>
        <v>1</v>
      </c>
      <c r="Q14" s="20" t="b">
        <f t="shared" si="1"/>
        <v>1</v>
      </c>
      <c r="R14" s="9"/>
      <c r="S14" s="9"/>
      <c r="T14" s="10"/>
      <c r="U14" s="10"/>
      <c r="V14" s="11"/>
      <c r="W14" s="4"/>
      <c r="X14" s="4"/>
    </row>
    <row r="15" spans="1:24" ht="39.950000000000003" customHeight="1" thickBot="1" x14ac:dyDescent="0.3">
      <c r="A15" s="51" t="s">
        <v>34</v>
      </c>
      <c r="B15" s="117">
        <f>COUNTIF('pow podst'!C3:C43,"W")</f>
        <v>4</v>
      </c>
      <c r="C15" s="89">
        <f>SUMIF('pow podst'!C3:C43,"W",'pow podst'!J3:J43)</f>
        <v>34374160.710000001</v>
      </c>
      <c r="D15" s="90">
        <f>SUMIF('pow podst'!C3:C43,"W",'pow podst'!L3:L43)</f>
        <v>11859664.710000001</v>
      </c>
      <c r="E15" s="52">
        <f>SUMIF('pow podst'!C3:C43,"W",'pow podst'!K3:K43)</f>
        <v>22514496</v>
      </c>
      <c r="F15" s="95">
        <f>SUMIF('pow podst'!$C$3:$C$43,"W",'pow podst'!N3:N43)</f>
        <v>0</v>
      </c>
      <c r="G15" s="89">
        <f>SUMIF('pow podst'!$C$3:$C$43,"W",'pow podst'!O3:O43)</f>
        <v>0</v>
      </c>
      <c r="H15" s="89">
        <f>SUMIF('pow podst'!$C$3:$C$43,"W",'pow podst'!P3:P43)</f>
        <v>0</v>
      </c>
      <c r="I15" s="89">
        <f>SUMIF('pow podst'!$C$3:$C$43,"W",'pow podst'!Q3:Q43)</f>
        <v>0</v>
      </c>
      <c r="J15" s="89">
        <f>SUMIF('pow podst'!$C$3:$C$43,"W",'pow podst'!R3:R43)</f>
        <v>3971000</v>
      </c>
      <c r="K15" s="89">
        <f>SUMIF('pow podst'!$C$3:$C$43,"W",'pow podst'!S3:S43)</f>
        <v>18543496</v>
      </c>
      <c r="L15" s="89">
        <f>SUMIF('pow podst'!$C$3:$C$43,"W",'pow podst'!T3:T43)</f>
        <v>0</v>
      </c>
      <c r="M15" s="89">
        <f>SUMIF('pow podst'!$C$3:$C$43,"W",'pow podst'!U3:U43)</f>
        <v>0</v>
      </c>
      <c r="N15" s="89">
        <f>SUMIF('pow podst'!$C$3:$C$43,"W",'pow podst'!V3:V43)</f>
        <v>0</v>
      </c>
      <c r="O15" s="96">
        <f>SUMIF('pow podst'!$C$3:$C$43,"W",'pow podst'!W3:W43)</f>
        <v>0</v>
      </c>
      <c r="P15" s="8" t="b">
        <f t="shared" si="0"/>
        <v>1</v>
      </c>
      <c r="Q15" s="20" t="b">
        <f t="shared" si="1"/>
        <v>1</v>
      </c>
      <c r="R15" s="9"/>
      <c r="S15" s="9"/>
      <c r="T15" s="10"/>
      <c r="U15" s="10"/>
      <c r="V15" s="11"/>
      <c r="W15" s="4"/>
      <c r="X15" s="4"/>
    </row>
    <row r="16" spans="1:24" ht="39.950000000000003" customHeight="1" thickTop="1" x14ac:dyDescent="0.25">
      <c r="A16" s="43" t="s">
        <v>35</v>
      </c>
      <c r="B16" s="118">
        <f>COUNTA('gm podst'!C3:C65)</f>
        <v>63</v>
      </c>
      <c r="C16" s="44">
        <f>SUM('gm podst'!K3:K65)</f>
        <v>187233669.97000006</v>
      </c>
      <c r="D16" s="44">
        <f>SUM('gm podst'!M3:M65)</f>
        <v>61450242.969999999</v>
      </c>
      <c r="E16" s="46">
        <f>SUM('gm podst'!L3:L65)</f>
        <v>125783427</v>
      </c>
      <c r="F16" s="97">
        <f>SUM('gm podst'!O3:O65)</f>
        <v>0</v>
      </c>
      <c r="G16" s="98">
        <f>SUM('gm podst'!P3:P65)</f>
        <v>393500</v>
      </c>
      <c r="H16" s="98">
        <f>SUM('gm podst'!Q3:Q65)</f>
        <v>1935500</v>
      </c>
      <c r="I16" s="98">
        <f>SUM('gm podst'!R3:R65)</f>
        <v>17308234</v>
      </c>
      <c r="J16" s="98">
        <f>SUM('gm podst'!S3:S65)</f>
        <v>69740616</v>
      </c>
      <c r="K16" s="98">
        <f>SUM('gm podst'!T3:T65)</f>
        <v>28109491</v>
      </c>
      <c r="L16" s="98">
        <f>SUM('gm podst'!U3:U65)</f>
        <v>8296086</v>
      </c>
      <c r="M16" s="98">
        <f>SUM('gm podst'!V3:V65)</f>
        <v>0</v>
      </c>
      <c r="N16" s="98">
        <f>SUM('gm podst'!W3:W65)</f>
        <v>0</v>
      </c>
      <c r="O16" s="99">
        <f>SUM('gm podst'!X3:X65)</f>
        <v>0</v>
      </c>
      <c r="P16" s="8" t="b">
        <f t="shared" si="0"/>
        <v>1</v>
      </c>
      <c r="Q16" s="20" t="b">
        <f t="shared" si="1"/>
        <v>1</v>
      </c>
      <c r="R16" s="9"/>
      <c r="S16" s="9"/>
      <c r="T16" s="10"/>
      <c r="U16" s="10"/>
      <c r="V16" s="10"/>
      <c r="W16" s="10"/>
      <c r="X16" s="10"/>
    </row>
    <row r="17" spans="1:24" ht="39.950000000000003" customHeight="1" x14ac:dyDescent="0.25">
      <c r="A17" s="49" t="s">
        <v>32</v>
      </c>
      <c r="B17" s="119">
        <f>COUNTIF('gm podst'!C3:C65,"K")</f>
        <v>11</v>
      </c>
      <c r="C17" s="85">
        <f>SUMIF('gm podst'!C3:C65,"K",'gm podst'!K3:K65)</f>
        <v>67474011.600000009</v>
      </c>
      <c r="D17" s="86">
        <f>SUMIF('gm podst'!C3:C65,"K",'gm podst'!M3:M65)</f>
        <v>20506713.599999998</v>
      </c>
      <c r="E17" s="23">
        <f>SUMIF('gm podst'!C3:C65,"K",'gm podst'!L3:L65)</f>
        <v>46967298</v>
      </c>
      <c r="F17" s="91">
        <f>SUMIF('gm podst'!$C$3:$C$65,"K",'gm podst'!O3:O65)</f>
        <v>0</v>
      </c>
      <c r="G17" s="85">
        <f>SUMIF('gm podst'!$C$3:$C$65,"K",'gm podst'!P3:P65)</f>
        <v>393500</v>
      </c>
      <c r="H17" s="85">
        <f>SUMIF('gm podst'!$C$3:$C$65,"K",'gm podst'!Q3:Q65)</f>
        <v>1935500</v>
      </c>
      <c r="I17" s="85">
        <f>SUMIF('gm podst'!$C$3:$C$65,"K",'gm podst'!R3:R65)</f>
        <v>17308234</v>
      </c>
      <c r="J17" s="85">
        <f>SUMIF('gm podst'!$C$3:$C$65,"K",'gm podst'!S3:S65)</f>
        <v>26001044</v>
      </c>
      <c r="K17" s="85">
        <f>SUMIF('gm podst'!$C$3:$C$65,"K",'gm podst'!T3:T65)</f>
        <v>1329020</v>
      </c>
      <c r="L17" s="85">
        <f>SUMIF('gm podst'!$C$3:$C$65,"K",'gm podst'!U3:U65)</f>
        <v>0</v>
      </c>
      <c r="M17" s="85">
        <f>SUMIF('gm podst'!$C$3:$C$65,"K",'gm podst'!V3:V65)</f>
        <v>0</v>
      </c>
      <c r="N17" s="85">
        <f>SUMIF('gm podst'!$C$3:$C$65,"K",'gm podst'!W3:W65)</f>
        <v>0</v>
      </c>
      <c r="O17" s="92">
        <f>SUMIF('gm podst'!$C$3:$C$65,"K",'gm podst'!X3:X65)</f>
        <v>0</v>
      </c>
      <c r="P17" s="8" t="b">
        <f t="shared" si="0"/>
        <v>1</v>
      </c>
      <c r="Q17" s="20" t="b">
        <f t="shared" si="1"/>
        <v>1</v>
      </c>
      <c r="R17" s="9"/>
      <c r="S17" s="9"/>
      <c r="T17" s="10"/>
      <c r="U17" s="10"/>
      <c r="V17" s="10"/>
      <c r="W17" s="10"/>
      <c r="X17" s="10"/>
    </row>
    <row r="18" spans="1:24" ht="39.950000000000003" customHeight="1" x14ac:dyDescent="0.25">
      <c r="A18" s="50" t="s">
        <v>33</v>
      </c>
      <c r="B18" s="116">
        <f>COUNTIF('gm podst'!C3:C65,"N")</f>
        <v>38</v>
      </c>
      <c r="C18" s="87">
        <f>SUMIF('gm podst'!C3:C65,"N",'gm podst'!K3:K65)</f>
        <v>56955495.909999996</v>
      </c>
      <c r="D18" s="88">
        <f>SUMIF('gm podst'!C3:C65,"N",'gm podst'!M3:M65)</f>
        <v>20507208.910000004</v>
      </c>
      <c r="E18" s="22">
        <f>SUMIF('gm podst'!C3:C65,"N",'gm podst'!L3:L65)</f>
        <v>36448287</v>
      </c>
      <c r="F18" s="93">
        <f>SUMIF('gm podst'!$C$3:$C$65,"N",'gm podst'!O3:O65)</f>
        <v>0</v>
      </c>
      <c r="G18" s="87">
        <f>SUMIF('gm podst'!$C$3:$C$65,"N",'gm podst'!P3:P65)</f>
        <v>0</v>
      </c>
      <c r="H18" s="87">
        <f>SUMIF('gm podst'!$C$3:$C$65,"N",'gm podst'!Q3:Q65)</f>
        <v>0</v>
      </c>
      <c r="I18" s="87">
        <f>SUMIF('gm podst'!$C$3:$C$65,"N",'gm podst'!R3:R65)</f>
        <v>0</v>
      </c>
      <c r="J18" s="87">
        <f>SUMIF('gm podst'!$C$3:$C$65,"N",'gm podst'!S3:S65)</f>
        <v>36448287</v>
      </c>
      <c r="K18" s="87">
        <f>SUMIF('gm podst'!$C$3:$C$65,"N",'gm podst'!T3:T65)</f>
        <v>0</v>
      </c>
      <c r="L18" s="87">
        <f>SUMIF('gm podst'!$C$3:$C$65,"N",'gm podst'!U3:U65)</f>
        <v>0</v>
      </c>
      <c r="M18" s="87">
        <f>SUMIF('gm podst'!$C$3:$C$65,"N",'gm podst'!V3:V65)</f>
        <v>0</v>
      </c>
      <c r="N18" s="87">
        <f>SUMIF('gm podst'!$C$3:$C$65,"N",'gm podst'!W3:W65)</f>
        <v>0</v>
      </c>
      <c r="O18" s="94">
        <f>SUMIF('gm podst'!$C$3:$C$65,"N",'gm podst'!X3:X65)</f>
        <v>0</v>
      </c>
      <c r="P18" s="8" t="b">
        <f t="shared" si="0"/>
        <v>1</v>
      </c>
      <c r="Q18" s="20" t="b">
        <f t="shared" si="1"/>
        <v>1</v>
      </c>
      <c r="R18" s="9"/>
      <c r="S18" s="9"/>
      <c r="T18" s="10"/>
      <c r="U18" s="10"/>
      <c r="V18" s="10"/>
      <c r="W18" s="10"/>
      <c r="X18" s="10"/>
    </row>
    <row r="19" spans="1:24" ht="39.950000000000003" customHeight="1" thickBot="1" x14ac:dyDescent="0.3">
      <c r="A19" s="51" t="s">
        <v>34</v>
      </c>
      <c r="B19" s="117">
        <f>COUNTIF('gm podst'!C3:C65,"W")</f>
        <v>14</v>
      </c>
      <c r="C19" s="89">
        <f>SUMIF('gm podst'!C3:C65,"W",'gm podst'!K3:K65)</f>
        <v>62804162.459999993</v>
      </c>
      <c r="D19" s="90">
        <f>SUMIF('gm podst'!C3:C65,"W",'gm podst'!M3:M65)</f>
        <v>20436320.459999997</v>
      </c>
      <c r="E19" s="52">
        <f>SUMIF('gm podst'!C3:C65,"W",'gm podst'!L3:L65)</f>
        <v>42367842</v>
      </c>
      <c r="F19" s="95">
        <f>SUMIF('gm podst'!$C$3:$C$65,"W",'gm podst'!O3:O65)</f>
        <v>0</v>
      </c>
      <c r="G19" s="89">
        <f>SUMIF('gm podst'!$C$3:$C$65,"W",'gm podst'!P3:P65)</f>
        <v>0</v>
      </c>
      <c r="H19" s="89">
        <f>SUMIF('gm podst'!$C$3:$C$65,"W",'gm podst'!Q3:Q65)</f>
        <v>0</v>
      </c>
      <c r="I19" s="89">
        <f>SUMIF('gm podst'!$C$3:$C$65,"W",'gm podst'!R3:R65)</f>
        <v>0</v>
      </c>
      <c r="J19" s="89">
        <f>SUMIF('gm podst'!$C$3:$C$65,"W",'gm podst'!S3:S65)</f>
        <v>7291285</v>
      </c>
      <c r="K19" s="89">
        <f>SUMIF('gm podst'!$C$3:$C$65,"W",'gm podst'!T3:T65)</f>
        <v>26780471</v>
      </c>
      <c r="L19" s="89">
        <f>SUMIF('gm podst'!$C$3:$C$65,"W",'gm podst'!U3:U65)</f>
        <v>8296086</v>
      </c>
      <c r="M19" s="89">
        <f>SUMIF('gm podst'!$C$3:$C$65,"W",'gm podst'!V3:V65)</f>
        <v>0</v>
      </c>
      <c r="N19" s="89">
        <f>SUMIF('gm podst'!$C$3:$C$65,"W",'gm podst'!W3:W65)</f>
        <v>0</v>
      </c>
      <c r="O19" s="96">
        <f>SUMIF('gm podst'!$C$3:$C$65,"W",'gm podst'!X3:X65)</f>
        <v>0</v>
      </c>
      <c r="P19" s="8" t="b">
        <f t="shared" si="0"/>
        <v>1</v>
      </c>
      <c r="Q19" s="20" t="b">
        <f t="shared" si="1"/>
        <v>1</v>
      </c>
      <c r="R19" s="9"/>
      <c r="S19" s="9"/>
      <c r="T19" s="10"/>
      <c r="U19" s="10"/>
      <c r="V19" s="10"/>
      <c r="W19" s="10"/>
      <c r="X19" s="10"/>
    </row>
    <row r="20" spans="1:24" s="14" customFormat="1" ht="39.950000000000003" customHeight="1" thickTop="1" x14ac:dyDescent="0.25">
      <c r="A20" s="137" t="s">
        <v>36</v>
      </c>
      <c r="B20" s="138">
        <f>B12+B16</f>
        <v>104</v>
      </c>
      <c r="C20" s="139">
        <f>C12+C16</f>
        <v>344518452.50100005</v>
      </c>
      <c r="D20" s="140">
        <f t="shared" ref="C20:O22" si="2">D12+D16</f>
        <v>123431073.50099999</v>
      </c>
      <c r="E20" s="76">
        <f t="shared" si="2"/>
        <v>221087379</v>
      </c>
      <c r="F20" s="141">
        <f t="shared" si="2"/>
        <v>0</v>
      </c>
      <c r="G20" s="139">
        <f t="shared" si="2"/>
        <v>443500</v>
      </c>
      <c r="H20" s="139">
        <f t="shared" si="2"/>
        <v>2195500</v>
      </c>
      <c r="I20" s="139">
        <f t="shared" si="2"/>
        <v>20838511</v>
      </c>
      <c r="J20" s="139">
        <f t="shared" si="2"/>
        <v>141190795</v>
      </c>
      <c r="K20" s="139">
        <f t="shared" si="2"/>
        <v>48122987</v>
      </c>
      <c r="L20" s="139">
        <f t="shared" si="2"/>
        <v>8296086</v>
      </c>
      <c r="M20" s="139">
        <f t="shared" si="2"/>
        <v>0</v>
      </c>
      <c r="N20" s="139">
        <f t="shared" si="2"/>
        <v>0</v>
      </c>
      <c r="O20" s="142">
        <f t="shared" si="2"/>
        <v>0</v>
      </c>
      <c r="P20" s="8" t="b">
        <f t="shared" si="0"/>
        <v>1</v>
      </c>
      <c r="Q20" s="20" t="b">
        <f t="shared" si="1"/>
        <v>1</v>
      </c>
      <c r="R20" s="143"/>
      <c r="S20" s="143"/>
      <c r="T20" s="144"/>
      <c r="U20" s="144"/>
      <c r="V20" s="144"/>
      <c r="W20" s="144"/>
      <c r="X20" s="144"/>
    </row>
    <row r="21" spans="1:24" s="14" customFormat="1" ht="39.950000000000003" customHeight="1" x14ac:dyDescent="0.25">
      <c r="A21" s="53" t="s">
        <v>32</v>
      </c>
      <c r="B21" s="120">
        <f>B13+B17</f>
        <v>16</v>
      </c>
      <c r="C21" s="24">
        <f t="shared" si="2"/>
        <v>90778019.090000004</v>
      </c>
      <c r="D21" s="30">
        <f t="shared" si="2"/>
        <v>30872748.089999996</v>
      </c>
      <c r="E21" s="23">
        <f t="shared" si="2"/>
        <v>59905271</v>
      </c>
      <c r="F21" s="34">
        <f t="shared" si="2"/>
        <v>0</v>
      </c>
      <c r="G21" s="24">
        <f t="shared" si="2"/>
        <v>443500</v>
      </c>
      <c r="H21" s="24">
        <f t="shared" si="2"/>
        <v>2195500</v>
      </c>
      <c r="I21" s="24">
        <f t="shared" si="2"/>
        <v>20838511</v>
      </c>
      <c r="J21" s="24">
        <f t="shared" si="2"/>
        <v>33628740</v>
      </c>
      <c r="K21" s="24">
        <f t="shared" si="2"/>
        <v>2799020</v>
      </c>
      <c r="L21" s="24">
        <f t="shared" si="2"/>
        <v>0</v>
      </c>
      <c r="M21" s="24">
        <f t="shared" si="2"/>
        <v>0</v>
      </c>
      <c r="N21" s="24">
        <f t="shared" si="2"/>
        <v>0</v>
      </c>
      <c r="O21" s="54">
        <f t="shared" si="2"/>
        <v>0</v>
      </c>
      <c r="P21" s="8" t="b">
        <f t="shared" si="0"/>
        <v>1</v>
      </c>
      <c r="Q21" s="20" t="b">
        <f t="shared" si="1"/>
        <v>1</v>
      </c>
      <c r="R21" s="143"/>
      <c r="S21" s="12"/>
      <c r="T21" s="13"/>
      <c r="U21" s="13"/>
      <c r="V21" s="13"/>
      <c r="W21" s="13"/>
      <c r="X21" s="13"/>
    </row>
    <row r="22" spans="1:24" s="14" customFormat="1" ht="39.950000000000003" customHeight="1" x14ac:dyDescent="0.25">
      <c r="A22" s="55" t="s">
        <v>33</v>
      </c>
      <c r="B22" s="121">
        <f>B14+B18</f>
        <v>70</v>
      </c>
      <c r="C22" s="27">
        <f t="shared" si="2"/>
        <v>156562110.241</v>
      </c>
      <c r="D22" s="31">
        <f t="shared" si="2"/>
        <v>60262340.240999997</v>
      </c>
      <c r="E22" s="22">
        <f t="shared" si="2"/>
        <v>96299770</v>
      </c>
      <c r="F22" s="35">
        <f t="shared" si="2"/>
        <v>0</v>
      </c>
      <c r="G22" s="27">
        <f t="shared" si="2"/>
        <v>0</v>
      </c>
      <c r="H22" s="27">
        <f t="shared" si="2"/>
        <v>0</v>
      </c>
      <c r="I22" s="27">
        <f t="shared" si="2"/>
        <v>0</v>
      </c>
      <c r="J22" s="27">
        <f t="shared" si="2"/>
        <v>96299770</v>
      </c>
      <c r="K22" s="27">
        <f t="shared" si="2"/>
        <v>0</v>
      </c>
      <c r="L22" s="27">
        <f t="shared" si="2"/>
        <v>0</v>
      </c>
      <c r="M22" s="27">
        <f t="shared" si="2"/>
        <v>0</v>
      </c>
      <c r="N22" s="27">
        <f t="shared" si="2"/>
        <v>0</v>
      </c>
      <c r="O22" s="56">
        <f t="shared" si="2"/>
        <v>0</v>
      </c>
      <c r="P22" s="8" t="b">
        <f t="shared" si="0"/>
        <v>1</v>
      </c>
      <c r="Q22" s="20" t="b">
        <f t="shared" si="1"/>
        <v>1</v>
      </c>
      <c r="R22" s="143"/>
      <c r="S22" s="12"/>
      <c r="T22" s="13"/>
      <c r="U22" s="13"/>
      <c r="V22" s="13"/>
      <c r="W22" s="13"/>
      <c r="X22" s="13"/>
    </row>
    <row r="23" spans="1:24" s="14" customFormat="1" ht="39.950000000000003" customHeight="1" thickBot="1" x14ac:dyDescent="0.3">
      <c r="A23" s="57" t="s">
        <v>34</v>
      </c>
      <c r="B23" s="122">
        <f>B15+B19</f>
        <v>18</v>
      </c>
      <c r="C23" s="58">
        <f t="shared" ref="C23:O23" si="3">C15+C19</f>
        <v>97178323.169999987</v>
      </c>
      <c r="D23" s="59">
        <f t="shared" si="3"/>
        <v>32295985.169999998</v>
      </c>
      <c r="E23" s="52">
        <f t="shared" si="3"/>
        <v>64882338</v>
      </c>
      <c r="F23" s="60">
        <f t="shared" si="3"/>
        <v>0</v>
      </c>
      <c r="G23" s="58">
        <f t="shared" si="3"/>
        <v>0</v>
      </c>
      <c r="H23" s="58">
        <f t="shared" si="3"/>
        <v>0</v>
      </c>
      <c r="I23" s="58">
        <f t="shared" si="3"/>
        <v>0</v>
      </c>
      <c r="J23" s="58">
        <f t="shared" si="3"/>
        <v>11262285</v>
      </c>
      <c r="K23" s="58">
        <f t="shared" si="3"/>
        <v>45323967</v>
      </c>
      <c r="L23" s="58">
        <f t="shared" si="3"/>
        <v>8296086</v>
      </c>
      <c r="M23" s="58">
        <f t="shared" si="3"/>
        <v>0</v>
      </c>
      <c r="N23" s="58">
        <f t="shared" si="3"/>
        <v>0</v>
      </c>
      <c r="O23" s="61">
        <f t="shared" si="3"/>
        <v>0</v>
      </c>
      <c r="P23" s="8" t="b">
        <f t="shared" si="0"/>
        <v>1</v>
      </c>
      <c r="Q23" s="20" t="b">
        <f t="shared" si="1"/>
        <v>1</v>
      </c>
      <c r="R23" s="143"/>
      <c r="S23" s="12"/>
      <c r="T23" s="13"/>
      <c r="U23" s="13"/>
      <c r="V23" s="13"/>
      <c r="W23" s="13"/>
      <c r="X23" s="13"/>
    </row>
    <row r="24" spans="1:24" ht="39.950000000000003" customHeight="1" thickTop="1" x14ac:dyDescent="0.25">
      <c r="A24" s="43" t="s">
        <v>2</v>
      </c>
      <c r="B24" s="114">
        <f>COUNTA('pow rez'!C3:C32)</f>
        <v>30</v>
      </c>
      <c r="C24" s="44">
        <f>SUM('pow rez'!J3:J32)</f>
        <v>113330305.65999998</v>
      </c>
      <c r="D24" s="44">
        <f>SUM('pow rez'!L3:L32)</f>
        <v>43501032.659999996</v>
      </c>
      <c r="E24" s="46">
        <f>SUM('pow rez'!K3:K32)</f>
        <v>69829273</v>
      </c>
      <c r="F24" s="47">
        <f>SUM('pow rez'!N3:N32)</f>
        <v>0</v>
      </c>
      <c r="G24" s="47">
        <f>SUM('pow rez'!O3:O32)</f>
        <v>0</v>
      </c>
      <c r="H24" s="47">
        <f>SUM('pow rez'!P3:P32)</f>
        <v>0</v>
      </c>
      <c r="I24" s="47">
        <f>SUM('pow rez'!Q3:Q32)</f>
        <v>0</v>
      </c>
      <c r="J24" s="47">
        <f>SUM('pow rez'!R3:R32)</f>
        <v>50595900</v>
      </c>
      <c r="K24" s="47">
        <f>SUM('pow rez'!S3:S32)</f>
        <v>9243524</v>
      </c>
      <c r="L24" s="47">
        <f>SUM('pow rez'!T3:T32)</f>
        <v>5280000</v>
      </c>
      <c r="M24" s="47">
        <f>SUM('pow rez'!U3:U32)</f>
        <v>4709849</v>
      </c>
      <c r="N24" s="47">
        <f>SUM('pow rez'!V3:V32)</f>
        <v>0</v>
      </c>
      <c r="O24" s="47">
        <f>SUM('pow rez'!W3:W32)</f>
        <v>0</v>
      </c>
      <c r="P24" s="8" t="b">
        <f t="shared" si="0"/>
        <v>1</v>
      </c>
      <c r="Q24" s="20" t="b">
        <f t="shared" si="1"/>
        <v>1</v>
      </c>
      <c r="R24" s="9"/>
      <c r="S24" s="9"/>
      <c r="T24" s="10"/>
      <c r="U24" s="10"/>
      <c r="V24" s="10"/>
      <c r="W24" s="10"/>
      <c r="X24" s="10"/>
    </row>
    <row r="25" spans="1:24" ht="39.950000000000003" customHeight="1" x14ac:dyDescent="0.25">
      <c r="A25" s="50" t="s">
        <v>33</v>
      </c>
      <c r="B25" s="116">
        <f>COUNTIF('pow rez'!C3:C32,"N")</f>
        <v>26</v>
      </c>
      <c r="C25" s="87">
        <f>SUMIF('pow rez'!C3:C32,"N",'pow rez'!J3:J32)</f>
        <v>77143073.749999985</v>
      </c>
      <c r="D25" s="88">
        <f>SUMIF('pow rez'!C3:C32,"N",'pow rez'!L3:L32)</f>
        <v>28760975.75</v>
      </c>
      <c r="E25" s="22">
        <f>SUMIF('pow rez'!C3:C32,"N",'pow rez'!K3:K32)</f>
        <v>48382098</v>
      </c>
      <c r="F25" s="93">
        <f>SUMIF('pow rez'!C3:C32,"N",'pow rez'!N3:N32)</f>
        <v>0</v>
      </c>
      <c r="G25" s="93">
        <f>SUMIF('pow rez'!C3:C32,"N",'pow rez'!O3:O32)</f>
        <v>0</v>
      </c>
      <c r="H25" s="93">
        <f>SUMIF('pow rez'!C3:C32,"N",'pow rez'!P3:P32)</f>
        <v>0</v>
      </c>
      <c r="I25" s="93">
        <f>SUMIF('pow rez'!C3:C32,"N",'pow rez'!Q3:Q32)</f>
        <v>0</v>
      </c>
      <c r="J25" s="93">
        <f>SUMIF('pow rez'!C3:C32,"N",'pow rez'!R3:R32)</f>
        <v>48382098</v>
      </c>
      <c r="K25" s="93">
        <f>SUMIF('pow rez'!C3:C32,"N",'pow rez'!S3:S32)</f>
        <v>0</v>
      </c>
      <c r="L25" s="93">
        <f>SUMIF('pow rez'!C3:C32,"N",'pow rez'!T3:T32)</f>
        <v>0</v>
      </c>
      <c r="M25" s="93">
        <f>SUMIF('pow rez'!C3:C32,"N",'pow rez'!U3:U32)</f>
        <v>0</v>
      </c>
      <c r="N25" s="93">
        <f>SUMIF('pow rez'!C3:C32,"N",'pow rez'!V3:V32)</f>
        <v>0</v>
      </c>
      <c r="O25" s="93">
        <f>SUMIF('pow rez'!C3:C32,"N",'pow rez'!W3:W32)</f>
        <v>0</v>
      </c>
      <c r="P25" s="8" t="b">
        <f t="shared" si="0"/>
        <v>1</v>
      </c>
      <c r="Q25" s="20" t="b">
        <f t="shared" si="1"/>
        <v>1</v>
      </c>
      <c r="R25" s="9"/>
      <c r="S25" s="9"/>
      <c r="T25" s="10"/>
      <c r="U25" s="10"/>
      <c r="V25" s="10"/>
      <c r="W25" s="10"/>
      <c r="X25" s="10"/>
    </row>
    <row r="26" spans="1:24" ht="39.950000000000003" customHeight="1" thickBot="1" x14ac:dyDescent="0.3">
      <c r="A26" s="51" t="s">
        <v>34</v>
      </c>
      <c r="B26" s="117">
        <f>COUNTIF('pow rez'!C3:C32,"W")</f>
        <v>4</v>
      </c>
      <c r="C26" s="89">
        <f>SUMIF('pow rez'!C3:C32,"W",'pow rez'!J3:J32)</f>
        <v>36187231.909999996</v>
      </c>
      <c r="D26" s="90">
        <f>SUMIF('pow rez'!C3:C32,"W",'pow rez'!L3:L32)</f>
        <v>14740056.909999998</v>
      </c>
      <c r="E26" s="52">
        <f>SUMIF('pow rez'!C3:C32,"W",'pow rez'!K3:K32)</f>
        <v>21447175</v>
      </c>
      <c r="F26" s="95">
        <f>SUMIF('pow rez'!C3:C32,"W",'pow rez'!N3:N32)</f>
        <v>0</v>
      </c>
      <c r="G26" s="95">
        <f>SUMIF('pow rez'!C3:C32,"W",'pow rez'!O3:O32)</f>
        <v>0</v>
      </c>
      <c r="H26" s="95">
        <f>SUMIF('pow rez'!C3:C32,"W",'pow rez'!P3:P32)</f>
        <v>0</v>
      </c>
      <c r="I26" s="95">
        <f>SUMIF('pow rez'!C3:C32,"W",'pow rez'!Q3:Q32)</f>
        <v>0</v>
      </c>
      <c r="J26" s="95">
        <f>SUMIF('pow rez'!C3:C32,"W",'pow rez'!R3:R32)</f>
        <v>2213802</v>
      </c>
      <c r="K26" s="95">
        <f>SUMIF('pow rez'!C3:C32,"W",'pow rez'!S3:S32)</f>
        <v>9243524</v>
      </c>
      <c r="L26" s="95">
        <f>SUMIF('pow rez'!C3:C32,"W",'pow rez'!T3:T32)</f>
        <v>5280000</v>
      </c>
      <c r="M26" s="95">
        <f>SUMIF('pow rez'!C3:C32,"W",'pow rez'!U3:U32)</f>
        <v>4709849</v>
      </c>
      <c r="N26" s="95">
        <f>SUMIF('pow rez'!C3:C32,"W",'pow rez'!V3:V32)</f>
        <v>0</v>
      </c>
      <c r="O26" s="95">
        <f>SUMIF('pow rez'!C3:C32,"W",'pow rez'!W3:W32)</f>
        <v>0</v>
      </c>
      <c r="P26" s="8" t="b">
        <f t="shared" si="0"/>
        <v>1</v>
      </c>
      <c r="Q26" s="20" t="b">
        <f t="shared" si="1"/>
        <v>1</v>
      </c>
      <c r="R26" s="9"/>
      <c r="S26" s="9"/>
      <c r="T26" s="10"/>
      <c r="U26" s="10"/>
      <c r="V26" s="10"/>
      <c r="W26" s="10"/>
      <c r="X26" s="10"/>
    </row>
    <row r="27" spans="1:24" ht="39.950000000000003" customHeight="1" thickTop="1" x14ac:dyDescent="0.25">
      <c r="A27" s="43" t="s">
        <v>3</v>
      </c>
      <c r="B27" s="135">
        <f>COUNTA('gm rez'!L3:L58)</f>
        <v>56</v>
      </c>
      <c r="C27" s="44">
        <f>SUM('gm rez'!K3:K58)</f>
        <v>172083528.81</v>
      </c>
      <c r="D27" s="45">
        <f>SUM('gm rez'!M3:M58)</f>
        <v>53189300.810000002</v>
      </c>
      <c r="E27" s="46">
        <f>SUM('gm rez'!L3:L58)</f>
        <v>118894228</v>
      </c>
      <c r="F27" s="47">
        <f>SUM('gm rez'!O3:O58)</f>
        <v>0</v>
      </c>
      <c r="G27" s="44">
        <f>SUM('gm rez'!P3:P58)</f>
        <v>0</v>
      </c>
      <c r="H27" s="44">
        <f>SUM('gm rez'!Q3:Q58)</f>
        <v>0</v>
      </c>
      <c r="I27" s="44">
        <f>SUM('gm rez'!R3:R58)</f>
        <v>0</v>
      </c>
      <c r="J27" s="44">
        <f>SUM('gm rez'!S3:S58)</f>
        <v>52305462</v>
      </c>
      <c r="K27" s="44">
        <f>SUM('gm rez'!T3:T58)</f>
        <v>26444898</v>
      </c>
      <c r="L27" s="44">
        <f>SUM('gm rez'!U3:U58)</f>
        <v>23053631</v>
      </c>
      <c r="M27" s="44">
        <f>SUM('gm rez'!V3:V58)</f>
        <v>10681398</v>
      </c>
      <c r="N27" s="44">
        <f>SUM('gm rez'!W3:W58)</f>
        <v>6408839</v>
      </c>
      <c r="O27" s="44">
        <f>SUM('gm rez'!X3:X58)</f>
        <v>0</v>
      </c>
      <c r="P27" s="8" t="b">
        <f t="shared" si="0"/>
        <v>1</v>
      </c>
      <c r="Q27" s="20" t="b">
        <f t="shared" si="1"/>
        <v>1</v>
      </c>
      <c r="R27" s="15"/>
      <c r="S27" s="15"/>
      <c r="T27" s="16"/>
      <c r="U27" s="16"/>
      <c r="V27" s="11"/>
      <c r="W27" s="4"/>
      <c r="X27" s="4"/>
    </row>
    <row r="28" spans="1:24" ht="39.950000000000003" customHeight="1" x14ac:dyDescent="0.25">
      <c r="A28" s="50" t="s">
        <v>33</v>
      </c>
      <c r="B28" s="116">
        <f>COUNTIF('gm rez'!C3:C58,"N")</f>
        <v>43</v>
      </c>
      <c r="C28" s="87">
        <f>SUMIF('gm rez'!C3:C58,"N",'gm rez'!K3:K58)</f>
        <v>66823191.420000017</v>
      </c>
      <c r="D28" s="88">
        <f>SUMIF('gm rez'!C3:C58,"N",'gm rez'!M3:M58)</f>
        <v>21611194.419999998</v>
      </c>
      <c r="E28" s="22">
        <f>SUMIF('gm rez'!C3:C58,"N",'gm rez'!L3:L58)</f>
        <v>45211997</v>
      </c>
      <c r="F28" s="93">
        <f>SUMIF('gm rez'!$C$3:$C$58,"N",'gm rez'!O3:O58)</f>
        <v>0</v>
      </c>
      <c r="G28" s="87">
        <f>SUMIF('gm rez'!$C$3:$C$58,"N",'gm rez'!P3:P58)</f>
        <v>0</v>
      </c>
      <c r="H28" s="87">
        <f>SUMIF('gm rez'!$C$3:$C$58,"N",'gm rez'!Q3:Q58)</f>
        <v>0</v>
      </c>
      <c r="I28" s="87">
        <f>SUMIF('gm rez'!$C$3:$C$58,"N",'gm rez'!R3:R58)</f>
        <v>0</v>
      </c>
      <c r="J28" s="87">
        <f>SUMIF('gm rez'!$C$3:$C$58,"N",'gm rez'!S3:S58)</f>
        <v>45211997</v>
      </c>
      <c r="K28" s="87">
        <f>SUMIF('gm rez'!$C$3:$C$58,"N",'gm rez'!T3:T58)</f>
        <v>0</v>
      </c>
      <c r="L28" s="87">
        <f>SUMIF('gm rez'!$C$3:$C$58,"N",'gm rez'!U3:U58)</f>
        <v>0</v>
      </c>
      <c r="M28" s="87">
        <f>SUMIF('gm rez'!$C$3:$C$58,"N",'gm rez'!V3:V58)</f>
        <v>0</v>
      </c>
      <c r="N28" s="87">
        <f>SUMIF('gm rez'!$C$3:$C$58,"N",'gm rez'!W3:W58)</f>
        <v>0</v>
      </c>
      <c r="O28" s="87">
        <f>SUMIF('gm rez'!$C$3:$C$58,"N",'gm rez'!X3:X58)</f>
        <v>0</v>
      </c>
      <c r="P28" s="8" t="b">
        <f t="shared" si="0"/>
        <v>1</v>
      </c>
      <c r="Q28" s="20" t="b">
        <f t="shared" si="1"/>
        <v>1</v>
      </c>
      <c r="R28" s="15"/>
      <c r="S28" s="15"/>
      <c r="T28" s="16"/>
      <c r="U28" s="16"/>
      <c r="V28" s="11"/>
      <c r="W28" s="4"/>
      <c r="X28" s="4"/>
    </row>
    <row r="29" spans="1:24" ht="39.950000000000003" customHeight="1" thickBot="1" x14ac:dyDescent="0.3">
      <c r="A29" s="51" t="s">
        <v>34</v>
      </c>
      <c r="B29" s="117">
        <f>COUNTIF('gm rez'!C3:C58,"W")</f>
        <v>13</v>
      </c>
      <c r="C29" s="89">
        <f>SUMIF('gm rez'!C3:C58,"W",'gm rez'!K3:K58)</f>
        <v>105260337.39</v>
      </c>
      <c r="D29" s="90">
        <f>SUMIF('gm rez'!C3:C58,"W",'gm rez'!M3:M58)</f>
        <v>31578106.390000004</v>
      </c>
      <c r="E29" s="52">
        <f>SUMIF('gm rez'!C3:C58,"W",'gm rez'!L3:L58)</f>
        <v>73682231</v>
      </c>
      <c r="F29" s="95">
        <f>SUMIF('gm rez'!$C$3:$C$58,"W",'gm rez'!O3:O58)</f>
        <v>0</v>
      </c>
      <c r="G29" s="89">
        <f>SUMIF('gm rez'!$C$3:$C$58,"W",'gm rez'!P3:P58)</f>
        <v>0</v>
      </c>
      <c r="H29" s="89">
        <f ca="1">SUMIF('gm rez'!$C$3:$C$58,"W",'gm rez'!Q8:Q58)</f>
        <v>0</v>
      </c>
      <c r="I29" s="89">
        <f>SUMIF('gm rez'!$C$3:$C$58,"W",'gm rez'!R3:R58)</f>
        <v>0</v>
      </c>
      <c r="J29" s="89">
        <f>SUMIF('gm rez'!$C$3:$C$58,"W",'gm rez'!S3:S58)</f>
        <v>7093465</v>
      </c>
      <c r="K29" s="89">
        <f>SUMIF('gm rez'!$C$3:$C$58,"W",'gm rez'!T3:T58)</f>
        <v>26444898</v>
      </c>
      <c r="L29" s="89">
        <f>SUMIF('gm rez'!$C$3:$C$58,"W",'gm rez'!U3:U58)</f>
        <v>23053631</v>
      </c>
      <c r="M29" s="89">
        <f>SUMIF('gm rez'!$C$3:$C$58,"W",'gm rez'!V3:V58)</f>
        <v>10681398</v>
      </c>
      <c r="N29" s="89">
        <f>SUMIF('gm rez'!$C$3:$C$58,"W",'gm rez'!W3:W58)</f>
        <v>6408839</v>
      </c>
      <c r="O29" s="89">
        <f>SUMIF('gm rez'!$C$3:$C$58,"W",'gm rez'!X3:X58)</f>
        <v>0</v>
      </c>
      <c r="P29" s="8" t="b">
        <f t="shared" si="0"/>
        <v>1</v>
      </c>
      <c r="Q29" s="20" t="b">
        <f t="shared" ca="1" si="1"/>
        <v>1</v>
      </c>
      <c r="R29" s="15"/>
      <c r="S29" s="15"/>
      <c r="T29" s="16"/>
      <c r="U29" s="16"/>
      <c r="V29" s="11"/>
      <c r="W29" s="4"/>
      <c r="X29" s="4"/>
    </row>
    <row r="30" spans="1:24" ht="39.950000000000003" customHeight="1" thickTop="1" x14ac:dyDescent="0.25">
      <c r="A30" s="62" t="s">
        <v>94</v>
      </c>
      <c r="B30" s="123">
        <f>B24+B27</f>
        <v>86</v>
      </c>
      <c r="C30" s="63">
        <f t="shared" ref="C30:O30" si="4">C24+C27</f>
        <v>285413834.46999997</v>
      </c>
      <c r="D30" s="64">
        <f t="shared" si="4"/>
        <v>96690333.469999999</v>
      </c>
      <c r="E30" s="42">
        <f t="shared" si="4"/>
        <v>188723501</v>
      </c>
      <c r="F30" s="65">
        <f t="shared" si="4"/>
        <v>0</v>
      </c>
      <c r="G30" s="63">
        <f t="shared" si="4"/>
        <v>0</v>
      </c>
      <c r="H30" s="63">
        <f t="shared" si="4"/>
        <v>0</v>
      </c>
      <c r="I30" s="63">
        <f t="shared" si="4"/>
        <v>0</v>
      </c>
      <c r="J30" s="63">
        <f t="shared" si="4"/>
        <v>102901362</v>
      </c>
      <c r="K30" s="63">
        <f t="shared" si="4"/>
        <v>35688422</v>
      </c>
      <c r="L30" s="63">
        <f t="shared" si="4"/>
        <v>28333631</v>
      </c>
      <c r="M30" s="63">
        <f t="shared" si="4"/>
        <v>15391247</v>
      </c>
      <c r="N30" s="63">
        <f t="shared" si="4"/>
        <v>6408839</v>
      </c>
      <c r="O30" s="66">
        <f t="shared" si="4"/>
        <v>0</v>
      </c>
      <c r="P30" s="8" t="b">
        <f t="shared" si="0"/>
        <v>1</v>
      </c>
      <c r="Q30" s="20" t="b">
        <f t="shared" si="1"/>
        <v>1</v>
      </c>
      <c r="R30" s="17"/>
      <c r="S30" s="17"/>
      <c r="T30" s="2"/>
      <c r="U30" s="2"/>
    </row>
    <row r="31" spans="1:24" ht="39.950000000000003" customHeight="1" x14ac:dyDescent="0.25">
      <c r="A31" s="29" t="s">
        <v>33</v>
      </c>
      <c r="B31" s="124">
        <f t="shared" ref="B31:O31" si="5">B25+B28</f>
        <v>69</v>
      </c>
      <c r="C31" s="25">
        <f t="shared" si="5"/>
        <v>143966265.17000002</v>
      </c>
      <c r="D31" s="32">
        <f t="shared" si="5"/>
        <v>50372170.170000002</v>
      </c>
      <c r="E31" s="22">
        <f t="shared" si="5"/>
        <v>93594095</v>
      </c>
      <c r="F31" s="36">
        <f t="shared" si="5"/>
        <v>0</v>
      </c>
      <c r="G31" s="25">
        <f t="shared" si="5"/>
        <v>0</v>
      </c>
      <c r="H31" s="25">
        <f t="shared" si="5"/>
        <v>0</v>
      </c>
      <c r="I31" s="25">
        <f t="shared" si="5"/>
        <v>0</v>
      </c>
      <c r="J31" s="25">
        <f t="shared" si="5"/>
        <v>93594095</v>
      </c>
      <c r="K31" s="25">
        <f t="shared" si="5"/>
        <v>0</v>
      </c>
      <c r="L31" s="25">
        <f t="shared" si="5"/>
        <v>0</v>
      </c>
      <c r="M31" s="25">
        <f t="shared" si="5"/>
        <v>0</v>
      </c>
      <c r="N31" s="25">
        <f t="shared" si="5"/>
        <v>0</v>
      </c>
      <c r="O31" s="28">
        <f t="shared" si="5"/>
        <v>0</v>
      </c>
      <c r="P31" s="8" t="b">
        <f t="shared" si="0"/>
        <v>1</v>
      </c>
      <c r="Q31" s="20" t="b">
        <f t="shared" si="1"/>
        <v>1</v>
      </c>
      <c r="R31" s="17"/>
      <c r="S31" s="17"/>
      <c r="T31" s="2"/>
      <c r="U31" s="2"/>
    </row>
    <row r="32" spans="1:24" ht="39.950000000000003" customHeight="1" thickBot="1" x14ac:dyDescent="0.3">
      <c r="A32" s="67" t="s">
        <v>34</v>
      </c>
      <c r="B32" s="125">
        <f t="shared" ref="B32:O32" si="6">B26+B29</f>
        <v>17</v>
      </c>
      <c r="C32" s="68">
        <f t="shared" si="6"/>
        <v>141447569.30000001</v>
      </c>
      <c r="D32" s="69">
        <f t="shared" si="6"/>
        <v>46318163.300000004</v>
      </c>
      <c r="E32" s="70">
        <f t="shared" si="6"/>
        <v>95129406</v>
      </c>
      <c r="F32" s="71">
        <f t="shared" si="6"/>
        <v>0</v>
      </c>
      <c r="G32" s="68">
        <f t="shared" si="6"/>
        <v>0</v>
      </c>
      <c r="H32" s="68">
        <f t="shared" ca="1" si="6"/>
        <v>0</v>
      </c>
      <c r="I32" s="68">
        <f t="shared" si="6"/>
        <v>0</v>
      </c>
      <c r="J32" s="68">
        <f t="shared" si="6"/>
        <v>9307267</v>
      </c>
      <c r="K32" s="68">
        <f t="shared" si="6"/>
        <v>35688422</v>
      </c>
      <c r="L32" s="68">
        <f t="shared" si="6"/>
        <v>28333631</v>
      </c>
      <c r="M32" s="68">
        <f t="shared" si="6"/>
        <v>15391247</v>
      </c>
      <c r="N32" s="68">
        <f t="shared" si="6"/>
        <v>6408839</v>
      </c>
      <c r="O32" s="72">
        <f t="shared" si="6"/>
        <v>0</v>
      </c>
      <c r="P32" s="8" t="b">
        <f t="shared" si="0"/>
        <v>1</v>
      </c>
      <c r="Q32" s="20" t="b">
        <f t="shared" ca="1" si="1"/>
        <v>1</v>
      </c>
      <c r="R32" s="17"/>
      <c r="S32" s="17"/>
      <c r="T32" s="2"/>
      <c r="U32" s="2"/>
    </row>
    <row r="33" spans="1:21" ht="39.950000000000003" customHeight="1" thickTop="1" x14ac:dyDescent="0.25">
      <c r="A33" s="73" t="s">
        <v>93</v>
      </c>
      <c r="B33" s="126">
        <f>B20+B30</f>
        <v>190</v>
      </c>
      <c r="C33" s="74">
        <f t="shared" ref="C33:O33" si="7">C20+C30</f>
        <v>629932286.97099996</v>
      </c>
      <c r="D33" s="75">
        <f t="shared" si="7"/>
        <v>220121406.97099999</v>
      </c>
      <c r="E33" s="76">
        <f t="shared" si="7"/>
        <v>409810880</v>
      </c>
      <c r="F33" s="77">
        <f t="shared" si="7"/>
        <v>0</v>
      </c>
      <c r="G33" s="74">
        <f t="shared" si="7"/>
        <v>443500</v>
      </c>
      <c r="H33" s="74">
        <f t="shared" si="7"/>
        <v>2195500</v>
      </c>
      <c r="I33" s="74">
        <f t="shared" si="7"/>
        <v>20838511</v>
      </c>
      <c r="J33" s="74">
        <f t="shared" si="7"/>
        <v>244092157</v>
      </c>
      <c r="K33" s="74">
        <f t="shared" si="7"/>
        <v>83811409</v>
      </c>
      <c r="L33" s="74">
        <f t="shared" si="7"/>
        <v>36629717</v>
      </c>
      <c r="M33" s="74">
        <f t="shared" si="7"/>
        <v>15391247</v>
      </c>
      <c r="N33" s="74">
        <f t="shared" si="7"/>
        <v>6408839</v>
      </c>
      <c r="O33" s="78">
        <f t="shared" si="7"/>
        <v>0</v>
      </c>
      <c r="P33" s="8" t="b">
        <f t="shared" si="0"/>
        <v>1</v>
      </c>
      <c r="Q33" s="20" t="b">
        <f t="shared" si="1"/>
        <v>1</v>
      </c>
      <c r="R33" s="17"/>
      <c r="S33" s="17"/>
      <c r="T33" s="2"/>
      <c r="U33" s="2"/>
    </row>
    <row r="34" spans="1:21" ht="39.950000000000003" customHeight="1" x14ac:dyDescent="0.25">
      <c r="A34" s="113" t="s">
        <v>32</v>
      </c>
      <c r="B34" s="127">
        <f>B21</f>
        <v>16</v>
      </c>
      <c r="C34" s="107">
        <f t="shared" ref="C34:O34" si="8">C21</f>
        <v>90778019.090000004</v>
      </c>
      <c r="D34" s="108">
        <f t="shared" si="8"/>
        <v>30872748.089999996</v>
      </c>
      <c r="E34" s="109">
        <f t="shared" si="8"/>
        <v>59905271</v>
      </c>
      <c r="F34" s="110">
        <f t="shared" si="8"/>
        <v>0</v>
      </c>
      <c r="G34" s="107">
        <f t="shared" si="8"/>
        <v>443500</v>
      </c>
      <c r="H34" s="107">
        <f t="shared" si="8"/>
        <v>2195500</v>
      </c>
      <c r="I34" s="107">
        <f t="shared" si="8"/>
        <v>20838511</v>
      </c>
      <c r="J34" s="107">
        <f t="shared" si="8"/>
        <v>33628740</v>
      </c>
      <c r="K34" s="107">
        <f t="shared" si="8"/>
        <v>2799020</v>
      </c>
      <c r="L34" s="107">
        <f t="shared" si="8"/>
        <v>0</v>
      </c>
      <c r="M34" s="107">
        <f t="shared" si="8"/>
        <v>0</v>
      </c>
      <c r="N34" s="107">
        <f t="shared" si="8"/>
        <v>0</v>
      </c>
      <c r="O34" s="111">
        <f t="shared" si="8"/>
        <v>0</v>
      </c>
      <c r="P34" s="8" t="b">
        <f t="shared" si="0"/>
        <v>1</v>
      </c>
      <c r="Q34" s="20" t="b">
        <f t="shared" si="1"/>
        <v>1</v>
      </c>
      <c r="R34" s="17"/>
      <c r="S34" s="17"/>
      <c r="T34" s="2"/>
      <c r="U34" s="2"/>
    </row>
    <row r="35" spans="1:21" ht="39.950000000000003" customHeight="1" x14ac:dyDescent="0.25">
      <c r="A35" s="112" t="s">
        <v>33</v>
      </c>
      <c r="B35" s="128">
        <f>B22+B31</f>
        <v>139</v>
      </c>
      <c r="C35" s="26">
        <f t="shared" ref="C35:O36" si="9">C22+C31</f>
        <v>300528375.41100001</v>
      </c>
      <c r="D35" s="33">
        <f t="shared" si="9"/>
        <v>110634510.411</v>
      </c>
      <c r="E35" s="38">
        <f t="shared" si="9"/>
        <v>189893865</v>
      </c>
      <c r="F35" s="37">
        <f t="shared" si="9"/>
        <v>0</v>
      </c>
      <c r="G35" s="26">
        <f t="shared" si="9"/>
        <v>0</v>
      </c>
      <c r="H35" s="26">
        <f t="shared" si="9"/>
        <v>0</v>
      </c>
      <c r="I35" s="26">
        <f t="shared" si="9"/>
        <v>0</v>
      </c>
      <c r="J35" s="26">
        <f t="shared" si="9"/>
        <v>189893865</v>
      </c>
      <c r="K35" s="26">
        <f t="shared" si="9"/>
        <v>0</v>
      </c>
      <c r="L35" s="26">
        <f t="shared" si="9"/>
        <v>0</v>
      </c>
      <c r="M35" s="26">
        <f t="shared" si="9"/>
        <v>0</v>
      </c>
      <c r="N35" s="26">
        <f t="shared" si="9"/>
        <v>0</v>
      </c>
      <c r="O35" s="79">
        <f t="shared" si="9"/>
        <v>0</v>
      </c>
      <c r="P35" s="8" t="b">
        <f t="shared" si="0"/>
        <v>1</v>
      </c>
      <c r="Q35" s="20" t="b">
        <f t="shared" si="1"/>
        <v>1</v>
      </c>
      <c r="R35" s="17"/>
      <c r="S35" s="17"/>
      <c r="T35" s="2"/>
      <c r="U35" s="2"/>
    </row>
    <row r="36" spans="1:21" ht="39.950000000000003" customHeight="1" thickBot="1" x14ac:dyDescent="0.3">
      <c r="A36" s="80" t="s">
        <v>34</v>
      </c>
      <c r="B36" s="129">
        <f>B23+B32</f>
        <v>35</v>
      </c>
      <c r="C36" s="81">
        <f t="shared" si="9"/>
        <v>238625892.47</v>
      </c>
      <c r="D36" s="82">
        <f t="shared" si="9"/>
        <v>78614148.469999999</v>
      </c>
      <c r="E36" s="52">
        <f t="shared" si="9"/>
        <v>160011744</v>
      </c>
      <c r="F36" s="83">
        <f t="shared" si="9"/>
        <v>0</v>
      </c>
      <c r="G36" s="81">
        <f t="shared" si="9"/>
        <v>0</v>
      </c>
      <c r="H36" s="81">
        <f t="shared" ca="1" si="9"/>
        <v>0</v>
      </c>
      <c r="I36" s="81">
        <f t="shared" si="9"/>
        <v>0</v>
      </c>
      <c r="J36" s="81">
        <f t="shared" si="9"/>
        <v>20569552</v>
      </c>
      <c r="K36" s="81">
        <f t="shared" si="9"/>
        <v>81012389</v>
      </c>
      <c r="L36" s="81">
        <f t="shared" si="9"/>
        <v>36629717</v>
      </c>
      <c r="M36" s="81">
        <f t="shared" si="9"/>
        <v>15391247</v>
      </c>
      <c r="N36" s="81">
        <f t="shared" si="9"/>
        <v>6408839</v>
      </c>
      <c r="O36" s="84">
        <f t="shared" si="9"/>
        <v>0</v>
      </c>
      <c r="P36" s="8" t="b">
        <f t="shared" si="0"/>
        <v>1</v>
      </c>
      <c r="Q36" s="20" t="b">
        <f t="shared" ca="1" si="1"/>
        <v>1</v>
      </c>
      <c r="R36" s="17"/>
      <c r="S36" s="17"/>
      <c r="T36" s="2"/>
      <c r="U36" s="2"/>
    </row>
    <row r="37" spans="1:21" ht="15.75" thickTop="1" x14ac:dyDescent="0.25">
      <c r="A37" s="18"/>
      <c r="B37" s="21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17"/>
      <c r="T37" s="2"/>
      <c r="U37" s="2"/>
    </row>
    <row r="38" spans="1:21" x14ac:dyDescent="0.25">
      <c r="A38" s="18"/>
      <c r="B38" s="21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7"/>
      <c r="S38" s="17"/>
      <c r="T38" s="2"/>
      <c r="U38" s="2"/>
    </row>
    <row r="39" spans="1:21" x14ac:dyDescent="0.25">
      <c r="A39" s="18"/>
      <c r="B39" s="21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17"/>
      <c r="T39" s="2"/>
      <c r="U39" s="2"/>
    </row>
    <row r="40" spans="1:21" x14ac:dyDescent="0.25">
      <c r="A40" s="18"/>
      <c r="B40" s="21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7"/>
      <c r="S40" s="17"/>
      <c r="T40" s="2"/>
      <c r="U40" s="2"/>
    </row>
    <row r="41" spans="1:21" x14ac:dyDescent="0.25">
      <c r="A41" s="19"/>
      <c r="B41" s="13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"/>
      <c r="S41" s="2"/>
      <c r="T41" s="2"/>
      <c r="U41" s="2"/>
    </row>
    <row r="42" spans="1:21" x14ac:dyDescent="0.25">
      <c r="A42" s="19"/>
      <c r="B42" s="13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"/>
      <c r="S42" s="2"/>
      <c r="T42" s="2"/>
      <c r="U42" s="2"/>
    </row>
    <row r="43" spans="1:21" x14ac:dyDescent="0.25">
      <c r="A43" s="19"/>
      <c r="B43" s="13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"/>
      <c r="S43" s="2"/>
      <c r="T43" s="2"/>
      <c r="U43" s="2"/>
    </row>
  </sheetData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3" orientation="landscape" horizontalDpi="300" verticalDpi="300" r:id="rId1"/>
  <headerFooter>
    <oddHeader>&amp;LWojewództwo Świętokrzyskie</oddHeader>
  </headerFooter>
  <ignoredErrors>
    <ignoredError sqref="G16:O16 F16 G12:I12 F12 J12 K12:O12 F24 G24:O24 H27 F27:G27 J27 K27:K29 L27:M27 N27:O27 C24" formulaRange="1"/>
    <ignoredError sqref="C3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A52"/>
  <sheetViews>
    <sheetView showGridLines="0" view="pageBreakPreview" topLeftCell="A31" zoomScale="90" zoomScaleNormal="100" zoomScaleSheetLayoutView="90" workbookViewId="0">
      <selection activeCell="K43" sqref="K43:L43"/>
    </sheetView>
  </sheetViews>
  <sheetFormatPr defaultRowHeight="11.25" x14ac:dyDescent="0.2"/>
  <cols>
    <col min="1" max="1" width="5" style="381" customWidth="1"/>
    <col min="2" max="2" width="12" style="381" customWidth="1"/>
    <col min="3" max="3" width="14" style="381" customWidth="1"/>
    <col min="4" max="4" width="12.5703125" style="381" customWidth="1"/>
    <col min="5" max="5" width="10.7109375" style="381" customWidth="1"/>
    <col min="6" max="6" width="47.140625" style="381" customWidth="1"/>
    <col min="7" max="7" width="8.7109375" style="381" customWidth="1"/>
    <col min="8" max="8" width="13.85546875" style="381" customWidth="1"/>
    <col min="9" max="9" width="15.85546875" style="381" customWidth="1"/>
    <col min="10" max="10" width="13.28515625" style="381" customWidth="1"/>
    <col min="11" max="11" width="13.140625" style="381" customWidth="1"/>
    <col min="12" max="12" width="14.5703125" style="381" customWidth="1"/>
    <col min="13" max="13" width="13.7109375" style="414" customWidth="1"/>
    <col min="14" max="14" width="9.85546875" style="381" customWidth="1"/>
    <col min="15" max="15" width="11.140625" style="381" customWidth="1"/>
    <col min="16" max="16" width="10.7109375" style="381" customWidth="1"/>
    <col min="17" max="19" width="12.85546875" style="381" customWidth="1"/>
    <col min="20" max="23" width="9.85546875" style="381" customWidth="1"/>
    <col min="24" max="24" width="9.140625" style="159"/>
    <col min="25" max="25" width="9.140625" style="359"/>
    <col min="26" max="16384" width="9.140625" style="159"/>
  </cols>
  <sheetData>
    <row r="1" spans="1:27" x14ac:dyDescent="0.2">
      <c r="A1" s="446" t="s">
        <v>4</v>
      </c>
      <c r="B1" s="446" t="s">
        <v>5</v>
      </c>
      <c r="C1" s="449" t="s">
        <v>38</v>
      </c>
      <c r="D1" s="444" t="s">
        <v>6</v>
      </c>
      <c r="E1" s="444" t="s">
        <v>28</v>
      </c>
      <c r="F1" s="444" t="s">
        <v>7</v>
      </c>
      <c r="G1" s="446" t="s">
        <v>26</v>
      </c>
      <c r="H1" s="446" t="s">
        <v>8</v>
      </c>
      <c r="I1" s="446" t="s">
        <v>23</v>
      </c>
      <c r="J1" s="446" t="s">
        <v>9</v>
      </c>
      <c r="K1" s="446" t="s">
        <v>16</v>
      </c>
      <c r="L1" s="444" t="s">
        <v>13</v>
      </c>
      <c r="M1" s="446" t="s">
        <v>11</v>
      </c>
      <c r="N1" s="446" t="s">
        <v>12</v>
      </c>
      <c r="O1" s="446"/>
      <c r="P1" s="446"/>
      <c r="Q1" s="446"/>
      <c r="R1" s="446"/>
      <c r="S1" s="446"/>
      <c r="T1" s="446"/>
      <c r="U1" s="446"/>
      <c r="V1" s="446"/>
      <c r="W1" s="446"/>
    </row>
    <row r="2" spans="1:27" x14ac:dyDescent="0.2">
      <c r="A2" s="446"/>
      <c r="B2" s="446"/>
      <c r="C2" s="450"/>
      <c r="D2" s="445"/>
      <c r="E2" s="445"/>
      <c r="F2" s="445"/>
      <c r="G2" s="446"/>
      <c r="H2" s="446"/>
      <c r="I2" s="446"/>
      <c r="J2" s="446"/>
      <c r="K2" s="446"/>
      <c r="L2" s="445"/>
      <c r="M2" s="446"/>
      <c r="N2" s="383">
        <v>2019</v>
      </c>
      <c r="O2" s="383">
        <v>2020</v>
      </c>
      <c r="P2" s="383">
        <v>2021</v>
      </c>
      <c r="Q2" s="383">
        <v>2022</v>
      </c>
      <c r="R2" s="383">
        <v>2023</v>
      </c>
      <c r="S2" s="383">
        <v>2024</v>
      </c>
      <c r="T2" s="383">
        <v>2025</v>
      </c>
      <c r="U2" s="383">
        <v>2026</v>
      </c>
      <c r="V2" s="383">
        <v>2027</v>
      </c>
      <c r="W2" s="383">
        <v>2028</v>
      </c>
    </row>
    <row r="3" spans="1:27" ht="45" x14ac:dyDescent="0.2">
      <c r="A3" s="205">
        <v>1</v>
      </c>
      <c r="B3" s="384" t="s">
        <v>44</v>
      </c>
      <c r="C3" s="385" t="s">
        <v>41</v>
      </c>
      <c r="D3" s="386" t="s">
        <v>42</v>
      </c>
      <c r="E3" s="387" t="s">
        <v>477</v>
      </c>
      <c r="F3" s="388" t="s">
        <v>592</v>
      </c>
      <c r="G3" s="205" t="s">
        <v>43</v>
      </c>
      <c r="H3" s="209">
        <v>5.8550000000000004</v>
      </c>
      <c r="I3" s="205" t="s">
        <v>45</v>
      </c>
      <c r="J3" s="207">
        <v>10720000</v>
      </c>
      <c r="K3" s="389">
        <v>5360000</v>
      </c>
      <c r="L3" s="390">
        <v>5360000</v>
      </c>
      <c r="M3" s="212">
        <v>0.5</v>
      </c>
      <c r="N3" s="183">
        <v>0</v>
      </c>
      <c r="O3" s="183">
        <v>50000</v>
      </c>
      <c r="P3" s="183">
        <v>260000</v>
      </c>
      <c r="Q3" s="183">
        <v>2775000</v>
      </c>
      <c r="R3" s="183">
        <v>2275000</v>
      </c>
      <c r="S3" s="379"/>
      <c r="T3" s="379"/>
      <c r="U3" s="379"/>
      <c r="V3" s="379"/>
      <c r="W3" s="379"/>
      <c r="X3" s="159" t="b">
        <f t="shared" ref="X3" si="0">K3=SUM(N3:W3)</f>
        <v>1</v>
      </c>
      <c r="Y3" s="359">
        <f t="shared" ref="Y3" si="1">ROUND(K3/J3,4)</f>
        <v>0.5</v>
      </c>
      <c r="Z3" s="159" t="b">
        <f t="shared" ref="Z3" si="2">Y3=M3</f>
        <v>1</v>
      </c>
      <c r="AA3" s="159" t="b">
        <f t="shared" ref="AA3" si="3">J3=K3+L3</f>
        <v>1</v>
      </c>
    </row>
    <row r="4" spans="1:27" ht="22.5" x14ac:dyDescent="0.2">
      <c r="A4" s="205">
        <v>2</v>
      </c>
      <c r="B4" s="384" t="s">
        <v>138</v>
      </c>
      <c r="C4" s="385" t="s">
        <v>41</v>
      </c>
      <c r="D4" s="391" t="s">
        <v>42</v>
      </c>
      <c r="E4" s="205" t="s">
        <v>477</v>
      </c>
      <c r="F4" s="388" t="s">
        <v>593</v>
      </c>
      <c r="G4" s="206" t="s">
        <v>43</v>
      </c>
      <c r="H4" s="209">
        <v>1.3</v>
      </c>
      <c r="I4" s="205" t="s">
        <v>139</v>
      </c>
      <c r="J4" s="211">
        <v>3500000</v>
      </c>
      <c r="K4" s="389">
        <v>2100000</v>
      </c>
      <c r="L4" s="390">
        <v>1400000</v>
      </c>
      <c r="M4" s="212">
        <v>0.6</v>
      </c>
      <c r="N4" s="392">
        <v>0</v>
      </c>
      <c r="O4" s="392">
        <v>0</v>
      </c>
      <c r="P4" s="392">
        <v>0</v>
      </c>
      <c r="Q4" s="393">
        <v>105000</v>
      </c>
      <c r="R4" s="393">
        <v>525000</v>
      </c>
      <c r="S4" s="393">
        <v>1470000</v>
      </c>
      <c r="T4" s="380"/>
      <c r="U4" s="379"/>
      <c r="V4" s="379"/>
      <c r="W4" s="379"/>
      <c r="X4" s="159" t="b">
        <f t="shared" ref="X4:X47" si="4">K4=SUM(N4:W4)</f>
        <v>1</v>
      </c>
      <c r="Y4" s="359">
        <f t="shared" ref="Y4:Y47" si="5">ROUND(K4/J4,4)</f>
        <v>0.6</v>
      </c>
      <c r="Z4" s="159" t="b">
        <f t="shared" ref="Z4:Z47" si="6">Y4=M4</f>
        <v>1</v>
      </c>
      <c r="AA4" s="159" t="b">
        <f t="shared" ref="AA4:AA47" si="7">J4=K4+L4</f>
        <v>1</v>
      </c>
    </row>
    <row r="5" spans="1:27" ht="22.5" x14ac:dyDescent="0.2">
      <c r="A5" s="205">
        <v>3</v>
      </c>
      <c r="B5" s="384" t="s">
        <v>140</v>
      </c>
      <c r="C5" s="385" t="s">
        <v>41</v>
      </c>
      <c r="D5" s="391" t="s">
        <v>42</v>
      </c>
      <c r="E5" s="205" t="s">
        <v>477</v>
      </c>
      <c r="F5" s="388" t="s">
        <v>594</v>
      </c>
      <c r="G5" s="206" t="s">
        <v>47</v>
      </c>
      <c r="H5" s="209">
        <v>1.4259999999999999</v>
      </c>
      <c r="I5" s="205" t="s">
        <v>130</v>
      </c>
      <c r="J5" s="211">
        <v>2900000</v>
      </c>
      <c r="K5" s="389">
        <v>1740000</v>
      </c>
      <c r="L5" s="390">
        <v>1160000</v>
      </c>
      <c r="M5" s="212">
        <v>0.6</v>
      </c>
      <c r="N5" s="392">
        <v>0</v>
      </c>
      <c r="O5" s="392">
        <v>0</v>
      </c>
      <c r="P5" s="392">
        <v>0</v>
      </c>
      <c r="Q5" s="393">
        <v>240000</v>
      </c>
      <c r="R5" s="393">
        <v>1500000</v>
      </c>
      <c r="S5" s="380"/>
      <c r="T5" s="380"/>
      <c r="U5" s="379"/>
      <c r="V5" s="379"/>
      <c r="W5" s="379"/>
      <c r="X5" s="159" t="b">
        <f t="shared" si="4"/>
        <v>1</v>
      </c>
      <c r="Y5" s="359">
        <f t="shared" si="5"/>
        <v>0.6</v>
      </c>
      <c r="Z5" s="159" t="b">
        <f t="shared" si="6"/>
        <v>1</v>
      </c>
      <c r="AA5" s="159" t="b">
        <f t="shared" si="7"/>
        <v>1</v>
      </c>
    </row>
    <row r="6" spans="1:27" ht="22.5" x14ac:dyDescent="0.2">
      <c r="A6" s="205">
        <v>4</v>
      </c>
      <c r="B6" s="384" t="s">
        <v>574</v>
      </c>
      <c r="C6" s="385" t="s">
        <v>41</v>
      </c>
      <c r="D6" s="394" t="s">
        <v>42</v>
      </c>
      <c r="E6" s="205">
        <v>2604000</v>
      </c>
      <c r="F6" s="395" t="s">
        <v>575</v>
      </c>
      <c r="G6" s="396" t="s">
        <v>47</v>
      </c>
      <c r="H6" s="397">
        <v>1.6</v>
      </c>
      <c r="I6" s="345" t="s">
        <v>576</v>
      </c>
      <c r="J6" s="398">
        <v>6046160</v>
      </c>
      <c r="K6" s="389">
        <v>3627696</v>
      </c>
      <c r="L6" s="390">
        <v>2418464</v>
      </c>
      <c r="M6" s="212">
        <v>0.6</v>
      </c>
      <c r="N6" s="392">
        <v>0</v>
      </c>
      <c r="O6" s="392">
        <v>0</v>
      </c>
      <c r="P6" s="392">
        <v>0</v>
      </c>
      <c r="Q6" s="393">
        <v>300000</v>
      </c>
      <c r="R6" s="393">
        <v>3327696</v>
      </c>
      <c r="S6" s="380"/>
      <c r="T6" s="380"/>
      <c r="U6" s="379"/>
      <c r="V6" s="379"/>
      <c r="W6" s="379"/>
      <c r="X6" s="159" t="b">
        <f t="shared" si="4"/>
        <v>1</v>
      </c>
      <c r="Y6" s="359">
        <f t="shared" si="5"/>
        <v>0.6</v>
      </c>
      <c r="Z6" s="159" t="b">
        <f t="shared" si="6"/>
        <v>1</v>
      </c>
      <c r="AA6" s="159" t="b">
        <f t="shared" si="7"/>
        <v>1</v>
      </c>
    </row>
    <row r="7" spans="1:27" ht="33.75" x14ac:dyDescent="0.2">
      <c r="A7" s="205">
        <v>5</v>
      </c>
      <c r="B7" s="384" t="s">
        <v>588</v>
      </c>
      <c r="C7" s="385" t="s">
        <v>41</v>
      </c>
      <c r="D7" s="394" t="s">
        <v>80</v>
      </c>
      <c r="E7" s="205">
        <v>2609000</v>
      </c>
      <c r="F7" s="395" t="s">
        <v>589</v>
      </c>
      <c r="G7" s="396" t="s">
        <v>47</v>
      </c>
      <c r="H7" s="397">
        <v>0.36</v>
      </c>
      <c r="I7" s="345" t="s">
        <v>590</v>
      </c>
      <c r="J7" s="398">
        <v>137847.49</v>
      </c>
      <c r="K7" s="389">
        <v>110277</v>
      </c>
      <c r="L7" s="390">
        <v>27570.49</v>
      </c>
      <c r="M7" s="212">
        <v>0.8</v>
      </c>
      <c r="N7" s="392">
        <v>0</v>
      </c>
      <c r="O7" s="392">
        <v>0</v>
      </c>
      <c r="P7" s="392">
        <v>0</v>
      </c>
      <c r="Q7" s="393">
        <v>110277</v>
      </c>
      <c r="R7" s="393">
        <v>0</v>
      </c>
      <c r="S7" s="379">
        <v>0</v>
      </c>
      <c r="T7" s="380"/>
      <c r="U7" s="379"/>
      <c r="V7" s="379"/>
      <c r="W7" s="379"/>
      <c r="X7" s="159" t="b">
        <f t="shared" si="4"/>
        <v>1</v>
      </c>
      <c r="Y7" s="359">
        <f t="shared" si="5"/>
        <v>0.8</v>
      </c>
      <c r="Z7" s="159" t="b">
        <f t="shared" si="6"/>
        <v>1</v>
      </c>
      <c r="AA7" s="159" t="b">
        <f t="shared" si="7"/>
        <v>1</v>
      </c>
    </row>
    <row r="8" spans="1:27" ht="22.5" x14ac:dyDescent="0.2">
      <c r="A8" s="399">
        <v>6</v>
      </c>
      <c r="B8" s="265" t="s">
        <v>162</v>
      </c>
      <c r="C8" s="266" t="s">
        <v>77</v>
      </c>
      <c r="D8" s="267" t="s">
        <v>49</v>
      </c>
      <c r="E8" s="399" t="s">
        <v>486</v>
      </c>
      <c r="F8" s="268" t="s">
        <v>163</v>
      </c>
      <c r="G8" s="269" t="s">
        <v>43</v>
      </c>
      <c r="H8" s="270">
        <v>1.3</v>
      </c>
      <c r="I8" s="271" t="s">
        <v>164</v>
      </c>
      <c r="J8" s="272">
        <v>5968910.6500000004</v>
      </c>
      <c r="K8" s="400">
        <f>ROUNDDOWN(J8*M8,0)</f>
        <v>3581346</v>
      </c>
      <c r="L8" s="401">
        <f t="shared" ref="L8:L37" si="8">J8-K8</f>
        <v>2387564.6500000004</v>
      </c>
      <c r="M8" s="402">
        <v>0.6</v>
      </c>
      <c r="N8" s="273">
        <v>0</v>
      </c>
      <c r="O8" s="273">
        <v>0</v>
      </c>
      <c r="P8" s="273">
        <v>0</v>
      </c>
      <c r="Q8" s="274">
        <v>0</v>
      </c>
      <c r="R8" s="274">
        <v>3581346</v>
      </c>
      <c r="S8" s="380"/>
      <c r="T8" s="380"/>
      <c r="U8" s="379"/>
      <c r="V8" s="379"/>
      <c r="W8" s="379"/>
      <c r="X8" s="159" t="b">
        <f t="shared" si="4"/>
        <v>1</v>
      </c>
      <c r="Y8" s="359">
        <f t="shared" si="5"/>
        <v>0.6</v>
      </c>
      <c r="Z8" s="159" t="b">
        <f t="shared" si="6"/>
        <v>1</v>
      </c>
      <c r="AA8" s="159" t="b">
        <f t="shared" si="7"/>
        <v>1</v>
      </c>
    </row>
    <row r="9" spans="1:27" ht="33.75" x14ac:dyDescent="0.2">
      <c r="A9" s="399">
        <v>7</v>
      </c>
      <c r="B9" s="265" t="s">
        <v>340</v>
      </c>
      <c r="C9" s="266" t="s">
        <v>77</v>
      </c>
      <c r="D9" s="267" t="s">
        <v>49</v>
      </c>
      <c r="E9" s="403" t="s">
        <v>486</v>
      </c>
      <c r="F9" s="268" t="s">
        <v>339</v>
      </c>
      <c r="G9" s="269" t="s">
        <v>43</v>
      </c>
      <c r="H9" s="270">
        <v>1.87</v>
      </c>
      <c r="I9" s="271" t="s">
        <v>164</v>
      </c>
      <c r="J9" s="272">
        <v>7460641.7599999998</v>
      </c>
      <c r="K9" s="400">
        <v>4476385</v>
      </c>
      <c r="L9" s="401">
        <f t="shared" si="8"/>
        <v>2984256.76</v>
      </c>
      <c r="M9" s="402">
        <v>0.6</v>
      </c>
      <c r="N9" s="273">
        <v>0</v>
      </c>
      <c r="O9" s="273">
        <v>0</v>
      </c>
      <c r="P9" s="273">
        <v>0</v>
      </c>
      <c r="Q9" s="274">
        <v>0</v>
      </c>
      <c r="R9" s="274">
        <v>4476385</v>
      </c>
      <c r="S9" s="380"/>
      <c r="T9" s="380"/>
      <c r="U9" s="379"/>
      <c r="V9" s="379"/>
      <c r="W9" s="379"/>
      <c r="X9" s="159" t="b">
        <f t="shared" si="4"/>
        <v>1</v>
      </c>
      <c r="Y9" s="359">
        <f t="shared" si="5"/>
        <v>0.6</v>
      </c>
      <c r="Z9" s="159" t="b">
        <f t="shared" si="6"/>
        <v>1</v>
      </c>
      <c r="AA9" s="159" t="b">
        <f t="shared" si="7"/>
        <v>1</v>
      </c>
    </row>
    <row r="10" spans="1:27" ht="22.5" x14ac:dyDescent="0.2">
      <c r="A10" s="399">
        <v>8</v>
      </c>
      <c r="B10" s="265" t="s">
        <v>510</v>
      </c>
      <c r="C10" s="266" t="s">
        <v>77</v>
      </c>
      <c r="D10" s="267" t="s">
        <v>80</v>
      </c>
      <c r="E10" s="399">
        <v>2609</v>
      </c>
      <c r="F10" s="268" t="s">
        <v>511</v>
      </c>
      <c r="G10" s="269" t="s">
        <v>46</v>
      </c>
      <c r="H10" s="270">
        <v>0.51</v>
      </c>
      <c r="I10" s="271" t="s">
        <v>188</v>
      </c>
      <c r="J10" s="272">
        <v>2370827.8199999998</v>
      </c>
      <c r="K10" s="400">
        <v>1896662</v>
      </c>
      <c r="L10" s="401">
        <f t="shared" si="8"/>
        <v>474165.81999999983</v>
      </c>
      <c r="M10" s="402">
        <v>0.8</v>
      </c>
      <c r="N10" s="273">
        <v>0</v>
      </c>
      <c r="O10" s="273">
        <v>0</v>
      </c>
      <c r="P10" s="273">
        <v>0</v>
      </c>
      <c r="Q10" s="274">
        <v>0</v>
      </c>
      <c r="R10" s="274">
        <f>K10</f>
        <v>1896662</v>
      </c>
      <c r="S10" s="380"/>
      <c r="T10" s="380"/>
      <c r="U10" s="379"/>
      <c r="V10" s="379"/>
      <c r="W10" s="379"/>
      <c r="X10" s="159" t="b">
        <f t="shared" si="4"/>
        <v>1</v>
      </c>
      <c r="Y10" s="359">
        <f t="shared" si="5"/>
        <v>0.8</v>
      </c>
      <c r="Z10" s="159" t="b">
        <f t="shared" si="6"/>
        <v>1</v>
      </c>
      <c r="AA10" s="159" t="b">
        <f t="shared" si="7"/>
        <v>1</v>
      </c>
    </row>
    <row r="11" spans="1:27" ht="22.5" x14ac:dyDescent="0.2">
      <c r="A11" s="205">
        <v>9</v>
      </c>
      <c r="B11" s="384" t="s">
        <v>168</v>
      </c>
      <c r="C11" s="385" t="s">
        <v>169</v>
      </c>
      <c r="D11" s="394" t="s">
        <v>42</v>
      </c>
      <c r="E11" s="205" t="s">
        <v>477</v>
      </c>
      <c r="F11" s="395" t="s">
        <v>170</v>
      </c>
      <c r="G11" s="396" t="s">
        <v>43</v>
      </c>
      <c r="H11" s="397">
        <v>1</v>
      </c>
      <c r="I11" s="345" t="s">
        <v>171</v>
      </c>
      <c r="J11" s="398">
        <v>4022000</v>
      </c>
      <c r="K11" s="389">
        <f>ROUNDDOWN(J11*M11,0)</f>
        <v>2413200</v>
      </c>
      <c r="L11" s="390">
        <f t="shared" si="8"/>
        <v>1608800</v>
      </c>
      <c r="M11" s="212">
        <v>0.6</v>
      </c>
      <c r="N11" s="392">
        <v>0</v>
      </c>
      <c r="O11" s="392">
        <v>0</v>
      </c>
      <c r="P11" s="392">
        <v>0</v>
      </c>
      <c r="Q11" s="393">
        <v>0</v>
      </c>
      <c r="R11" s="393">
        <v>600000</v>
      </c>
      <c r="S11" s="379">
        <v>1813200</v>
      </c>
      <c r="T11" s="380"/>
      <c r="U11" s="379"/>
      <c r="V11" s="379"/>
      <c r="W11" s="379"/>
      <c r="X11" s="159" t="b">
        <f t="shared" si="4"/>
        <v>1</v>
      </c>
      <c r="Y11" s="359">
        <f t="shared" si="5"/>
        <v>0.6</v>
      </c>
      <c r="Z11" s="159" t="b">
        <f t="shared" si="6"/>
        <v>1</v>
      </c>
      <c r="AA11" s="159" t="b">
        <f t="shared" si="7"/>
        <v>1</v>
      </c>
    </row>
    <row r="12" spans="1:27" ht="45" x14ac:dyDescent="0.2">
      <c r="A12" s="205">
        <v>10</v>
      </c>
      <c r="B12" s="384" t="s">
        <v>344</v>
      </c>
      <c r="C12" s="385" t="s">
        <v>169</v>
      </c>
      <c r="D12" s="394" t="s">
        <v>98</v>
      </c>
      <c r="E12" s="404" t="s">
        <v>484</v>
      </c>
      <c r="F12" s="395" t="s">
        <v>343</v>
      </c>
      <c r="G12" s="396" t="s">
        <v>43</v>
      </c>
      <c r="H12" s="397">
        <v>3.67</v>
      </c>
      <c r="I12" s="345" t="s">
        <v>171</v>
      </c>
      <c r="J12" s="398">
        <v>11000000</v>
      </c>
      <c r="K12" s="389">
        <v>7700000</v>
      </c>
      <c r="L12" s="390">
        <f t="shared" si="8"/>
        <v>3300000</v>
      </c>
      <c r="M12" s="212">
        <v>0.7</v>
      </c>
      <c r="N12" s="392">
        <v>0</v>
      </c>
      <c r="O12" s="392">
        <v>0</v>
      </c>
      <c r="P12" s="392">
        <v>0</v>
      </c>
      <c r="Q12" s="393">
        <v>0</v>
      </c>
      <c r="R12" s="393">
        <v>161000</v>
      </c>
      <c r="S12" s="379">
        <v>7538999.9999999991</v>
      </c>
      <c r="T12" s="380"/>
      <c r="U12" s="379"/>
      <c r="V12" s="379"/>
      <c r="W12" s="379"/>
      <c r="X12" s="159" t="b">
        <f t="shared" si="4"/>
        <v>1</v>
      </c>
      <c r="Y12" s="359">
        <f t="shared" si="5"/>
        <v>0.7</v>
      </c>
      <c r="Z12" s="159" t="b">
        <f t="shared" si="6"/>
        <v>1</v>
      </c>
      <c r="AA12" s="159" t="b">
        <f t="shared" si="7"/>
        <v>1</v>
      </c>
    </row>
    <row r="13" spans="1:27" ht="33.75" x14ac:dyDescent="0.2">
      <c r="A13" s="399">
        <v>11</v>
      </c>
      <c r="B13" s="265" t="s">
        <v>172</v>
      </c>
      <c r="C13" s="266" t="s">
        <v>77</v>
      </c>
      <c r="D13" s="267" t="s">
        <v>50</v>
      </c>
      <c r="E13" s="399" t="s">
        <v>485</v>
      </c>
      <c r="F13" s="268" t="s">
        <v>173</v>
      </c>
      <c r="G13" s="269" t="s">
        <v>46</v>
      </c>
      <c r="H13" s="270">
        <v>1.6870000000000001</v>
      </c>
      <c r="I13" s="271" t="s">
        <v>174</v>
      </c>
      <c r="J13" s="272">
        <v>3644298.74</v>
      </c>
      <c r="K13" s="400">
        <f>ROUNDDOWN(J13*M13,0)</f>
        <v>2551009</v>
      </c>
      <c r="L13" s="401">
        <f t="shared" si="8"/>
        <v>1093289.7400000002</v>
      </c>
      <c r="M13" s="402">
        <v>0.7</v>
      </c>
      <c r="N13" s="273">
        <v>0</v>
      </c>
      <c r="O13" s="273">
        <v>0</v>
      </c>
      <c r="P13" s="273">
        <v>0</v>
      </c>
      <c r="Q13" s="274">
        <v>0</v>
      </c>
      <c r="R13" s="274">
        <v>2551009</v>
      </c>
      <c r="S13" s="380"/>
      <c r="T13" s="380"/>
      <c r="U13" s="379"/>
      <c r="V13" s="379"/>
      <c r="W13" s="379"/>
      <c r="X13" s="159" t="b">
        <f t="shared" si="4"/>
        <v>1</v>
      </c>
      <c r="Y13" s="359">
        <f t="shared" si="5"/>
        <v>0.7</v>
      </c>
      <c r="Z13" s="159" t="b">
        <f t="shared" si="6"/>
        <v>1</v>
      </c>
      <c r="AA13" s="159" t="b">
        <f t="shared" si="7"/>
        <v>1</v>
      </c>
    </row>
    <row r="14" spans="1:27" ht="22.5" x14ac:dyDescent="0.2">
      <c r="A14" s="399">
        <v>12</v>
      </c>
      <c r="B14" s="265" t="s">
        <v>175</v>
      </c>
      <c r="C14" s="266" t="s">
        <v>77</v>
      </c>
      <c r="D14" s="267" t="s">
        <v>98</v>
      </c>
      <c r="E14" s="399" t="s">
        <v>484</v>
      </c>
      <c r="F14" s="268" t="s">
        <v>176</v>
      </c>
      <c r="G14" s="269" t="s">
        <v>46</v>
      </c>
      <c r="H14" s="270">
        <v>1.2450000000000001</v>
      </c>
      <c r="I14" s="271" t="s">
        <v>177</v>
      </c>
      <c r="J14" s="272">
        <v>4000000</v>
      </c>
      <c r="K14" s="400">
        <f>ROUNDDOWN(J14*M14,0)</f>
        <v>2800000</v>
      </c>
      <c r="L14" s="401">
        <f t="shared" si="8"/>
        <v>1200000</v>
      </c>
      <c r="M14" s="402">
        <v>0.7</v>
      </c>
      <c r="N14" s="273">
        <v>0</v>
      </c>
      <c r="O14" s="273">
        <v>0</v>
      </c>
      <c r="P14" s="273">
        <v>0</v>
      </c>
      <c r="Q14" s="274">
        <v>0</v>
      </c>
      <c r="R14" s="274">
        <v>2800000</v>
      </c>
      <c r="S14" s="380"/>
      <c r="T14" s="380"/>
      <c r="U14" s="379"/>
      <c r="V14" s="379"/>
      <c r="W14" s="379"/>
      <c r="X14" s="159" t="b">
        <f t="shared" si="4"/>
        <v>1</v>
      </c>
      <c r="Y14" s="359">
        <f t="shared" si="5"/>
        <v>0.7</v>
      </c>
      <c r="Z14" s="159" t="b">
        <f t="shared" si="6"/>
        <v>1</v>
      </c>
      <c r="AA14" s="159" t="b">
        <f t="shared" si="7"/>
        <v>1</v>
      </c>
    </row>
    <row r="15" spans="1:27" ht="33.75" x14ac:dyDescent="0.2">
      <c r="A15" s="399">
        <v>13</v>
      </c>
      <c r="B15" s="265" t="s">
        <v>178</v>
      </c>
      <c r="C15" s="266" t="s">
        <v>77</v>
      </c>
      <c r="D15" s="267" t="s">
        <v>49</v>
      </c>
      <c r="E15" s="399" t="s">
        <v>486</v>
      </c>
      <c r="F15" s="268" t="s">
        <v>179</v>
      </c>
      <c r="G15" s="269" t="s">
        <v>47</v>
      </c>
      <c r="H15" s="270">
        <v>1.085</v>
      </c>
      <c r="I15" s="271" t="s">
        <v>164</v>
      </c>
      <c r="J15" s="272">
        <v>4976478.7300000004</v>
      </c>
      <c r="K15" s="400">
        <f>ROUNDDOWN(J15*M15,0)</f>
        <v>2985887</v>
      </c>
      <c r="L15" s="401">
        <f t="shared" si="8"/>
        <v>1990591.7300000004</v>
      </c>
      <c r="M15" s="402">
        <v>0.6</v>
      </c>
      <c r="N15" s="273">
        <v>0</v>
      </c>
      <c r="O15" s="273">
        <v>0</v>
      </c>
      <c r="P15" s="273">
        <v>0</v>
      </c>
      <c r="Q15" s="274">
        <v>0</v>
      </c>
      <c r="R15" s="274">
        <v>2985887</v>
      </c>
      <c r="S15" s="380"/>
      <c r="T15" s="380"/>
      <c r="U15" s="379"/>
      <c r="V15" s="379"/>
      <c r="W15" s="379"/>
      <c r="X15" s="159" t="b">
        <f t="shared" si="4"/>
        <v>1</v>
      </c>
      <c r="Y15" s="359">
        <f t="shared" si="5"/>
        <v>0.6</v>
      </c>
      <c r="Z15" s="159" t="b">
        <f t="shared" si="6"/>
        <v>1</v>
      </c>
      <c r="AA15" s="159" t="b">
        <f t="shared" si="7"/>
        <v>1</v>
      </c>
    </row>
    <row r="16" spans="1:27" ht="33.75" x14ac:dyDescent="0.2">
      <c r="A16" s="399">
        <v>14</v>
      </c>
      <c r="B16" s="265" t="s">
        <v>334</v>
      </c>
      <c r="C16" s="266" t="s">
        <v>77</v>
      </c>
      <c r="D16" s="267" t="s">
        <v>42</v>
      </c>
      <c r="E16" s="403" t="s">
        <v>477</v>
      </c>
      <c r="F16" s="268" t="s">
        <v>333</v>
      </c>
      <c r="G16" s="269" t="s">
        <v>47</v>
      </c>
      <c r="H16" s="270">
        <v>0.96499999999999997</v>
      </c>
      <c r="I16" s="271" t="s">
        <v>332</v>
      </c>
      <c r="J16" s="272">
        <v>2032890.03</v>
      </c>
      <c r="K16" s="400">
        <v>1219734</v>
      </c>
      <c r="L16" s="401">
        <f t="shared" si="8"/>
        <v>813156.03</v>
      </c>
      <c r="M16" s="402">
        <v>0.6</v>
      </c>
      <c r="N16" s="273">
        <v>0</v>
      </c>
      <c r="O16" s="273">
        <v>0</v>
      </c>
      <c r="P16" s="273">
        <v>0</v>
      </c>
      <c r="Q16" s="274">
        <v>0</v>
      </c>
      <c r="R16" s="274">
        <v>1219734</v>
      </c>
      <c r="S16" s="380"/>
      <c r="T16" s="380"/>
      <c r="U16" s="379"/>
      <c r="V16" s="379"/>
      <c r="W16" s="379"/>
      <c r="X16" s="159" t="b">
        <f t="shared" si="4"/>
        <v>1</v>
      </c>
      <c r="Y16" s="359">
        <f t="shared" si="5"/>
        <v>0.6</v>
      </c>
      <c r="Z16" s="159" t="b">
        <f t="shared" si="6"/>
        <v>1</v>
      </c>
      <c r="AA16" s="159" t="b">
        <f t="shared" si="7"/>
        <v>1</v>
      </c>
    </row>
    <row r="17" spans="1:27" ht="45" x14ac:dyDescent="0.2">
      <c r="A17" s="399">
        <v>15</v>
      </c>
      <c r="B17" s="265" t="s">
        <v>180</v>
      </c>
      <c r="C17" s="266" t="s">
        <v>77</v>
      </c>
      <c r="D17" s="267" t="s">
        <v>104</v>
      </c>
      <c r="E17" s="399" t="s">
        <v>481</v>
      </c>
      <c r="F17" s="268" t="s">
        <v>181</v>
      </c>
      <c r="G17" s="269" t="s">
        <v>47</v>
      </c>
      <c r="H17" s="270">
        <v>1.9890000000000001</v>
      </c>
      <c r="I17" s="271" t="s">
        <v>177</v>
      </c>
      <c r="J17" s="272">
        <v>3382969.1</v>
      </c>
      <c r="K17" s="400">
        <f>ROUNDDOWN(J17*M17,0)</f>
        <v>2029781</v>
      </c>
      <c r="L17" s="401">
        <f t="shared" si="8"/>
        <v>1353188.1</v>
      </c>
      <c r="M17" s="402">
        <v>0.6</v>
      </c>
      <c r="N17" s="273">
        <v>0</v>
      </c>
      <c r="O17" s="273">
        <v>0</v>
      </c>
      <c r="P17" s="273">
        <v>0</v>
      </c>
      <c r="Q17" s="274">
        <v>0</v>
      </c>
      <c r="R17" s="274">
        <v>2029781</v>
      </c>
      <c r="S17" s="380"/>
      <c r="T17" s="380"/>
      <c r="U17" s="379"/>
      <c r="V17" s="379"/>
      <c r="W17" s="379"/>
      <c r="X17" s="159" t="b">
        <f t="shared" si="4"/>
        <v>1</v>
      </c>
      <c r="Y17" s="359">
        <f t="shared" si="5"/>
        <v>0.6</v>
      </c>
      <c r="Z17" s="159" t="b">
        <f t="shared" si="6"/>
        <v>1</v>
      </c>
      <c r="AA17" s="159" t="b">
        <f t="shared" si="7"/>
        <v>1</v>
      </c>
    </row>
    <row r="18" spans="1:27" ht="33.75" x14ac:dyDescent="0.2">
      <c r="A18" s="399">
        <v>16</v>
      </c>
      <c r="B18" s="265" t="s">
        <v>360</v>
      </c>
      <c r="C18" s="266" t="s">
        <v>77</v>
      </c>
      <c r="D18" s="267" t="s">
        <v>81</v>
      </c>
      <c r="E18" s="403" t="s">
        <v>475</v>
      </c>
      <c r="F18" s="268" t="s">
        <v>359</v>
      </c>
      <c r="G18" s="269" t="s">
        <v>47</v>
      </c>
      <c r="H18" s="270">
        <v>4.3689999999999998</v>
      </c>
      <c r="I18" s="271" t="s">
        <v>189</v>
      </c>
      <c r="J18" s="272">
        <v>6404603.6600000001</v>
      </c>
      <c r="K18" s="400">
        <v>3842762</v>
      </c>
      <c r="L18" s="401">
        <f t="shared" si="8"/>
        <v>2561841.66</v>
      </c>
      <c r="M18" s="402">
        <v>0.6</v>
      </c>
      <c r="N18" s="273">
        <v>0</v>
      </c>
      <c r="O18" s="273">
        <v>0</v>
      </c>
      <c r="P18" s="273">
        <v>0</v>
      </c>
      <c r="Q18" s="274">
        <v>0</v>
      </c>
      <c r="R18" s="274">
        <v>3842762</v>
      </c>
      <c r="S18" s="380"/>
      <c r="T18" s="380"/>
      <c r="U18" s="379"/>
      <c r="V18" s="379"/>
      <c r="W18" s="379"/>
      <c r="X18" s="159" t="b">
        <f t="shared" si="4"/>
        <v>1</v>
      </c>
      <c r="Y18" s="359">
        <f t="shared" si="5"/>
        <v>0.6</v>
      </c>
      <c r="Z18" s="159" t="b">
        <f t="shared" si="6"/>
        <v>1</v>
      </c>
      <c r="AA18" s="159" t="b">
        <f t="shared" si="7"/>
        <v>1</v>
      </c>
    </row>
    <row r="19" spans="1:27" ht="48" customHeight="1" x14ac:dyDescent="0.2">
      <c r="A19" s="399">
        <v>17</v>
      </c>
      <c r="B19" s="265" t="s">
        <v>182</v>
      </c>
      <c r="C19" s="266" t="s">
        <v>77</v>
      </c>
      <c r="D19" s="267" t="s">
        <v>104</v>
      </c>
      <c r="E19" s="399" t="s">
        <v>481</v>
      </c>
      <c r="F19" s="268" t="s">
        <v>183</v>
      </c>
      <c r="G19" s="269" t="s">
        <v>46</v>
      </c>
      <c r="H19" s="270">
        <v>7.2779999999999996</v>
      </c>
      <c r="I19" s="271" t="s">
        <v>177</v>
      </c>
      <c r="J19" s="272">
        <v>7041593.1299999999</v>
      </c>
      <c r="K19" s="400">
        <f>ROUNDDOWN(J19*M19,0)</f>
        <v>4224955</v>
      </c>
      <c r="L19" s="401">
        <f t="shared" si="8"/>
        <v>2816638.13</v>
      </c>
      <c r="M19" s="402">
        <v>0.6</v>
      </c>
      <c r="N19" s="273">
        <v>0</v>
      </c>
      <c r="O19" s="273">
        <v>0</v>
      </c>
      <c r="P19" s="273">
        <v>0</v>
      </c>
      <c r="Q19" s="274">
        <v>0</v>
      </c>
      <c r="R19" s="274">
        <v>4224955</v>
      </c>
      <c r="S19" s="380"/>
      <c r="T19" s="380"/>
      <c r="U19" s="379"/>
      <c r="V19" s="379"/>
      <c r="W19" s="379"/>
      <c r="X19" s="159" t="b">
        <f t="shared" si="4"/>
        <v>1</v>
      </c>
      <c r="Y19" s="359">
        <f t="shared" si="5"/>
        <v>0.6</v>
      </c>
      <c r="Z19" s="159" t="b">
        <f t="shared" si="6"/>
        <v>1</v>
      </c>
      <c r="AA19" s="159" t="b">
        <f t="shared" si="7"/>
        <v>1</v>
      </c>
    </row>
    <row r="20" spans="1:27" ht="22.5" x14ac:dyDescent="0.2">
      <c r="A20" s="399">
        <v>18</v>
      </c>
      <c r="B20" s="265" t="s">
        <v>186</v>
      </c>
      <c r="C20" s="266" t="s">
        <v>77</v>
      </c>
      <c r="D20" s="267" t="s">
        <v>78</v>
      </c>
      <c r="E20" s="399" t="s">
        <v>479</v>
      </c>
      <c r="F20" s="268" t="s">
        <v>187</v>
      </c>
      <c r="G20" s="269" t="s">
        <v>46</v>
      </c>
      <c r="H20" s="270">
        <v>0.73499999999999999</v>
      </c>
      <c r="I20" s="271" t="s">
        <v>188</v>
      </c>
      <c r="J20" s="272">
        <v>1003667.48</v>
      </c>
      <c r="K20" s="400">
        <f>ROUNDDOWN(J20*M20,0)</f>
        <v>501833</v>
      </c>
      <c r="L20" s="401">
        <f t="shared" si="8"/>
        <v>501834.48</v>
      </c>
      <c r="M20" s="402">
        <v>0.5</v>
      </c>
      <c r="N20" s="273">
        <v>0</v>
      </c>
      <c r="O20" s="273">
        <v>0</v>
      </c>
      <c r="P20" s="273">
        <v>0</v>
      </c>
      <c r="Q20" s="274">
        <v>0</v>
      </c>
      <c r="R20" s="274">
        <v>501833</v>
      </c>
      <c r="S20" s="380"/>
      <c r="T20" s="380"/>
      <c r="U20" s="379"/>
      <c r="V20" s="379"/>
      <c r="W20" s="379"/>
      <c r="X20" s="159" t="b">
        <f t="shared" si="4"/>
        <v>1</v>
      </c>
      <c r="Y20" s="359">
        <f t="shared" si="5"/>
        <v>0.5</v>
      </c>
      <c r="Z20" s="159" t="b">
        <f t="shared" si="6"/>
        <v>1</v>
      </c>
      <c r="AA20" s="159" t="b">
        <f t="shared" si="7"/>
        <v>1</v>
      </c>
    </row>
    <row r="21" spans="1:27" ht="33.75" x14ac:dyDescent="0.2">
      <c r="A21" s="399">
        <v>19</v>
      </c>
      <c r="B21" s="265" t="s">
        <v>352</v>
      </c>
      <c r="C21" s="266" t="s">
        <v>77</v>
      </c>
      <c r="D21" s="267" t="s">
        <v>50</v>
      </c>
      <c r="E21" s="403" t="s">
        <v>485</v>
      </c>
      <c r="F21" s="268" t="s">
        <v>351</v>
      </c>
      <c r="G21" s="269" t="s">
        <v>46</v>
      </c>
      <c r="H21" s="270">
        <v>0.62</v>
      </c>
      <c r="I21" s="271" t="s">
        <v>174</v>
      </c>
      <c r="J21" s="272">
        <v>364153.8</v>
      </c>
      <c r="K21" s="400">
        <v>254907</v>
      </c>
      <c r="L21" s="401">
        <f t="shared" si="8"/>
        <v>109246.79999999999</v>
      </c>
      <c r="M21" s="402">
        <v>0.7</v>
      </c>
      <c r="N21" s="273">
        <v>0</v>
      </c>
      <c r="O21" s="273">
        <v>0</v>
      </c>
      <c r="P21" s="273">
        <v>0</v>
      </c>
      <c r="Q21" s="274">
        <v>0</v>
      </c>
      <c r="R21" s="274">
        <v>254907</v>
      </c>
      <c r="S21" s="380"/>
      <c r="T21" s="380"/>
      <c r="U21" s="379"/>
      <c r="V21" s="379"/>
      <c r="W21" s="379"/>
      <c r="X21" s="159" t="b">
        <f t="shared" si="4"/>
        <v>1</v>
      </c>
      <c r="Y21" s="359">
        <f t="shared" si="5"/>
        <v>0.7</v>
      </c>
      <c r="Z21" s="159" t="b">
        <f t="shared" si="6"/>
        <v>1</v>
      </c>
      <c r="AA21" s="159" t="b">
        <f t="shared" si="7"/>
        <v>1</v>
      </c>
    </row>
    <row r="22" spans="1:27" ht="45" x14ac:dyDescent="0.2">
      <c r="A22" s="399">
        <v>20</v>
      </c>
      <c r="B22" s="265" t="s">
        <v>190</v>
      </c>
      <c r="C22" s="266" t="s">
        <v>77</v>
      </c>
      <c r="D22" s="267" t="s">
        <v>81</v>
      </c>
      <c r="E22" s="399" t="s">
        <v>475</v>
      </c>
      <c r="F22" s="268" t="s">
        <v>191</v>
      </c>
      <c r="G22" s="269" t="s">
        <v>47</v>
      </c>
      <c r="H22" s="270">
        <v>9.0120000000000005</v>
      </c>
      <c r="I22" s="271" t="s">
        <v>189</v>
      </c>
      <c r="J22" s="272">
        <v>12813228.52</v>
      </c>
      <c r="K22" s="400">
        <f>ROUNDDOWN(J22*M22,0)</f>
        <v>7687937</v>
      </c>
      <c r="L22" s="401">
        <f t="shared" si="8"/>
        <v>5125291.5199999996</v>
      </c>
      <c r="M22" s="402">
        <v>0.6</v>
      </c>
      <c r="N22" s="273">
        <v>0</v>
      </c>
      <c r="O22" s="273">
        <v>0</v>
      </c>
      <c r="P22" s="273">
        <v>0</v>
      </c>
      <c r="Q22" s="274">
        <v>0</v>
      </c>
      <c r="R22" s="274">
        <v>7687937</v>
      </c>
      <c r="S22" s="380"/>
      <c r="T22" s="380"/>
      <c r="U22" s="379"/>
      <c r="V22" s="379"/>
      <c r="W22" s="379"/>
      <c r="X22" s="159" t="b">
        <f t="shared" si="4"/>
        <v>1</v>
      </c>
      <c r="Y22" s="359">
        <f t="shared" si="5"/>
        <v>0.6</v>
      </c>
      <c r="Z22" s="159" t="b">
        <f t="shared" si="6"/>
        <v>1</v>
      </c>
      <c r="AA22" s="159" t="b">
        <f t="shared" si="7"/>
        <v>1</v>
      </c>
    </row>
    <row r="23" spans="1:27" ht="22.5" x14ac:dyDescent="0.2">
      <c r="A23" s="399">
        <v>21</v>
      </c>
      <c r="B23" s="265" t="s">
        <v>165</v>
      </c>
      <c r="C23" s="266" t="s">
        <v>77</v>
      </c>
      <c r="D23" s="267" t="s">
        <v>42</v>
      </c>
      <c r="E23" s="399" t="s">
        <v>477</v>
      </c>
      <c r="F23" s="268" t="s">
        <v>166</v>
      </c>
      <c r="G23" s="269" t="s">
        <v>43</v>
      </c>
      <c r="H23" s="270">
        <v>9.4E-2</v>
      </c>
      <c r="I23" s="271" t="s">
        <v>167</v>
      </c>
      <c r="J23" s="272">
        <v>2236220.63</v>
      </c>
      <c r="K23" s="400">
        <f>ROUNDDOWN(J23*M23,0)</f>
        <v>1341732</v>
      </c>
      <c r="L23" s="401">
        <f t="shared" si="8"/>
        <v>894488.62999999989</v>
      </c>
      <c r="M23" s="402">
        <v>0.6</v>
      </c>
      <c r="N23" s="273">
        <v>0</v>
      </c>
      <c r="O23" s="273">
        <v>0</v>
      </c>
      <c r="P23" s="273">
        <v>0</v>
      </c>
      <c r="Q23" s="274">
        <v>0</v>
      </c>
      <c r="R23" s="274">
        <v>1341732</v>
      </c>
      <c r="S23" s="380"/>
      <c r="T23" s="380"/>
      <c r="U23" s="379"/>
      <c r="V23" s="379"/>
      <c r="W23" s="379"/>
      <c r="X23" s="159" t="b">
        <f t="shared" si="4"/>
        <v>1</v>
      </c>
      <c r="Y23" s="359">
        <f t="shared" si="5"/>
        <v>0.6</v>
      </c>
      <c r="Z23" s="159" t="b">
        <f t="shared" si="6"/>
        <v>1</v>
      </c>
      <c r="AA23" s="159" t="b">
        <f t="shared" si="7"/>
        <v>1</v>
      </c>
    </row>
    <row r="24" spans="1:27" ht="22.5" x14ac:dyDescent="0.2">
      <c r="A24" s="399">
        <v>22</v>
      </c>
      <c r="B24" s="265" t="s">
        <v>192</v>
      </c>
      <c r="C24" s="266" t="s">
        <v>77</v>
      </c>
      <c r="D24" s="267" t="s">
        <v>79</v>
      </c>
      <c r="E24" s="399" t="s">
        <v>476</v>
      </c>
      <c r="F24" s="268" t="s">
        <v>193</v>
      </c>
      <c r="G24" s="269" t="s">
        <v>47</v>
      </c>
      <c r="H24" s="270">
        <v>1</v>
      </c>
      <c r="I24" s="271" t="s">
        <v>194</v>
      </c>
      <c r="J24" s="272">
        <v>1091606.05</v>
      </c>
      <c r="K24" s="400">
        <f>ROUNDDOWN(J24*M24,0)</f>
        <v>764124</v>
      </c>
      <c r="L24" s="401">
        <f t="shared" si="8"/>
        <v>327482.05000000005</v>
      </c>
      <c r="M24" s="402">
        <v>0.7</v>
      </c>
      <c r="N24" s="273">
        <v>0</v>
      </c>
      <c r="O24" s="273">
        <v>0</v>
      </c>
      <c r="P24" s="273">
        <v>0</v>
      </c>
      <c r="Q24" s="274">
        <v>0</v>
      </c>
      <c r="R24" s="274">
        <v>764124</v>
      </c>
      <c r="S24" s="380"/>
      <c r="T24" s="380"/>
      <c r="U24" s="379"/>
      <c r="V24" s="379"/>
      <c r="W24" s="379"/>
      <c r="X24" s="159" t="b">
        <f t="shared" si="4"/>
        <v>1</v>
      </c>
      <c r="Y24" s="359">
        <f t="shared" si="5"/>
        <v>0.7</v>
      </c>
      <c r="Z24" s="159" t="b">
        <f t="shared" si="6"/>
        <v>1</v>
      </c>
      <c r="AA24" s="159" t="b">
        <f t="shared" si="7"/>
        <v>1</v>
      </c>
    </row>
    <row r="25" spans="1:27" ht="33.75" x14ac:dyDescent="0.2">
      <c r="A25" s="399">
        <v>23</v>
      </c>
      <c r="B25" s="265" t="s">
        <v>508</v>
      </c>
      <c r="C25" s="266" t="s">
        <v>77</v>
      </c>
      <c r="D25" s="267" t="s">
        <v>50</v>
      </c>
      <c r="E25" s="403">
        <v>2612</v>
      </c>
      <c r="F25" s="268" t="s">
        <v>509</v>
      </c>
      <c r="G25" s="269" t="s">
        <v>47</v>
      </c>
      <c r="H25" s="270">
        <v>0.995</v>
      </c>
      <c r="I25" s="271" t="s">
        <v>174</v>
      </c>
      <c r="J25" s="272">
        <v>1141168.79</v>
      </c>
      <c r="K25" s="400">
        <v>798818</v>
      </c>
      <c r="L25" s="401">
        <f t="shared" si="8"/>
        <v>342350.79000000004</v>
      </c>
      <c r="M25" s="402">
        <v>0.7</v>
      </c>
      <c r="N25" s="273">
        <v>0</v>
      </c>
      <c r="O25" s="273">
        <v>0</v>
      </c>
      <c r="P25" s="273">
        <v>0</v>
      </c>
      <c r="Q25" s="274">
        <v>0</v>
      </c>
      <c r="R25" s="274">
        <f>K25</f>
        <v>798818</v>
      </c>
      <c r="S25" s="380"/>
      <c r="T25" s="380"/>
      <c r="U25" s="379"/>
      <c r="V25" s="379"/>
      <c r="W25" s="379"/>
      <c r="X25" s="159" t="b">
        <f t="shared" si="4"/>
        <v>1</v>
      </c>
      <c r="Y25" s="359">
        <f t="shared" si="5"/>
        <v>0.7</v>
      </c>
      <c r="Z25" s="159" t="b">
        <f t="shared" si="6"/>
        <v>1</v>
      </c>
      <c r="AA25" s="159" t="b">
        <f t="shared" si="7"/>
        <v>1</v>
      </c>
    </row>
    <row r="26" spans="1:27" ht="33.75" x14ac:dyDescent="0.2">
      <c r="A26" s="399">
        <v>24</v>
      </c>
      <c r="B26" s="265" t="s">
        <v>512</v>
      </c>
      <c r="C26" s="266" t="s">
        <v>77</v>
      </c>
      <c r="D26" s="267" t="s">
        <v>50</v>
      </c>
      <c r="E26" s="403">
        <v>2612</v>
      </c>
      <c r="F26" s="268" t="s">
        <v>513</v>
      </c>
      <c r="G26" s="269" t="s">
        <v>47</v>
      </c>
      <c r="H26" s="270">
        <v>0.995</v>
      </c>
      <c r="I26" s="271" t="s">
        <v>174</v>
      </c>
      <c r="J26" s="272">
        <v>1420253.33</v>
      </c>
      <c r="K26" s="400">
        <v>994177</v>
      </c>
      <c r="L26" s="401">
        <f t="shared" si="8"/>
        <v>426076.33000000007</v>
      </c>
      <c r="M26" s="402">
        <v>0.7</v>
      </c>
      <c r="N26" s="273">
        <v>0</v>
      </c>
      <c r="O26" s="273">
        <v>0</v>
      </c>
      <c r="P26" s="273">
        <v>0</v>
      </c>
      <c r="Q26" s="274">
        <v>0</v>
      </c>
      <c r="R26" s="274">
        <f>K26</f>
        <v>994177</v>
      </c>
      <c r="S26" s="380"/>
      <c r="T26" s="380"/>
      <c r="U26" s="379"/>
      <c r="V26" s="379"/>
      <c r="W26" s="379"/>
      <c r="X26" s="159" t="b">
        <f t="shared" si="4"/>
        <v>1</v>
      </c>
      <c r="Y26" s="359">
        <f t="shared" si="5"/>
        <v>0.7</v>
      </c>
      <c r="Z26" s="159" t="b">
        <f t="shared" si="6"/>
        <v>1</v>
      </c>
      <c r="AA26" s="159" t="b">
        <f t="shared" si="7"/>
        <v>1</v>
      </c>
    </row>
    <row r="27" spans="1:27" ht="22.5" x14ac:dyDescent="0.2">
      <c r="A27" s="399">
        <v>25</v>
      </c>
      <c r="B27" s="265" t="s">
        <v>195</v>
      </c>
      <c r="C27" s="266" t="s">
        <v>77</v>
      </c>
      <c r="D27" s="267" t="s">
        <v>82</v>
      </c>
      <c r="E27" s="399" t="s">
        <v>478</v>
      </c>
      <c r="F27" s="268" t="s">
        <v>196</v>
      </c>
      <c r="G27" s="269" t="s">
        <v>47</v>
      </c>
      <c r="H27" s="270">
        <v>0.96699999999999997</v>
      </c>
      <c r="I27" s="271" t="s">
        <v>158</v>
      </c>
      <c r="J27" s="272">
        <v>1129171</v>
      </c>
      <c r="K27" s="400">
        <f>ROUNDDOWN(J27*M27,0)</f>
        <v>564585</v>
      </c>
      <c r="L27" s="401">
        <f t="shared" si="8"/>
        <v>564586</v>
      </c>
      <c r="M27" s="402">
        <v>0.5</v>
      </c>
      <c r="N27" s="273">
        <v>0</v>
      </c>
      <c r="O27" s="273">
        <v>0</v>
      </c>
      <c r="P27" s="273">
        <v>0</v>
      </c>
      <c r="Q27" s="274">
        <v>0</v>
      </c>
      <c r="R27" s="274">
        <v>564585</v>
      </c>
      <c r="S27" s="380"/>
      <c r="T27" s="380"/>
      <c r="U27" s="379"/>
      <c r="V27" s="379"/>
      <c r="W27" s="379"/>
      <c r="X27" s="159" t="b">
        <f t="shared" si="4"/>
        <v>1</v>
      </c>
      <c r="Y27" s="359">
        <f t="shared" si="5"/>
        <v>0.5</v>
      </c>
      <c r="Z27" s="159" t="b">
        <f t="shared" si="6"/>
        <v>1</v>
      </c>
      <c r="AA27" s="159" t="b">
        <f t="shared" si="7"/>
        <v>1</v>
      </c>
    </row>
    <row r="28" spans="1:27" ht="39" customHeight="1" x14ac:dyDescent="0.2">
      <c r="A28" s="399">
        <v>26</v>
      </c>
      <c r="B28" s="265" t="s">
        <v>197</v>
      </c>
      <c r="C28" s="266" t="s">
        <v>77</v>
      </c>
      <c r="D28" s="267" t="s">
        <v>78</v>
      </c>
      <c r="E28" s="399" t="s">
        <v>479</v>
      </c>
      <c r="F28" s="268" t="s">
        <v>198</v>
      </c>
      <c r="G28" s="269" t="s">
        <v>47</v>
      </c>
      <c r="H28" s="270">
        <v>0.995</v>
      </c>
      <c r="I28" s="271" t="s">
        <v>188</v>
      </c>
      <c r="J28" s="272">
        <v>2001028.81</v>
      </c>
      <c r="K28" s="400">
        <f>ROUNDDOWN(J28*M28,0)</f>
        <v>1000514</v>
      </c>
      <c r="L28" s="401">
        <f t="shared" si="8"/>
        <v>1000514.81</v>
      </c>
      <c r="M28" s="402">
        <v>0.5</v>
      </c>
      <c r="N28" s="273">
        <v>0</v>
      </c>
      <c r="O28" s="273">
        <v>0</v>
      </c>
      <c r="P28" s="273">
        <v>0</v>
      </c>
      <c r="Q28" s="274">
        <v>0</v>
      </c>
      <c r="R28" s="274">
        <v>1000514</v>
      </c>
      <c r="S28" s="380"/>
      <c r="T28" s="380"/>
      <c r="U28" s="379"/>
      <c r="V28" s="379"/>
      <c r="W28" s="379"/>
      <c r="X28" s="159" t="b">
        <f t="shared" si="4"/>
        <v>1</v>
      </c>
      <c r="Y28" s="359">
        <f t="shared" si="5"/>
        <v>0.5</v>
      </c>
      <c r="Z28" s="159" t="b">
        <f t="shared" si="6"/>
        <v>1</v>
      </c>
      <c r="AA28" s="159" t="b">
        <f t="shared" si="7"/>
        <v>1</v>
      </c>
    </row>
    <row r="29" spans="1:27" ht="33.75" x14ac:dyDescent="0.2">
      <c r="A29" s="399">
        <v>27</v>
      </c>
      <c r="B29" s="265" t="s">
        <v>199</v>
      </c>
      <c r="C29" s="266" t="s">
        <v>77</v>
      </c>
      <c r="D29" s="267" t="s">
        <v>50</v>
      </c>
      <c r="E29" s="399" t="s">
        <v>485</v>
      </c>
      <c r="F29" s="268" t="s">
        <v>200</v>
      </c>
      <c r="G29" s="269" t="s">
        <v>47</v>
      </c>
      <c r="H29" s="270">
        <v>0.995</v>
      </c>
      <c r="I29" s="271" t="s">
        <v>174</v>
      </c>
      <c r="J29" s="272">
        <v>1527819.9</v>
      </c>
      <c r="K29" s="400">
        <f>ROUNDDOWN(J29*M29,0)</f>
        <v>1069473</v>
      </c>
      <c r="L29" s="401">
        <f t="shared" si="8"/>
        <v>458346.89999999991</v>
      </c>
      <c r="M29" s="402">
        <v>0.7</v>
      </c>
      <c r="N29" s="273">
        <v>0</v>
      </c>
      <c r="O29" s="273">
        <v>0</v>
      </c>
      <c r="P29" s="273">
        <v>0</v>
      </c>
      <c r="Q29" s="274">
        <v>0</v>
      </c>
      <c r="R29" s="274">
        <v>1069473</v>
      </c>
      <c r="S29" s="380"/>
      <c r="T29" s="380"/>
      <c r="U29" s="379"/>
      <c r="V29" s="379"/>
      <c r="W29" s="379"/>
      <c r="X29" s="159" t="b">
        <f t="shared" si="4"/>
        <v>1</v>
      </c>
      <c r="Y29" s="359">
        <f t="shared" si="5"/>
        <v>0.7</v>
      </c>
      <c r="Z29" s="159" t="b">
        <f t="shared" si="6"/>
        <v>1</v>
      </c>
      <c r="AA29" s="159" t="b">
        <f t="shared" si="7"/>
        <v>1</v>
      </c>
    </row>
    <row r="30" spans="1:27" ht="33.75" x14ac:dyDescent="0.2">
      <c r="A30" s="399">
        <v>28</v>
      </c>
      <c r="B30" s="265" t="s">
        <v>201</v>
      </c>
      <c r="C30" s="266" t="s">
        <v>77</v>
      </c>
      <c r="D30" s="267" t="s">
        <v>82</v>
      </c>
      <c r="E30" s="399" t="s">
        <v>478</v>
      </c>
      <c r="F30" s="268" t="s">
        <v>488</v>
      </c>
      <c r="G30" s="269" t="s">
        <v>43</v>
      </c>
      <c r="H30" s="270">
        <v>0.9</v>
      </c>
      <c r="I30" s="271" t="s">
        <v>158</v>
      </c>
      <c r="J30" s="272">
        <v>3081610</v>
      </c>
      <c r="K30" s="400">
        <f>ROUNDDOWN(J30*M30,0)</f>
        <v>1540805</v>
      </c>
      <c r="L30" s="401">
        <f t="shared" si="8"/>
        <v>1540805</v>
      </c>
      <c r="M30" s="402">
        <v>0.5</v>
      </c>
      <c r="N30" s="273">
        <v>0</v>
      </c>
      <c r="O30" s="273">
        <v>0</v>
      </c>
      <c r="P30" s="273">
        <v>0</v>
      </c>
      <c r="Q30" s="274">
        <v>0</v>
      </c>
      <c r="R30" s="274">
        <v>1540805</v>
      </c>
      <c r="S30" s="380"/>
      <c r="T30" s="380"/>
      <c r="U30" s="379"/>
      <c r="V30" s="379"/>
      <c r="W30" s="379"/>
      <c r="X30" s="159" t="b">
        <f t="shared" si="4"/>
        <v>1</v>
      </c>
      <c r="Y30" s="359">
        <f t="shared" si="5"/>
        <v>0.5</v>
      </c>
      <c r="Z30" s="159" t="b">
        <f t="shared" si="6"/>
        <v>1</v>
      </c>
      <c r="AA30" s="159" t="b">
        <f t="shared" si="7"/>
        <v>1</v>
      </c>
    </row>
    <row r="31" spans="1:27" ht="33.75" x14ac:dyDescent="0.2">
      <c r="A31" s="399">
        <v>29</v>
      </c>
      <c r="B31" s="265" t="s">
        <v>331</v>
      </c>
      <c r="C31" s="266" t="s">
        <v>77</v>
      </c>
      <c r="D31" s="267" t="s">
        <v>82</v>
      </c>
      <c r="E31" s="403" t="s">
        <v>478</v>
      </c>
      <c r="F31" s="268" t="s">
        <v>492</v>
      </c>
      <c r="G31" s="269" t="s">
        <v>43</v>
      </c>
      <c r="H31" s="270">
        <v>0.88700000000000001</v>
      </c>
      <c r="I31" s="271" t="s">
        <v>158</v>
      </c>
      <c r="J31" s="272">
        <v>2631927</v>
      </c>
      <c r="K31" s="400">
        <v>1315963</v>
      </c>
      <c r="L31" s="401">
        <f t="shared" si="8"/>
        <v>1315964</v>
      </c>
      <c r="M31" s="402">
        <v>0.5</v>
      </c>
      <c r="N31" s="273">
        <v>0</v>
      </c>
      <c r="O31" s="273">
        <v>0</v>
      </c>
      <c r="P31" s="273">
        <v>0</v>
      </c>
      <c r="Q31" s="274">
        <v>0</v>
      </c>
      <c r="R31" s="274">
        <v>1315963</v>
      </c>
      <c r="S31" s="380"/>
      <c r="T31" s="380"/>
      <c r="U31" s="379"/>
      <c r="V31" s="379"/>
      <c r="W31" s="379"/>
      <c r="X31" s="159" t="b">
        <f t="shared" si="4"/>
        <v>1</v>
      </c>
      <c r="Y31" s="359">
        <f t="shared" si="5"/>
        <v>0.5</v>
      </c>
      <c r="Z31" s="159" t="b">
        <f t="shared" si="6"/>
        <v>1</v>
      </c>
      <c r="AA31" s="159" t="b">
        <f t="shared" si="7"/>
        <v>1</v>
      </c>
    </row>
    <row r="32" spans="1:27" ht="27.75" customHeight="1" x14ac:dyDescent="0.2">
      <c r="A32" s="399">
        <v>30</v>
      </c>
      <c r="B32" s="265" t="s">
        <v>305</v>
      </c>
      <c r="C32" s="266" t="s">
        <v>77</v>
      </c>
      <c r="D32" s="267" t="s">
        <v>42</v>
      </c>
      <c r="E32" s="403" t="s">
        <v>477</v>
      </c>
      <c r="F32" s="268" t="s">
        <v>304</v>
      </c>
      <c r="G32" s="269" t="s">
        <v>47</v>
      </c>
      <c r="H32" s="270">
        <v>0.87</v>
      </c>
      <c r="I32" s="271" t="s">
        <v>188</v>
      </c>
      <c r="J32" s="272">
        <v>836676.5</v>
      </c>
      <c r="K32" s="400">
        <v>502005</v>
      </c>
      <c r="L32" s="401">
        <f t="shared" si="8"/>
        <v>334671.5</v>
      </c>
      <c r="M32" s="402">
        <v>0.6</v>
      </c>
      <c r="N32" s="273">
        <v>0</v>
      </c>
      <c r="O32" s="273">
        <v>0</v>
      </c>
      <c r="P32" s="273">
        <v>0</v>
      </c>
      <c r="Q32" s="274">
        <v>0</v>
      </c>
      <c r="R32" s="274">
        <v>502005</v>
      </c>
      <c r="S32" s="380"/>
      <c r="T32" s="380"/>
      <c r="U32" s="379"/>
      <c r="V32" s="379"/>
      <c r="W32" s="379"/>
      <c r="X32" s="159" t="b">
        <f t="shared" si="4"/>
        <v>1</v>
      </c>
      <c r="Y32" s="359">
        <f t="shared" si="5"/>
        <v>0.6</v>
      </c>
      <c r="Z32" s="159" t="b">
        <f t="shared" si="6"/>
        <v>1</v>
      </c>
      <c r="AA32" s="159" t="b">
        <f t="shared" si="7"/>
        <v>1</v>
      </c>
    </row>
    <row r="33" spans="1:27" ht="56.25" x14ac:dyDescent="0.2">
      <c r="A33" s="399">
        <v>31</v>
      </c>
      <c r="B33" s="265" t="s">
        <v>362</v>
      </c>
      <c r="C33" s="266" t="s">
        <v>77</v>
      </c>
      <c r="D33" s="267" t="s">
        <v>104</v>
      </c>
      <c r="E33" s="399" t="s">
        <v>481</v>
      </c>
      <c r="F33" s="268" t="s">
        <v>361</v>
      </c>
      <c r="G33" s="269" t="s">
        <v>47</v>
      </c>
      <c r="H33" s="270">
        <v>0.746</v>
      </c>
      <c r="I33" s="271" t="s">
        <v>177</v>
      </c>
      <c r="J33" s="272">
        <v>1333497.7309999999</v>
      </c>
      <c r="K33" s="400">
        <f>ROUNDDOWN(J33*M33,0)</f>
        <v>800098</v>
      </c>
      <c r="L33" s="401">
        <f t="shared" si="8"/>
        <v>533399.73099999991</v>
      </c>
      <c r="M33" s="402">
        <v>0.6</v>
      </c>
      <c r="N33" s="273">
        <v>0</v>
      </c>
      <c r="O33" s="273">
        <v>0</v>
      </c>
      <c r="P33" s="273">
        <v>0</v>
      </c>
      <c r="Q33" s="274">
        <v>0</v>
      </c>
      <c r="R33" s="274">
        <f>K33</f>
        <v>800098</v>
      </c>
      <c r="S33" s="380"/>
      <c r="T33" s="380"/>
      <c r="U33" s="379"/>
      <c r="V33" s="379"/>
      <c r="W33" s="379"/>
      <c r="X33" s="159" t="b">
        <f t="shared" si="4"/>
        <v>1</v>
      </c>
      <c r="Y33" s="359">
        <f t="shared" si="5"/>
        <v>0.6</v>
      </c>
      <c r="Z33" s="159" t="b">
        <f t="shared" si="6"/>
        <v>1</v>
      </c>
      <c r="AA33" s="159" t="b">
        <f t="shared" si="7"/>
        <v>1</v>
      </c>
    </row>
    <row r="34" spans="1:27" ht="33.75" x14ac:dyDescent="0.2">
      <c r="A34" s="399">
        <v>32</v>
      </c>
      <c r="B34" s="265" t="s">
        <v>202</v>
      </c>
      <c r="C34" s="266" t="s">
        <v>77</v>
      </c>
      <c r="D34" s="267" t="s">
        <v>79</v>
      </c>
      <c r="E34" s="399" t="s">
        <v>476</v>
      </c>
      <c r="F34" s="268" t="s">
        <v>203</v>
      </c>
      <c r="G34" s="269" t="s">
        <v>47</v>
      </c>
      <c r="H34" s="270">
        <v>0.7</v>
      </c>
      <c r="I34" s="271" t="s">
        <v>194</v>
      </c>
      <c r="J34" s="272">
        <v>1054429.07</v>
      </c>
      <c r="K34" s="400">
        <f>ROUNDDOWN(J34*M34,0)</f>
        <v>738100</v>
      </c>
      <c r="L34" s="401">
        <f t="shared" si="8"/>
        <v>316329.07000000007</v>
      </c>
      <c r="M34" s="402">
        <v>0.7</v>
      </c>
      <c r="N34" s="273">
        <v>0</v>
      </c>
      <c r="O34" s="273">
        <v>0</v>
      </c>
      <c r="P34" s="273">
        <v>0</v>
      </c>
      <c r="Q34" s="274">
        <v>0</v>
      </c>
      <c r="R34" s="274">
        <v>738100</v>
      </c>
      <c r="S34" s="380"/>
      <c r="T34" s="380"/>
      <c r="U34" s="379"/>
      <c r="V34" s="379"/>
      <c r="W34" s="379"/>
      <c r="X34" s="159" t="b">
        <f t="shared" si="4"/>
        <v>1</v>
      </c>
      <c r="Y34" s="359">
        <f t="shared" si="5"/>
        <v>0.7</v>
      </c>
      <c r="Z34" s="159" t="b">
        <f t="shared" si="6"/>
        <v>1</v>
      </c>
      <c r="AA34" s="159" t="b">
        <f t="shared" si="7"/>
        <v>1</v>
      </c>
    </row>
    <row r="35" spans="1:27" ht="22.5" x14ac:dyDescent="0.2">
      <c r="A35" s="399">
        <v>33</v>
      </c>
      <c r="B35" s="265" t="s">
        <v>204</v>
      </c>
      <c r="C35" s="266" t="s">
        <v>77</v>
      </c>
      <c r="D35" s="267" t="s">
        <v>80</v>
      </c>
      <c r="E35" s="399" t="s">
        <v>482</v>
      </c>
      <c r="F35" s="268" t="s">
        <v>205</v>
      </c>
      <c r="G35" s="269" t="s">
        <v>47</v>
      </c>
      <c r="H35" s="270">
        <v>0.42499999999999999</v>
      </c>
      <c r="I35" s="271" t="s">
        <v>188</v>
      </c>
      <c r="J35" s="272">
        <v>1424698.25</v>
      </c>
      <c r="K35" s="400">
        <f>ROUNDDOWN(J35*M35,0)</f>
        <v>1139758</v>
      </c>
      <c r="L35" s="401">
        <f t="shared" si="8"/>
        <v>284940.25</v>
      </c>
      <c r="M35" s="402">
        <v>0.8</v>
      </c>
      <c r="N35" s="273">
        <v>0</v>
      </c>
      <c r="O35" s="273">
        <v>0</v>
      </c>
      <c r="P35" s="273">
        <v>0</v>
      </c>
      <c r="Q35" s="274">
        <v>0</v>
      </c>
      <c r="R35" s="274">
        <v>1139758</v>
      </c>
      <c r="S35" s="380"/>
      <c r="T35" s="380"/>
      <c r="U35" s="379"/>
      <c r="V35" s="379"/>
      <c r="W35" s="379"/>
      <c r="X35" s="159" t="b">
        <f t="shared" si="4"/>
        <v>1</v>
      </c>
      <c r="Y35" s="359">
        <f t="shared" si="5"/>
        <v>0.8</v>
      </c>
      <c r="Z35" s="159" t="b">
        <f t="shared" si="6"/>
        <v>1</v>
      </c>
      <c r="AA35" s="159" t="b">
        <f t="shared" si="7"/>
        <v>1</v>
      </c>
    </row>
    <row r="36" spans="1:27" ht="45" x14ac:dyDescent="0.2">
      <c r="A36" s="399">
        <v>34</v>
      </c>
      <c r="B36" s="265" t="s">
        <v>156</v>
      </c>
      <c r="C36" s="266" t="s">
        <v>77</v>
      </c>
      <c r="D36" s="267" t="s">
        <v>83</v>
      </c>
      <c r="E36" s="399" t="s">
        <v>483</v>
      </c>
      <c r="F36" s="268" t="s">
        <v>157</v>
      </c>
      <c r="G36" s="269" t="s">
        <v>47</v>
      </c>
      <c r="H36" s="270">
        <v>0.33400000000000002</v>
      </c>
      <c r="I36" s="271" t="s">
        <v>158</v>
      </c>
      <c r="J36" s="272">
        <v>3036065.36</v>
      </c>
      <c r="K36" s="400">
        <f>ROUNDDOWN(J36*M36,0)</f>
        <v>1518032</v>
      </c>
      <c r="L36" s="401">
        <f t="shared" si="8"/>
        <v>1518033.3599999999</v>
      </c>
      <c r="M36" s="402">
        <v>0.5</v>
      </c>
      <c r="N36" s="273">
        <v>0</v>
      </c>
      <c r="O36" s="273">
        <v>0</v>
      </c>
      <c r="P36" s="273">
        <v>0</v>
      </c>
      <c r="Q36" s="274">
        <v>0</v>
      </c>
      <c r="R36" s="274">
        <v>1518032</v>
      </c>
      <c r="S36" s="380"/>
      <c r="T36" s="380"/>
      <c r="U36" s="379"/>
      <c r="V36" s="379"/>
      <c r="W36" s="379"/>
      <c r="X36" s="159" t="b">
        <f t="shared" si="4"/>
        <v>1</v>
      </c>
      <c r="Y36" s="359">
        <f t="shared" si="5"/>
        <v>0.5</v>
      </c>
      <c r="Z36" s="159" t="b">
        <f t="shared" si="6"/>
        <v>1</v>
      </c>
      <c r="AA36" s="159" t="b">
        <f t="shared" si="7"/>
        <v>1</v>
      </c>
    </row>
    <row r="37" spans="1:27" ht="22.5" x14ac:dyDescent="0.2">
      <c r="A37" s="399">
        <v>35</v>
      </c>
      <c r="B37" s="265" t="s">
        <v>514</v>
      </c>
      <c r="C37" s="266" t="s">
        <v>77</v>
      </c>
      <c r="D37" s="267" t="s">
        <v>82</v>
      </c>
      <c r="E37" s="403">
        <v>2605</v>
      </c>
      <c r="F37" s="268" t="s">
        <v>515</v>
      </c>
      <c r="G37" s="269" t="s">
        <v>47</v>
      </c>
      <c r="H37" s="270">
        <v>0.42399999999999999</v>
      </c>
      <c r="I37" s="271" t="s">
        <v>158</v>
      </c>
      <c r="J37" s="272">
        <v>1036718</v>
      </c>
      <c r="K37" s="400">
        <f>J37*M37</f>
        <v>518359</v>
      </c>
      <c r="L37" s="401">
        <f t="shared" si="8"/>
        <v>518359</v>
      </c>
      <c r="M37" s="402">
        <v>0.5</v>
      </c>
      <c r="N37" s="273">
        <v>0</v>
      </c>
      <c r="O37" s="273">
        <v>0</v>
      </c>
      <c r="P37" s="273">
        <v>0</v>
      </c>
      <c r="Q37" s="274">
        <v>0</v>
      </c>
      <c r="R37" s="274">
        <f>K37</f>
        <v>518359</v>
      </c>
      <c r="S37" s="380"/>
      <c r="T37" s="380"/>
      <c r="U37" s="379"/>
      <c r="V37" s="379"/>
      <c r="W37" s="379"/>
      <c r="X37" s="159" t="b">
        <f t="shared" si="4"/>
        <v>1</v>
      </c>
      <c r="Y37" s="359">
        <f t="shared" si="5"/>
        <v>0.5</v>
      </c>
      <c r="Z37" s="159" t="b">
        <f t="shared" si="6"/>
        <v>1</v>
      </c>
      <c r="AA37" s="159" t="b">
        <f t="shared" si="7"/>
        <v>1</v>
      </c>
    </row>
    <row r="38" spans="1:27" ht="45" x14ac:dyDescent="0.2">
      <c r="A38" s="399">
        <v>36</v>
      </c>
      <c r="B38" s="265" t="s">
        <v>342</v>
      </c>
      <c r="C38" s="266" t="s">
        <v>77</v>
      </c>
      <c r="D38" s="267" t="s">
        <v>82</v>
      </c>
      <c r="E38" s="403" t="s">
        <v>478</v>
      </c>
      <c r="F38" s="268" t="s">
        <v>341</v>
      </c>
      <c r="G38" s="269" t="s">
        <v>47</v>
      </c>
      <c r="H38" s="270">
        <v>2.97</v>
      </c>
      <c r="I38" s="271" t="s">
        <v>211</v>
      </c>
      <c r="J38" s="272">
        <v>4052201</v>
      </c>
      <c r="K38" s="400">
        <v>2026100</v>
      </c>
      <c r="L38" s="401">
        <v>2026101</v>
      </c>
      <c r="M38" s="402">
        <v>0.5</v>
      </c>
      <c r="N38" s="273">
        <v>0</v>
      </c>
      <c r="O38" s="273">
        <v>0</v>
      </c>
      <c r="P38" s="273">
        <v>0</v>
      </c>
      <c r="Q38" s="274">
        <v>0</v>
      </c>
      <c r="R38" s="274">
        <v>2026100</v>
      </c>
      <c r="S38" s="380"/>
      <c r="T38" s="380"/>
      <c r="U38" s="379"/>
      <c r="V38" s="379"/>
      <c r="W38" s="379"/>
      <c r="X38" s="159" t="b">
        <f t="shared" si="4"/>
        <v>1</v>
      </c>
      <c r="Y38" s="359">
        <f t="shared" si="5"/>
        <v>0.5</v>
      </c>
      <c r="Z38" s="159" t="b">
        <f t="shared" si="6"/>
        <v>1</v>
      </c>
      <c r="AA38" s="159" t="b">
        <f t="shared" si="7"/>
        <v>1</v>
      </c>
    </row>
    <row r="39" spans="1:27" ht="45" x14ac:dyDescent="0.2">
      <c r="A39" s="205">
        <v>37</v>
      </c>
      <c r="B39" s="384" t="s">
        <v>505</v>
      </c>
      <c r="C39" s="385" t="s">
        <v>169</v>
      </c>
      <c r="D39" s="394" t="s">
        <v>42</v>
      </c>
      <c r="E39" s="404">
        <v>2604</v>
      </c>
      <c r="F39" s="395" t="s">
        <v>506</v>
      </c>
      <c r="G39" s="396" t="s">
        <v>43</v>
      </c>
      <c r="H39" s="397">
        <v>1.8169999999999999</v>
      </c>
      <c r="I39" s="345" t="s">
        <v>507</v>
      </c>
      <c r="J39" s="398">
        <v>11452160.710000001</v>
      </c>
      <c r="K39" s="389">
        <v>6871296</v>
      </c>
      <c r="L39" s="390">
        <f>J39-K39</f>
        <v>4580864.7100000009</v>
      </c>
      <c r="M39" s="212">
        <v>0.6</v>
      </c>
      <c r="N39" s="392">
        <v>0</v>
      </c>
      <c r="O39" s="392">
        <v>0</v>
      </c>
      <c r="P39" s="392">
        <v>0</v>
      </c>
      <c r="Q39" s="393">
        <v>0</v>
      </c>
      <c r="R39" s="393">
        <v>3000000</v>
      </c>
      <c r="S39" s="379">
        <v>3871296</v>
      </c>
      <c r="T39" s="380"/>
      <c r="U39" s="379"/>
      <c r="V39" s="379"/>
      <c r="W39" s="379"/>
      <c r="X39" s="159" t="b">
        <f t="shared" si="4"/>
        <v>1</v>
      </c>
      <c r="Y39" s="359">
        <f t="shared" si="5"/>
        <v>0.6</v>
      </c>
      <c r="Z39" s="159" t="b">
        <f t="shared" si="6"/>
        <v>1</v>
      </c>
      <c r="AA39" s="159" t="b">
        <f t="shared" si="7"/>
        <v>1</v>
      </c>
    </row>
    <row r="40" spans="1:27" ht="33.75" x14ac:dyDescent="0.2">
      <c r="A40" s="399">
        <v>38</v>
      </c>
      <c r="B40" s="265" t="s">
        <v>363</v>
      </c>
      <c r="C40" s="266" t="s">
        <v>77</v>
      </c>
      <c r="D40" s="267" t="s">
        <v>49</v>
      </c>
      <c r="E40" s="399" t="s">
        <v>486</v>
      </c>
      <c r="F40" s="268" t="s">
        <v>489</v>
      </c>
      <c r="G40" s="269" t="s">
        <v>43</v>
      </c>
      <c r="H40" s="270">
        <v>0.84099999999999997</v>
      </c>
      <c r="I40" s="271" t="s">
        <v>164</v>
      </c>
      <c r="J40" s="272">
        <v>5074803.1399999997</v>
      </c>
      <c r="K40" s="400">
        <f>ROUNDDOWN(J40*M40,0)</f>
        <v>3044881</v>
      </c>
      <c r="L40" s="401">
        <f>J40-K40</f>
        <v>2029922.1399999997</v>
      </c>
      <c r="M40" s="402">
        <v>0.6</v>
      </c>
      <c r="N40" s="273">
        <v>0</v>
      </c>
      <c r="O40" s="273">
        <v>0</v>
      </c>
      <c r="P40" s="273">
        <v>0</v>
      </c>
      <c r="Q40" s="274">
        <v>0</v>
      </c>
      <c r="R40" s="274">
        <v>3044881</v>
      </c>
      <c r="S40" s="379"/>
      <c r="T40" s="380"/>
      <c r="U40" s="379"/>
      <c r="V40" s="379"/>
      <c r="W40" s="379"/>
      <c r="X40" s="159" t="b">
        <f t="shared" si="4"/>
        <v>1</v>
      </c>
      <c r="Y40" s="359">
        <f t="shared" si="5"/>
        <v>0.6</v>
      </c>
      <c r="Z40" s="159" t="b">
        <f t="shared" si="6"/>
        <v>1</v>
      </c>
      <c r="AA40" s="159" t="b">
        <f t="shared" si="7"/>
        <v>1</v>
      </c>
    </row>
    <row r="41" spans="1:27" ht="45" x14ac:dyDescent="0.2">
      <c r="A41" s="205">
        <v>39</v>
      </c>
      <c r="B41" s="384" t="s">
        <v>349</v>
      </c>
      <c r="C41" s="385" t="s">
        <v>169</v>
      </c>
      <c r="D41" s="394" t="s">
        <v>98</v>
      </c>
      <c r="E41" s="404">
        <v>2611</v>
      </c>
      <c r="F41" s="395" t="s">
        <v>348</v>
      </c>
      <c r="G41" s="396" t="s">
        <v>47</v>
      </c>
      <c r="H41" s="397">
        <v>2.0699999999999998</v>
      </c>
      <c r="I41" s="345" t="s">
        <v>171</v>
      </c>
      <c r="J41" s="398">
        <v>7900000</v>
      </c>
      <c r="K41" s="389">
        <v>5530000</v>
      </c>
      <c r="L41" s="390">
        <v>2370000</v>
      </c>
      <c r="M41" s="212">
        <v>0.7</v>
      </c>
      <c r="N41" s="392">
        <v>0</v>
      </c>
      <c r="O41" s="392">
        <v>0</v>
      </c>
      <c r="P41" s="392">
        <v>0</v>
      </c>
      <c r="Q41" s="393">
        <v>0</v>
      </c>
      <c r="R41" s="393">
        <v>210000</v>
      </c>
      <c r="S41" s="379">
        <v>5320000</v>
      </c>
      <c r="T41" s="380"/>
      <c r="U41" s="379"/>
      <c r="V41" s="379"/>
      <c r="W41" s="379"/>
      <c r="X41" s="159" t="b">
        <f t="shared" si="4"/>
        <v>1</v>
      </c>
      <c r="Y41" s="359">
        <f t="shared" si="5"/>
        <v>0.7</v>
      </c>
      <c r="Z41" s="159" t="b">
        <f t="shared" si="6"/>
        <v>1</v>
      </c>
      <c r="AA41" s="159" t="b">
        <f t="shared" si="7"/>
        <v>1</v>
      </c>
    </row>
    <row r="42" spans="1:27" ht="22.5" x14ac:dyDescent="0.2">
      <c r="A42" s="399">
        <v>40</v>
      </c>
      <c r="B42" s="265" t="s">
        <v>498</v>
      </c>
      <c r="C42" s="266" t="s">
        <v>77</v>
      </c>
      <c r="D42" s="267" t="s">
        <v>42</v>
      </c>
      <c r="E42" s="403" t="s">
        <v>477</v>
      </c>
      <c r="F42" s="268" t="s">
        <v>499</v>
      </c>
      <c r="G42" s="269" t="s">
        <v>47</v>
      </c>
      <c r="H42" s="270">
        <v>0.371</v>
      </c>
      <c r="I42" s="271" t="s">
        <v>164</v>
      </c>
      <c r="J42" s="272">
        <v>2849271.51</v>
      </c>
      <c r="K42" s="400">
        <f>1709562</f>
        <v>1709562</v>
      </c>
      <c r="L42" s="401">
        <f>J42-K42</f>
        <v>1139709.5099999998</v>
      </c>
      <c r="M42" s="402">
        <v>0.6</v>
      </c>
      <c r="N42" s="273">
        <v>0</v>
      </c>
      <c r="O42" s="273">
        <v>0</v>
      </c>
      <c r="P42" s="273">
        <v>0</v>
      </c>
      <c r="Q42" s="274">
        <v>0</v>
      </c>
      <c r="R42" s="274">
        <f>K42</f>
        <v>1709562</v>
      </c>
      <c r="S42" s="380"/>
      <c r="T42" s="380"/>
      <c r="U42" s="380"/>
      <c r="V42" s="380"/>
      <c r="W42" s="380"/>
      <c r="X42" s="159" t="b">
        <f t="shared" si="4"/>
        <v>1</v>
      </c>
      <c r="Y42" s="359">
        <f t="shared" si="5"/>
        <v>0.6</v>
      </c>
      <c r="Z42" s="159" t="b">
        <f t="shared" si="6"/>
        <v>1</v>
      </c>
      <c r="AA42" s="159" t="b">
        <f t="shared" si="7"/>
        <v>1</v>
      </c>
    </row>
    <row r="43" spans="1:27" s="381" customFormat="1" ht="22.5" x14ac:dyDescent="0.2">
      <c r="A43" s="364" t="s">
        <v>597</v>
      </c>
      <c r="B43" s="365" t="s">
        <v>307</v>
      </c>
      <c r="C43" s="366" t="s">
        <v>77</v>
      </c>
      <c r="D43" s="367" t="s">
        <v>42</v>
      </c>
      <c r="E43" s="368">
        <v>2604</v>
      </c>
      <c r="F43" s="369" t="s">
        <v>306</v>
      </c>
      <c r="G43" s="370" t="s">
        <v>47</v>
      </c>
      <c r="H43" s="371">
        <v>0.997</v>
      </c>
      <c r="I43" s="372" t="s">
        <v>174</v>
      </c>
      <c r="J43" s="373">
        <v>1183184.8400000001</v>
      </c>
      <c r="K43" s="374">
        <f>709910-298711</f>
        <v>411199</v>
      </c>
      <c r="L43" s="375">
        <f>J43-K43</f>
        <v>771985.84000000008</v>
      </c>
      <c r="M43" s="376">
        <v>0.6</v>
      </c>
      <c r="N43" s="377">
        <v>0</v>
      </c>
      <c r="O43" s="377">
        <v>0</v>
      </c>
      <c r="P43" s="377">
        <v>0</v>
      </c>
      <c r="Q43" s="378">
        <v>0</v>
      </c>
      <c r="R43" s="378">
        <f>K43</f>
        <v>411199</v>
      </c>
      <c r="S43" s="379"/>
      <c r="T43" s="380"/>
      <c r="U43" s="379"/>
      <c r="V43" s="379"/>
      <c r="W43" s="379"/>
      <c r="X43" s="381" t="b">
        <f t="shared" si="4"/>
        <v>1</v>
      </c>
      <c r="Y43" s="382">
        <f t="shared" si="5"/>
        <v>0.34749999999999998</v>
      </c>
      <c r="Z43" s="381" t="b">
        <f t="shared" si="6"/>
        <v>0</v>
      </c>
      <c r="AA43" s="381" t="b">
        <f t="shared" si="7"/>
        <v>1</v>
      </c>
    </row>
    <row r="44" spans="1:27" x14ac:dyDescent="0.2">
      <c r="A44" s="448" t="s">
        <v>39</v>
      </c>
      <c r="B44" s="448"/>
      <c r="C44" s="448"/>
      <c r="D44" s="448"/>
      <c r="E44" s="448"/>
      <c r="F44" s="448"/>
      <c r="G44" s="448"/>
      <c r="H44" s="405">
        <f>SUM(H3:H43)</f>
        <v>68.268999999999977</v>
      </c>
      <c r="I44" s="406" t="s">
        <v>14</v>
      </c>
      <c r="J44" s="407">
        <f>SUM(J3:J43)</f>
        <v>157284782.53099996</v>
      </c>
      <c r="K44" s="407">
        <f>SUM(K3:K43)</f>
        <v>95303952</v>
      </c>
      <c r="L44" s="407">
        <f>SUM(L3:L43)</f>
        <v>61980830.530999996</v>
      </c>
      <c r="M44" s="408" t="s">
        <v>14</v>
      </c>
      <c r="N44" s="407">
        <f t="shared" ref="N44:W44" si="9">SUM(N3:N43)</f>
        <v>0</v>
      </c>
      <c r="O44" s="407">
        <f t="shared" si="9"/>
        <v>50000</v>
      </c>
      <c r="P44" s="409">
        <f t="shared" si="9"/>
        <v>260000</v>
      </c>
      <c r="Q44" s="409">
        <f t="shared" si="9"/>
        <v>3530277</v>
      </c>
      <c r="R44" s="409">
        <f t="shared" si="9"/>
        <v>71450179</v>
      </c>
      <c r="S44" s="409">
        <f t="shared" si="9"/>
        <v>20013496</v>
      </c>
      <c r="T44" s="409">
        <f t="shared" si="9"/>
        <v>0</v>
      </c>
      <c r="U44" s="409">
        <f t="shared" si="9"/>
        <v>0</v>
      </c>
      <c r="V44" s="409">
        <f t="shared" si="9"/>
        <v>0</v>
      </c>
      <c r="W44" s="409">
        <f t="shared" si="9"/>
        <v>0</v>
      </c>
      <c r="X44" s="159" t="b">
        <f t="shared" si="4"/>
        <v>1</v>
      </c>
      <c r="Y44" s="359">
        <f t="shared" si="5"/>
        <v>0.60589999999999999</v>
      </c>
      <c r="Z44" s="159" t="b">
        <f t="shared" si="6"/>
        <v>0</v>
      </c>
      <c r="AA44" s="159" t="b">
        <f t="shared" si="7"/>
        <v>1</v>
      </c>
    </row>
    <row r="45" spans="1:27" x14ac:dyDescent="0.2">
      <c r="A45" s="447" t="s">
        <v>32</v>
      </c>
      <c r="B45" s="447"/>
      <c r="C45" s="447"/>
      <c r="D45" s="447"/>
      <c r="E45" s="447"/>
      <c r="F45" s="447"/>
      <c r="G45" s="447"/>
      <c r="H45" s="410">
        <f>SUMIF($C$3:$C$43,"K",H3:H43)</f>
        <v>10.540999999999999</v>
      </c>
      <c r="I45" s="411" t="s">
        <v>14</v>
      </c>
      <c r="J45" s="211">
        <f>SUMIF($C$3:$C$43,"K",J3:J43)</f>
        <v>23304007.489999998</v>
      </c>
      <c r="K45" s="211">
        <f>SUMIF($C$3:$C$43,"K",K3:K43)</f>
        <v>12937973</v>
      </c>
      <c r="L45" s="211">
        <f>SUMIF($C$3:$C$43,"K",L3:L43)</f>
        <v>10366034.49</v>
      </c>
      <c r="M45" s="412" t="s">
        <v>14</v>
      </c>
      <c r="N45" s="211">
        <f t="shared" ref="N45:W45" si="10">SUMIF($C$3:$C$43,"K",N3:N43)</f>
        <v>0</v>
      </c>
      <c r="O45" s="211">
        <f t="shared" si="10"/>
        <v>50000</v>
      </c>
      <c r="P45" s="207">
        <f t="shared" si="10"/>
        <v>260000</v>
      </c>
      <c r="Q45" s="207">
        <f t="shared" si="10"/>
        <v>3530277</v>
      </c>
      <c r="R45" s="207">
        <f>SUMIF($C$3:$C$43,"K",R3:R43)</f>
        <v>7627696</v>
      </c>
      <c r="S45" s="207">
        <f>SUMIF($C$3:$C$43,"K",S3:S43)</f>
        <v>1470000</v>
      </c>
      <c r="T45" s="207">
        <f t="shared" si="10"/>
        <v>0</v>
      </c>
      <c r="U45" s="207">
        <f t="shared" si="10"/>
        <v>0</v>
      </c>
      <c r="V45" s="207">
        <f t="shared" si="10"/>
        <v>0</v>
      </c>
      <c r="W45" s="207">
        <f t="shared" si="10"/>
        <v>0</v>
      </c>
      <c r="X45" s="159" t="b">
        <f t="shared" si="4"/>
        <v>1</v>
      </c>
      <c r="Y45" s="359">
        <f t="shared" si="5"/>
        <v>0.55520000000000003</v>
      </c>
      <c r="Z45" s="159" t="b">
        <f t="shared" si="6"/>
        <v>0</v>
      </c>
      <c r="AA45" s="159" t="b">
        <f t="shared" si="7"/>
        <v>1</v>
      </c>
    </row>
    <row r="46" spans="1:27" x14ac:dyDescent="0.2">
      <c r="A46" s="448" t="s">
        <v>33</v>
      </c>
      <c r="B46" s="448"/>
      <c r="C46" s="448"/>
      <c r="D46" s="448"/>
      <c r="E46" s="448"/>
      <c r="F46" s="448"/>
      <c r="G46" s="448"/>
      <c r="H46" s="405">
        <f>SUMIF($C$3:$C$43,"N",H3:H43)</f>
        <v>49.170999999999999</v>
      </c>
      <c r="I46" s="406" t="s">
        <v>14</v>
      </c>
      <c r="J46" s="407">
        <f>SUMIF($C$3:$C$43,"N",J3:J43)</f>
        <v>99606614.331</v>
      </c>
      <c r="K46" s="407">
        <f>SUMIF($C$3:$C$43,"N",K3:K43)</f>
        <v>59851483</v>
      </c>
      <c r="L46" s="407">
        <f>SUMIF($C$3:$C$43,"N",L3:L43)</f>
        <v>39755131.330999993</v>
      </c>
      <c r="M46" s="408" t="s">
        <v>14</v>
      </c>
      <c r="N46" s="407">
        <f t="shared" ref="N46:W46" si="11">SUMIF($C$3:$C$43,"N",N3:N43)</f>
        <v>0</v>
      </c>
      <c r="O46" s="407">
        <f t="shared" si="11"/>
        <v>0</v>
      </c>
      <c r="P46" s="409">
        <f t="shared" si="11"/>
        <v>0</v>
      </c>
      <c r="Q46" s="409">
        <f t="shared" si="11"/>
        <v>0</v>
      </c>
      <c r="R46" s="409">
        <f t="shared" si="11"/>
        <v>59851483</v>
      </c>
      <c r="S46" s="409">
        <f t="shared" si="11"/>
        <v>0</v>
      </c>
      <c r="T46" s="409">
        <f t="shared" si="11"/>
        <v>0</v>
      </c>
      <c r="U46" s="409">
        <f t="shared" si="11"/>
        <v>0</v>
      </c>
      <c r="V46" s="409">
        <f t="shared" si="11"/>
        <v>0</v>
      </c>
      <c r="W46" s="409">
        <f t="shared" si="11"/>
        <v>0</v>
      </c>
      <c r="X46" s="159" t="b">
        <f t="shared" si="4"/>
        <v>1</v>
      </c>
      <c r="Y46" s="359">
        <f t="shared" si="5"/>
        <v>0.60089999999999999</v>
      </c>
      <c r="Z46" s="159" t="b">
        <f t="shared" si="6"/>
        <v>0</v>
      </c>
      <c r="AA46" s="159" t="b">
        <f t="shared" si="7"/>
        <v>1</v>
      </c>
    </row>
    <row r="47" spans="1:27" x14ac:dyDescent="0.2">
      <c r="A47" s="447" t="s">
        <v>34</v>
      </c>
      <c r="B47" s="447"/>
      <c r="C47" s="447"/>
      <c r="D47" s="447"/>
      <c r="E47" s="447"/>
      <c r="F47" s="447"/>
      <c r="G47" s="447"/>
      <c r="H47" s="410">
        <f>SUMIF($C$3:$C$43,"W",H3:H43)</f>
        <v>8.5570000000000004</v>
      </c>
      <c r="I47" s="411" t="s">
        <v>14</v>
      </c>
      <c r="J47" s="211">
        <f>SUMIF($C$3:$C$43,"W",J3:J43)</f>
        <v>34374160.710000001</v>
      </c>
      <c r="K47" s="211">
        <f>SUMIF($C$3:$C$43,"W",K3:K43)</f>
        <v>22514496</v>
      </c>
      <c r="L47" s="211">
        <f>SUMIF($C$3:$C$43,"W",L3:L43)</f>
        <v>11859664.710000001</v>
      </c>
      <c r="M47" s="412" t="s">
        <v>14</v>
      </c>
      <c r="N47" s="211">
        <f t="shared" ref="N47:W47" si="12">SUMIF($C$3:$C$43,"W",N3:N43)</f>
        <v>0</v>
      </c>
      <c r="O47" s="211">
        <f t="shared" si="12"/>
        <v>0</v>
      </c>
      <c r="P47" s="207">
        <f t="shared" si="12"/>
        <v>0</v>
      </c>
      <c r="Q47" s="207">
        <f t="shared" si="12"/>
        <v>0</v>
      </c>
      <c r="R47" s="207">
        <f t="shared" si="12"/>
        <v>3971000</v>
      </c>
      <c r="S47" s="207">
        <f t="shared" si="12"/>
        <v>18543496</v>
      </c>
      <c r="T47" s="207">
        <f t="shared" si="12"/>
        <v>0</v>
      </c>
      <c r="U47" s="207">
        <f t="shared" si="12"/>
        <v>0</v>
      </c>
      <c r="V47" s="207">
        <f t="shared" si="12"/>
        <v>0</v>
      </c>
      <c r="W47" s="207">
        <f t="shared" si="12"/>
        <v>0</v>
      </c>
      <c r="X47" s="159" t="b">
        <f t="shared" si="4"/>
        <v>1</v>
      </c>
      <c r="Y47" s="359">
        <f t="shared" si="5"/>
        <v>0.65500000000000003</v>
      </c>
      <c r="Z47" s="159" t="b">
        <f t="shared" si="6"/>
        <v>0</v>
      </c>
      <c r="AA47" s="159" t="b">
        <f t="shared" si="7"/>
        <v>1</v>
      </c>
    </row>
    <row r="48" spans="1:27" x14ac:dyDescent="0.2">
      <c r="A48" s="413"/>
      <c r="B48" s="413"/>
      <c r="C48" s="413"/>
      <c r="D48" s="413"/>
      <c r="E48" s="413"/>
      <c r="F48" s="413"/>
      <c r="G48" s="413"/>
    </row>
    <row r="49" spans="1:23" x14ac:dyDescent="0.2">
      <c r="A49" s="415" t="s">
        <v>24</v>
      </c>
      <c r="B49" s="415"/>
      <c r="C49" s="415"/>
      <c r="D49" s="415"/>
      <c r="E49" s="415"/>
      <c r="F49" s="415"/>
      <c r="G49" s="415"/>
      <c r="H49" s="416"/>
      <c r="I49" s="416"/>
      <c r="J49" s="417"/>
      <c r="K49" s="416"/>
      <c r="L49" s="416"/>
      <c r="N49" s="416"/>
      <c r="O49" s="416"/>
      <c r="P49" s="416"/>
      <c r="Q49" s="416"/>
      <c r="R49" s="416"/>
      <c r="S49" s="416"/>
      <c r="T49" s="416"/>
      <c r="U49" s="416"/>
      <c r="V49" s="416"/>
      <c r="W49" s="416"/>
    </row>
    <row r="50" spans="1:23" x14ac:dyDescent="0.2">
      <c r="A50" s="418" t="s">
        <v>25</v>
      </c>
      <c r="B50" s="418"/>
      <c r="C50" s="418"/>
      <c r="D50" s="418"/>
      <c r="E50" s="418"/>
      <c r="F50" s="418"/>
      <c r="G50" s="418"/>
      <c r="H50" s="416"/>
      <c r="I50" s="416"/>
      <c r="J50" s="419"/>
      <c r="K50" s="416"/>
      <c r="L50" s="416"/>
      <c r="N50" s="416"/>
      <c r="O50" s="416"/>
      <c r="P50" s="416"/>
      <c r="Q50" s="416"/>
      <c r="R50" s="416"/>
      <c r="S50" s="416"/>
      <c r="T50" s="416"/>
      <c r="U50" s="416"/>
      <c r="V50" s="416"/>
      <c r="W50" s="416"/>
    </row>
    <row r="51" spans="1:23" x14ac:dyDescent="0.2">
      <c r="A51" s="415" t="s">
        <v>37</v>
      </c>
      <c r="B51" s="413"/>
      <c r="C51" s="413"/>
      <c r="D51" s="413"/>
      <c r="E51" s="413"/>
      <c r="F51" s="413"/>
      <c r="G51" s="413"/>
      <c r="J51" s="420"/>
    </row>
    <row r="52" spans="1:23" x14ac:dyDescent="0.2">
      <c r="A52" s="421" t="s">
        <v>105</v>
      </c>
      <c r="B52" s="413"/>
      <c r="C52" s="413"/>
      <c r="D52" s="413"/>
      <c r="E52" s="413"/>
      <c r="F52" s="413"/>
      <c r="G52" s="413"/>
      <c r="J52" s="420"/>
    </row>
  </sheetData>
  <mergeCells count="18">
    <mergeCell ref="A45:G45"/>
    <mergeCell ref="D1:D2"/>
    <mergeCell ref="A47:G47"/>
    <mergeCell ref="A46:G46"/>
    <mergeCell ref="E1:E2"/>
    <mergeCell ref="A44:G44"/>
    <mergeCell ref="A1:A2"/>
    <mergeCell ref="B1:B2"/>
    <mergeCell ref="C1:C2"/>
    <mergeCell ref="F1:F2"/>
    <mergeCell ref="G1:G2"/>
    <mergeCell ref="L1:L2"/>
    <mergeCell ref="M1:M2"/>
    <mergeCell ref="N1:W1"/>
    <mergeCell ref="H1:H2"/>
    <mergeCell ref="I1:I2"/>
    <mergeCell ref="J1:J2"/>
    <mergeCell ref="K1:K2"/>
  </mergeCells>
  <conditionalFormatting sqref="B8:B9 B11:B41 B43">
    <cfRule type="expression" dxfId="83" priority="73">
      <formula>$O8="p"</formula>
    </cfRule>
    <cfRule type="expression" dxfId="82" priority="74">
      <formula>$O8="k"</formula>
    </cfRule>
    <cfRule type="expression" dxfId="81" priority="75">
      <formula>$N8="odrzucenie"</formula>
    </cfRule>
    <cfRule type="expression" dxfId="80" priority="76">
      <formula>$N8="rezygnacja"</formula>
    </cfRule>
  </conditionalFormatting>
  <conditionalFormatting sqref="B42">
    <cfRule type="expression" dxfId="79" priority="1">
      <formula>$O42="p"</formula>
    </cfRule>
    <cfRule type="expression" dxfId="78" priority="2">
      <formula>$O42="k"</formula>
    </cfRule>
    <cfRule type="expression" dxfId="77" priority="3">
      <formula>$N42="odrzucenie"</formula>
    </cfRule>
    <cfRule type="expression" dxfId="76" priority="4">
      <formula>$N42="rezygnacja"</formula>
    </cfRule>
  </conditionalFormatting>
  <dataValidations count="1">
    <dataValidation type="list" allowBlank="1" showInputMessage="1" showErrorMessage="1" sqref="G3:G43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7" fitToHeight="0" orientation="landscape" r:id="rId1"/>
  <headerFooter>
    <oddHeader>&amp;LWojewództwo Świętokrzyskie - zadania powiatowe lista podstawowa</oddHeader>
    <oddFooter>Strona &amp;P z &amp;N</oddFooter>
  </headerFooter>
  <ignoredErrors>
    <ignoredError sqref="N44 S44:W44 O44:R44" formulaRange="1"/>
    <ignoredError sqref="E8:E9 E11:E24 E38 E27:E36 E3:E5 E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B76"/>
  <sheetViews>
    <sheetView showGridLines="0" view="pageBreakPreview" topLeftCell="A43" zoomScale="90" zoomScaleNormal="100" zoomScaleSheetLayoutView="90" workbookViewId="0">
      <selection activeCell="A58" sqref="A58"/>
    </sheetView>
  </sheetViews>
  <sheetFormatPr defaultRowHeight="15" x14ac:dyDescent="0.25"/>
  <cols>
    <col min="1" max="1" width="6.140625" style="152" customWidth="1"/>
    <col min="2" max="2" width="12" style="152" customWidth="1"/>
    <col min="3" max="3" width="16.28515625" style="152" customWidth="1"/>
    <col min="4" max="4" width="14.5703125" style="152" customWidth="1"/>
    <col min="5" max="5" width="10.7109375" style="152" customWidth="1"/>
    <col min="6" max="6" width="12.7109375" style="152" customWidth="1"/>
    <col min="7" max="7" width="45.28515625" style="152" customWidth="1"/>
    <col min="8" max="8" width="8.7109375" style="152" customWidth="1"/>
    <col min="9" max="9" width="15.85546875" style="152" customWidth="1"/>
    <col min="10" max="13" width="15.7109375" style="152" customWidth="1"/>
    <col min="14" max="14" width="13.7109375" style="161" customWidth="1"/>
    <col min="15" max="15" width="12.140625" style="152" customWidth="1"/>
    <col min="16" max="16" width="13.28515625" style="152" customWidth="1"/>
    <col min="17" max="17" width="12.85546875" style="152" customWidth="1"/>
    <col min="18" max="18" width="11.85546875" style="152" customWidth="1"/>
    <col min="19" max="19" width="12.140625" style="152" customWidth="1"/>
    <col min="20" max="20" width="12.5703125" style="152" customWidth="1"/>
    <col min="21" max="21" width="11" style="152" customWidth="1"/>
    <col min="22" max="22" width="9.85546875" style="152" customWidth="1"/>
    <col min="23" max="23" width="10.85546875" style="152" bestFit="1" customWidth="1"/>
    <col min="24" max="24" width="9.85546875" style="152" customWidth="1"/>
    <col min="25" max="25" width="9.140625" style="152"/>
    <col min="26" max="26" width="9.140625" style="360"/>
    <col min="27" max="16384" width="9.140625" style="152"/>
  </cols>
  <sheetData>
    <row r="1" spans="1:28" s="159" customFormat="1" ht="11.25" x14ac:dyDescent="0.2">
      <c r="A1" s="457" t="s">
        <v>4</v>
      </c>
      <c r="B1" s="457" t="s">
        <v>5</v>
      </c>
      <c r="C1" s="458" t="s">
        <v>38</v>
      </c>
      <c r="D1" s="460" t="s">
        <v>6</v>
      </c>
      <c r="E1" s="457" t="s">
        <v>28</v>
      </c>
      <c r="F1" s="460" t="s">
        <v>15</v>
      </c>
      <c r="G1" s="457" t="s">
        <v>7</v>
      </c>
      <c r="H1" s="457" t="s">
        <v>26</v>
      </c>
      <c r="I1" s="457" t="s">
        <v>8</v>
      </c>
      <c r="J1" s="457" t="s">
        <v>27</v>
      </c>
      <c r="K1" s="457" t="s">
        <v>9</v>
      </c>
      <c r="L1" s="457" t="s">
        <v>17</v>
      </c>
      <c r="M1" s="460" t="s">
        <v>13</v>
      </c>
      <c r="N1" s="457" t="s">
        <v>11</v>
      </c>
      <c r="O1" s="457" t="s">
        <v>12</v>
      </c>
      <c r="P1" s="457"/>
      <c r="Q1" s="457"/>
      <c r="R1" s="457"/>
      <c r="S1" s="457"/>
      <c r="T1" s="457"/>
      <c r="U1" s="457"/>
      <c r="V1" s="457"/>
      <c r="W1" s="457"/>
      <c r="X1" s="457"/>
      <c r="Z1" s="359"/>
    </row>
    <row r="2" spans="1:28" s="159" customFormat="1" ht="11.25" x14ac:dyDescent="0.2">
      <c r="A2" s="457"/>
      <c r="B2" s="457"/>
      <c r="C2" s="459"/>
      <c r="D2" s="461"/>
      <c r="E2" s="457"/>
      <c r="F2" s="461"/>
      <c r="G2" s="457"/>
      <c r="H2" s="457"/>
      <c r="I2" s="457"/>
      <c r="J2" s="457"/>
      <c r="K2" s="457"/>
      <c r="L2" s="457"/>
      <c r="M2" s="461"/>
      <c r="N2" s="457"/>
      <c r="O2" s="160">
        <v>2019</v>
      </c>
      <c r="P2" s="160">
        <v>2020</v>
      </c>
      <c r="Q2" s="160">
        <v>2021</v>
      </c>
      <c r="R2" s="160">
        <v>2022</v>
      </c>
      <c r="S2" s="160">
        <v>2023</v>
      </c>
      <c r="T2" s="160">
        <v>2024</v>
      </c>
      <c r="U2" s="160">
        <v>2025</v>
      </c>
      <c r="V2" s="160">
        <v>2026</v>
      </c>
      <c r="W2" s="160">
        <v>2027</v>
      </c>
      <c r="X2" s="160">
        <v>2028</v>
      </c>
      <c r="Z2" s="359"/>
    </row>
    <row r="3" spans="1:28" x14ac:dyDescent="0.25">
      <c r="A3" s="186">
        <v>1</v>
      </c>
      <c r="B3" s="186" t="s">
        <v>68</v>
      </c>
      <c r="C3" s="248" t="s">
        <v>41</v>
      </c>
      <c r="D3" s="189" t="s">
        <v>69</v>
      </c>
      <c r="E3" s="189">
        <v>2604012</v>
      </c>
      <c r="F3" s="189" t="s">
        <v>55</v>
      </c>
      <c r="G3" s="189" t="s">
        <v>95</v>
      </c>
      <c r="H3" s="189" t="s">
        <v>43</v>
      </c>
      <c r="I3" s="192">
        <v>2.74</v>
      </c>
      <c r="J3" s="186" t="s">
        <v>70</v>
      </c>
      <c r="K3" s="194">
        <v>13629447.5</v>
      </c>
      <c r="L3" s="235">
        <v>10703600</v>
      </c>
      <c r="M3" s="236">
        <v>2925847.5</v>
      </c>
      <c r="N3" s="237">
        <v>0.8</v>
      </c>
      <c r="O3" s="202">
        <v>0</v>
      </c>
      <c r="P3" s="202">
        <v>320000</v>
      </c>
      <c r="Q3" s="202">
        <v>1764000</v>
      </c>
      <c r="R3" s="202">
        <v>4588000</v>
      </c>
      <c r="S3" s="202">
        <v>4031600</v>
      </c>
      <c r="T3" s="202"/>
      <c r="U3" s="202"/>
      <c r="V3" s="202"/>
      <c r="W3" s="202"/>
      <c r="X3" s="202"/>
      <c r="Y3" s="152" t="b">
        <f t="shared" ref="Y3" si="0">L3=SUM(O3:X3)</f>
        <v>1</v>
      </c>
      <c r="Z3" s="360">
        <f t="shared" ref="Z3" si="1">ROUND(L3/K3,4)</f>
        <v>0.7853</v>
      </c>
      <c r="AA3" s="152" t="b">
        <f t="shared" ref="AA3" si="2">Z3=N3</f>
        <v>0</v>
      </c>
      <c r="AB3" s="152" t="b">
        <f t="shared" ref="AB3" si="3">K3=L3+M3</f>
        <v>1</v>
      </c>
    </row>
    <row r="4" spans="1:28" ht="45" x14ac:dyDescent="0.25">
      <c r="A4" s="186">
        <v>2</v>
      </c>
      <c r="B4" s="186" t="s">
        <v>88</v>
      </c>
      <c r="C4" s="248" t="s">
        <v>41</v>
      </c>
      <c r="D4" s="189" t="s">
        <v>52</v>
      </c>
      <c r="E4" s="189">
        <v>2607011</v>
      </c>
      <c r="F4" s="189" t="s">
        <v>53</v>
      </c>
      <c r="G4" s="189" t="s">
        <v>89</v>
      </c>
      <c r="H4" s="189" t="s">
        <v>43</v>
      </c>
      <c r="I4" s="192">
        <v>1.756</v>
      </c>
      <c r="J4" s="186" t="s">
        <v>90</v>
      </c>
      <c r="K4" s="194">
        <v>9981578.8300000001</v>
      </c>
      <c r="L4" s="235">
        <v>6987105</v>
      </c>
      <c r="M4" s="236">
        <v>2994473.83</v>
      </c>
      <c r="N4" s="237">
        <v>0.7</v>
      </c>
      <c r="O4" s="238">
        <v>0</v>
      </c>
      <c r="P4" s="238">
        <v>73500</v>
      </c>
      <c r="Q4" s="238">
        <v>171500</v>
      </c>
      <c r="R4" s="239">
        <v>3214400</v>
      </c>
      <c r="S4" s="239">
        <v>3527705</v>
      </c>
      <c r="T4" s="202"/>
      <c r="U4" s="202"/>
      <c r="V4" s="202"/>
      <c r="W4" s="202"/>
      <c r="X4" s="202"/>
      <c r="Y4" s="152" t="b">
        <f t="shared" ref="Y4:Y67" si="4">L4=SUM(O4:X4)</f>
        <v>1</v>
      </c>
      <c r="Z4" s="360">
        <f t="shared" ref="Z4:Z67" si="5">ROUND(L4/K4,4)</f>
        <v>0.7</v>
      </c>
      <c r="AA4" s="152" t="b">
        <f t="shared" ref="AA4:AA67" si="6">Z4=N4</f>
        <v>1</v>
      </c>
      <c r="AB4" s="152" t="b">
        <f t="shared" ref="AB4:AB67" si="7">K4=L4+M4</f>
        <v>1</v>
      </c>
    </row>
    <row r="5" spans="1:28" ht="45" x14ac:dyDescent="0.25">
      <c r="A5" s="186">
        <v>3</v>
      </c>
      <c r="B5" s="186" t="s">
        <v>115</v>
      </c>
      <c r="C5" s="248" t="s">
        <v>41</v>
      </c>
      <c r="D5" s="189" t="s">
        <v>56</v>
      </c>
      <c r="E5" s="189">
        <v>2602023</v>
      </c>
      <c r="F5" s="189" t="s">
        <v>57</v>
      </c>
      <c r="G5" s="189" t="s">
        <v>117</v>
      </c>
      <c r="H5" s="186" t="s">
        <v>47</v>
      </c>
      <c r="I5" s="192">
        <v>4.34</v>
      </c>
      <c r="J5" s="186" t="s">
        <v>118</v>
      </c>
      <c r="K5" s="194">
        <v>6466500</v>
      </c>
      <c r="L5" s="235">
        <v>4526550</v>
      </c>
      <c r="M5" s="236">
        <v>1939950</v>
      </c>
      <c r="N5" s="184">
        <v>0.7</v>
      </c>
      <c r="O5" s="195">
        <v>0</v>
      </c>
      <c r="P5" s="238">
        <v>0</v>
      </c>
      <c r="Q5" s="238">
        <v>0</v>
      </c>
      <c r="R5" s="249">
        <v>1026549.9999999999</v>
      </c>
      <c r="S5" s="249">
        <v>3500000</v>
      </c>
      <c r="T5" s="250"/>
      <c r="U5" s="250"/>
      <c r="V5" s="202"/>
      <c r="W5" s="202"/>
      <c r="X5" s="202"/>
      <c r="Y5" s="152" t="b">
        <f t="shared" si="4"/>
        <v>1</v>
      </c>
      <c r="Z5" s="360">
        <f t="shared" si="5"/>
        <v>0.7</v>
      </c>
      <c r="AA5" s="152" t="b">
        <f t="shared" si="6"/>
        <v>1</v>
      </c>
      <c r="AB5" s="152" t="b">
        <f t="shared" si="7"/>
        <v>1</v>
      </c>
    </row>
    <row r="6" spans="1:28" s="153" customFormat="1" ht="22.5" x14ac:dyDescent="0.25">
      <c r="A6" s="186">
        <v>4</v>
      </c>
      <c r="B6" s="186" t="s">
        <v>149</v>
      </c>
      <c r="C6" s="248" t="s">
        <v>41</v>
      </c>
      <c r="D6" s="187" t="s">
        <v>65</v>
      </c>
      <c r="E6" s="189">
        <v>2604033</v>
      </c>
      <c r="F6" s="187" t="s">
        <v>55</v>
      </c>
      <c r="G6" s="187" t="s">
        <v>150</v>
      </c>
      <c r="H6" s="185" t="s">
        <v>43</v>
      </c>
      <c r="I6" s="191">
        <v>1.2050000000000001</v>
      </c>
      <c r="J6" s="185" t="s">
        <v>151</v>
      </c>
      <c r="K6" s="193">
        <v>5500277.5899999999</v>
      </c>
      <c r="L6" s="251">
        <v>2582020</v>
      </c>
      <c r="M6" s="194">
        <f>K6-L6</f>
        <v>2918257.59</v>
      </c>
      <c r="N6" s="184">
        <v>0.7</v>
      </c>
      <c r="O6" s="252">
        <v>0</v>
      </c>
      <c r="P6" s="252">
        <v>0</v>
      </c>
      <c r="Q6" s="252">
        <v>0</v>
      </c>
      <c r="R6" s="195">
        <v>105000</v>
      </c>
      <c r="S6" s="195">
        <v>1148000</v>
      </c>
      <c r="T6" s="195">
        <v>1329020</v>
      </c>
      <c r="U6" s="253"/>
      <c r="V6" s="202"/>
      <c r="W6" s="202"/>
      <c r="X6" s="202"/>
      <c r="Y6" s="152" t="b">
        <f t="shared" si="4"/>
        <v>1</v>
      </c>
      <c r="Z6" s="360">
        <f t="shared" si="5"/>
        <v>0.46939999999999998</v>
      </c>
      <c r="AA6" s="152" t="b">
        <f t="shared" si="6"/>
        <v>0</v>
      </c>
      <c r="AB6" s="152" t="b">
        <f t="shared" si="7"/>
        <v>1</v>
      </c>
    </row>
    <row r="7" spans="1:28" s="153" customFormat="1" x14ac:dyDescent="0.25">
      <c r="A7" s="186">
        <v>5</v>
      </c>
      <c r="B7" s="186" t="s">
        <v>116</v>
      </c>
      <c r="C7" s="248" t="s">
        <v>41</v>
      </c>
      <c r="D7" s="189" t="s">
        <v>65</v>
      </c>
      <c r="E7" s="189">
        <v>2604033</v>
      </c>
      <c r="F7" s="189" t="s">
        <v>55</v>
      </c>
      <c r="G7" s="189" t="s">
        <v>119</v>
      </c>
      <c r="H7" s="186" t="s">
        <v>47</v>
      </c>
      <c r="I7" s="192">
        <v>0.51</v>
      </c>
      <c r="J7" s="186" t="s">
        <v>120</v>
      </c>
      <c r="K7" s="194">
        <v>2160590</v>
      </c>
      <c r="L7" s="235">
        <v>1512413</v>
      </c>
      <c r="M7" s="236">
        <v>648177</v>
      </c>
      <c r="N7" s="184">
        <v>0.7</v>
      </c>
      <c r="O7" s="195">
        <v>0</v>
      </c>
      <c r="P7" s="238">
        <v>0</v>
      </c>
      <c r="Q7" s="238">
        <v>0</v>
      </c>
      <c r="R7" s="249">
        <v>210000</v>
      </c>
      <c r="S7" s="246">
        <v>1302413</v>
      </c>
      <c r="T7" s="253"/>
      <c r="U7" s="253"/>
      <c r="V7" s="202"/>
      <c r="W7" s="202"/>
      <c r="X7" s="202"/>
      <c r="Y7" s="152" t="b">
        <f t="shared" si="4"/>
        <v>1</v>
      </c>
      <c r="Z7" s="360">
        <f t="shared" si="5"/>
        <v>0.7</v>
      </c>
      <c r="AA7" s="152" t="b">
        <f t="shared" si="6"/>
        <v>1</v>
      </c>
      <c r="AB7" s="152" t="b">
        <f t="shared" si="7"/>
        <v>1</v>
      </c>
    </row>
    <row r="8" spans="1:28" s="153" customFormat="1" ht="23.25" x14ac:dyDescent="0.25">
      <c r="A8" s="186">
        <v>6</v>
      </c>
      <c r="B8" s="185" t="s">
        <v>121</v>
      </c>
      <c r="C8" s="248" t="s">
        <v>41</v>
      </c>
      <c r="D8" s="187" t="s">
        <v>59</v>
      </c>
      <c r="E8" s="189">
        <v>2609033</v>
      </c>
      <c r="F8" s="187" t="s">
        <v>61</v>
      </c>
      <c r="G8" s="190" t="s">
        <v>129</v>
      </c>
      <c r="H8" s="185" t="s">
        <v>43</v>
      </c>
      <c r="I8" s="191">
        <v>2.0489999999999999</v>
      </c>
      <c r="J8" s="185" t="s">
        <v>130</v>
      </c>
      <c r="K8" s="193">
        <v>2253825.8199999998</v>
      </c>
      <c r="L8" s="235">
        <v>1577678</v>
      </c>
      <c r="M8" s="236">
        <v>676147.82</v>
      </c>
      <c r="N8" s="184">
        <v>0.7</v>
      </c>
      <c r="O8" s="195">
        <v>0</v>
      </c>
      <c r="P8" s="238">
        <v>0</v>
      </c>
      <c r="Q8" s="238">
        <v>0</v>
      </c>
      <c r="R8" s="302">
        <v>350000</v>
      </c>
      <c r="S8" s="302">
        <v>1227678</v>
      </c>
      <c r="T8" s="253"/>
      <c r="U8" s="253"/>
      <c r="V8" s="202"/>
      <c r="W8" s="202"/>
      <c r="X8" s="202"/>
      <c r="Y8" s="152" t="b">
        <f t="shared" si="4"/>
        <v>1</v>
      </c>
      <c r="Z8" s="360">
        <f t="shared" si="5"/>
        <v>0.7</v>
      </c>
      <c r="AA8" s="152" t="b">
        <f t="shared" si="6"/>
        <v>1</v>
      </c>
      <c r="AB8" s="152" t="b">
        <f t="shared" si="7"/>
        <v>1</v>
      </c>
    </row>
    <row r="9" spans="1:28" s="153" customFormat="1" ht="22.5" x14ac:dyDescent="0.25">
      <c r="A9" s="186">
        <v>7</v>
      </c>
      <c r="B9" s="186" t="s">
        <v>122</v>
      </c>
      <c r="C9" s="248" t="s">
        <v>41</v>
      </c>
      <c r="D9" s="189" t="s">
        <v>128</v>
      </c>
      <c r="E9" s="189">
        <v>2607043</v>
      </c>
      <c r="F9" s="189" t="s">
        <v>53</v>
      </c>
      <c r="G9" s="189" t="s">
        <v>132</v>
      </c>
      <c r="H9" s="186" t="s">
        <v>43</v>
      </c>
      <c r="I9" s="192">
        <v>0.05</v>
      </c>
      <c r="J9" s="186" t="s">
        <v>133</v>
      </c>
      <c r="K9" s="194">
        <v>1200000</v>
      </c>
      <c r="L9" s="235">
        <v>840000</v>
      </c>
      <c r="M9" s="236">
        <v>360000</v>
      </c>
      <c r="N9" s="184">
        <v>0.7</v>
      </c>
      <c r="O9" s="195">
        <v>0</v>
      </c>
      <c r="P9" s="238">
        <v>0</v>
      </c>
      <c r="Q9" s="238">
        <v>0</v>
      </c>
      <c r="R9" s="195">
        <v>280000</v>
      </c>
      <c r="S9" s="195">
        <v>560000</v>
      </c>
      <c r="T9" s="246"/>
      <c r="U9" s="253"/>
      <c r="V9" s="202"/>
      <c r="W9" s="202"/>
      <c r="X9" s="202"/>
      <c r="Y9" s="152" t="b">
        <f t="shared" si="4"/>
        <v>1</v>
      </c>
      <c r="Z9" s="360">
        <f t="shared" si="5"/>
        <v>0.7</v>
      </c>
      <c r="AA9" s="152" t="b">
        <f t="shared" si="6"/>
        <v>1</v>
      </c>
      <c r="AB9" s="152" t="b">
        <f t="shared" si="7"/>
        <v>1</v>
      </c>
    </row>
    <row r="10" spans="1:28" s="153" customFormat="1" ht="22.5" x14ac:dyDescent="0.25">
      <c r="A10" s="186">
        <v>8</v>
      </c>
      <c r="B10" s="186" t="s">
        <v>123</v>
      </c>
      <c r="C10" s="248" t="s">
        <v>41</v>
      </c>
      <c r="D10" s="189" t="s">
        <v>63</v>
      </c>
      <c r="E10" s="189">
        <v>2610053</v>
      </c>
      <c r="F10" s="189" t="s">
        <v>64</v>
      </c>
      <c r="G10" s="189" t="s">
        <v>134</v>
      </c>
      <c r="H10" s="186" t="s">
        <v>47</v>
      </c>
      <c r="I10" s="192">
        <v>2.3199999999999998</v>
      </c>
      <c r="J10" s="186" t="s">
        <v>591</v>
      </c>
      <c r="K10" s="194">
        <v>12150207.16</v>
      </c>
      <c r="L10" s="235">
        <v>8505145</v>
      </c>
      <c r="M10" s="236">
        <v>3645062.16</v>
      </c>
      <c r="N10" s="184">
        <v>0.7</v>
      </c>
      <c r="O10" s="195">
        <v>0</v>
      </c>
      <c r="P10" s="238">
        <v>0</v>
      </c>
      <c r="Q10" s="238">
        <v>0</v>
      </c>
      <c r="R10" s="302">
        <v>2513184</v>
      </c>
      <c r="S10" s="302">
        <v>5991961</v>
      </c>
      <c r="T10" s="246"/>
      <c r="U10" s="253"/>
      <c r="V10" s="202"/>
      <c r="W10" s="202"/>
      <c r="X10" s="202"/>
      <c r="Y10" s="152" t="b">
        <f t="shared" si="4"/>
        <v>1</v>
      </c>
      <c r="Z10" s="360">
        <f t="shared" si="5"/>
        <v>0.7</v>
      </c>
      <c r="AA10" s="152" t="b">
        <f t="shared" si="6"/>
        <v>1</v>
      </c>
      <c r="AB10" s="152" t="b">
        <f t="shared" si="7"/>
        <v>1</v>
      </c>
    </row>
    <row r="11" spans="1:28" s="153" customFormat="1" x14ac:dyDescent="0.25">
      <c r="A11" s="186">
        <v>9</v>
      </c>
      <c r="B11" s="206" t="s">
        <v>135</v>
      </c>
      <c r="C11" s="248" t="s">
        <v>41</v>
      </c>
      <c r="D11" s="189" t="s">
        <v>59</v>
      </c>
      <c r="E11" s="189">
        <v>2609033</v>
      </c>
      <c r="F11" s="205" t="s">
        <v>61</v>
      </c>
      <c r="G11" s="205" t="s">
        <v>136</v>
      </c>
      <c r="H11" s="206" t="s">
        <v>43</v>
      </c>
      <c r="I11" s="209">
        <v>1.8089999999999999</v>
      </c>
      <c r="J11" s="206" t="s">
        <v>137</v>
      </c>
      <c r="K11" s="207">
        <v>4945000</v>
      </c>
      <c r="L11" s="210">
        <v>3302178</v>
      </c>
      <c r="M11" s="211">
        <v>1642822</v>
      </c>
      <c r="N11" s="212">
        <v>0.7</v>
      </c>
      <c r="O11" s="213">
        <v>0</v>
      </c>
      <c r="P11" s="213">
        <v>0</v>
      </c>
      <c r="Q11" s="213">
        <v>0</v>
      </c>
      <c r="R11" s="183">
        <v>350000</v>
      </c>
      <c r="S11" s="214">
        <v>2952178</v>
      </c>
      <c r="T11" s="246"/>
      <c r="U11" s="253"/>
      <c r="V11" s="202"/>
      <c r="W11" s="202"/>
      <c r="X11" s="202"/>
      <c r="Y11" s="152" t="b">
        <f t="shared" si="4"/>
        <v>1</v>
      </c>
      <c r="Z11" s="360">
        <f t="shared" si="5"/>
        <v>0.66779999999999995</v>
      </c>
      <c r="AA11" s="152" t="b">
        <f t="shared" si="6"/>
        <v>0</v>
      </c>
      <c r="AB11" s="152" t="b">
        <f t="shared" si="7"/>
        <v>1</v>
      </c>
    </row>
    <row r="12" spans="1:28" s="153" customFormat="1" ht="22.5" x14ac:dyDescent="0.25">
      <c r="A12" s="186">
        <v>10</v>
      </c>
      <c r="B12" s="206" t="s">
        <v>141</v>
      </c>
      <c r="C12" s="248" t="s">
        <v>41</v>
      </c>
      <c r="D12" s="189" t="s">
        <v>145</v>
      </c>
      <c r="E12" s="189">
        <v>2604192</v>
      </c>
      <c r="F12" s="205" t="s">
        <v>55</v>
      </c>
      <c r="G12" s="205" t="s">
        <v>147</v>
      </c>
      <c r="H12" s="206" t="s">
        <v>43</v>
      </c>
      <c r="I12" s="209">
        <v>1.2749999999999999</v>
      </c>
      <c r="J12" s="206" t="s">
        <v>148</v>
      </c>
      <c r="K12" s="207">
        <v>5029584.7</v>
      </c>
      <c r="L12" s="216">
        <v>3520709</v>
      </c>
      <c r="M12" s="207">
        <v>1508875.7000000002</v>
      </c>
      <c r="N12" s="215">
        <v>0.7</v>
      </c>
      <c r="O12" s="217">
        <v>0</v>
      </c>
      <c r="P12" s="217">
        <v>0</v>
      </c>
      <c r="Q12" s="213">
        <v>0</v>
      </c>
      <c r="R12" s="348">
        <v>3161200</v>
      </c>
      <c r="S12" s="246">
        <v>359509</v>
      </c>
      <c r="T12" s="246"/>
      <c r="U12" s="253"/>
      <c r="V12" s="202"/>
      <c r="W12" s="202"/>
      <c r="X12" s="202"/>
      <c r="Y12" s="152" t="b">
        <f t="shared" si="4"/>
        <v>1</v>
      </c>
      <c r="Z12" s="360">
        <f t="shared" si="5"/>
        <v>0.7</v>
      </c>
      <c r="AA12" s="152" t="b">
        <f t="shared" si="6"/>
        <v>1</v>
      </c>
      <c r="AB12" s="152" t="b">
        <f t="shared" si="7"/>
        <v>1</v>
      </c>
    </row>
    <row r="13" spans="1:28" s="153" customFormat="1" ht="33.75" x14ac:dyDescent="0.25">
      <c r="A13" s="186">
        <v>11</v>
      </c>
      <c r="B13" s="346" t="s">
        <v>571</v>
      </c>
      <c r="C13" s="248" t="s">
        <v>41</v>
      </c>
      <c r="D13" s="205" t="s">
        <v>58</v>
      </c>
      <c r="E13" s="345">
        <v>2605033</v>
      </c>
      <c r="F13" s="205" t="s">
        <v>60</v>
      </c>
      <c r="G13" s="205" t="s">
        <v>572</v>
      </c>
      <c r="H13" s="206" t="s">
        <v>47</v>
      </c>
      <c r="I13" s="209">
        <v>0.96199999999999997</v>
      </c>
      <c r="J13" s="206" t="s">
        <v>573</v>
      </c>
      <c r="K13" s="207">
        <v>4157000</v>
      </c>
      <c r="L13" s="216">
        <f>K13*N13</f>
        <v>2909900</v>
      </c>
      <c r="M13" s="207">
        <f>K13-L13</f>
        <v>1247100</v>
      </c>
      <c r="N13" s="215">
        <v>0.7</v>
      </c>
      <c r="O13" s="217">
        <v>0</v>
      </c>
      <c r="P13" s="217">
        <v>0</v>
      </c>
      <c r="Q13" s="217">
        <v>0</v>
      </c>
      <c r="R13" s="213">
        <v>1509900</v>
      </c>
      <c r="S13" s="213">
        <v>1400000</v>
      </c>
      <c r="T13" s="246"/>
      <c r="U13" s="253"/>
      <c r="V13" s="202"/>
      <c r="W13" s="202"/>
      <c r="X13" s="202"/>
      <c r="Y13" s="152" t="b">
        <f t="shared" si="4"/>
        <v>1</v>
      </c>
      <c r="Z13" s="360">
        <f t="shared" si="5"/>
        <v>0.7</v>
      </c>
      <c r="AA13" s="152" t="b">
        <f t="shared" si="6"/>
        <v>1</v>
      </c>
      <c r="AB13" s="152" t="b">
        <f t="shared" si="7"/>
        <v>1</v>
      </c>
    </row>
    <row r="14" spans="1:28" s="258" customFormat="1" ht="22.5" x14ac:dyDescent="0.25">
      <c r="A14" s="186">
        <v>12</v>
      </c>
      <c r="B14" s="320" t="s">
        <v>206</v>
      </c>
      <c r="C14" s="321" t="s">
        <v>169</v>
      </c>
      <c r="D14" s="261" t="s">
        <v>154</v>
      </c>
      <c r="E14" s="287">
        <v>2604102</v>
      </c>
      <c r="F14" s="322" t="s">
        <v>55</v>
      </c>
      <c r="G14" s="323" t="s">
        <v>207</v>
      </c>
      <c r="H14" s="262" t="s">
        <v>47</v>
      </c>
      <c r="I14" s="263">
        <v>0.6</v>
      </c>
      <c r="J14" s="324" t="s">
        <v>208</v>
      </c>
      <c r="K14" s="325">
        <v>3399974.4</v>
      </c>
      <c r="L14" s="319">
        <v>2379982</v>
      </c>
      <c r="M14" s="326">
        <v>1019992.3999999999</v>
      </c>
      <c r="N14" s="327">
        <v>0.7</v>
      </c>
      <c r="O14" s="328">
        <v>0</v>
      </c>
      <c r="P14" s="328">
        <v>0</v>
      </c>
      <c r="Q14" s="328">
        <v>0</v>
      </c>
      <c r="R14" s="264">
        <v>0</v>
      </c>
      <c r="S14" s="264">
        <v>56000</v>
      </c>
      <c r="T14" s="285">
        <v>2323982</v>
      </c>
      <c r="U14" s="239"/>
      <c r="V14" s="202"/>
      <c r="W14" s="202"/>
      <c r="X14" s="202"/>
      <c r="Y14" s="152" t="b">
        <f t="shared" si="4"/>
        <v>1</v>
      </c>
      <c r="Z14" s="360">
        <f t="shared" si="5"/>
        <v>0.7</v>
      </c>
      <c r="AA14" s="152" t="b">
        <f t="shared" si="6"/>
        <v>1</v>
      </c>
      <c r="AB14" s="152" t="b">
        <f t="shared" si="7"/>
        <v>1</v>
      </c>
    </row>
    <row r="15" spans="1:28" s="258" customFormat="1" ht="22.5" x14ac:dyDescent="0.25">
      <c r="A15" s="347">
        <v>13</v>
      </c>
      <c r="B15" s="199" t="s">
        <v>461</v>
      </c>
      <c r="C15" s="247" t="s">
        <v>77</v>
      </c>
      <c r="D15" s="218" t="s">
        <v>107</v>
      </c>
      <c r="E15" s="219">
        <v>2611032</v>
      </c>
      <c r="F15" s="254" t="s">
        <v>75</v>
      </c>
      <c r="G15" s="220" t="s">
        <v>462</v>
      </c>
      <c r="H15" s="198" t="s">
        <v>46</v>
      </c>
      <c r="I15" s="201">
        <v>0.38800000000000001</v>
      </c>
      <c r="J15" s="200" t="s">
        <v>258</v>
      </c>
      <c r="K15" s="221">
        <v>996593.54</v>
      </c>
      <c r="L15" s="278">
        <v>697615</v>
      </c>
      <c r="M15" s="223">
        <v>298978.54000000004</v>
      </c>
      <c r="N15" s="224">
        <v>0.7</v>
      </c>
      <c r="O15" s="225">
        <v>0</v>
      </c>
      <c r="P15" s="225">
        <v>0</v>
      </c>
      <c r="Q15" s="226">
        <v>0</v>
      </c>
      <c r="R15" s="226">
        <v>0</v>
      </c>
      <c r="S15" s="226">
        <v>697615</v>
      </c>
      <c r="T15" s="239"/>
      <c r="U15" s="239"/>
      <c r="V15" s="202"/>
      <c r="W15" s="202"/>
      <c r="X15" s="202"/>
      <c r="Y15" s="152" t="b">
        <f t="shared" si="4"/>
        <v>1</v>
      </c>
      <c r="Z15" s="360">
        <f t="shared" si="5"/>
        <v>0.7</v>
      </c>
      <c r="AA15" s="152" t="b">
        <f t="shared" si="6"/>
        <v>1</v>
      </c>
      <c r="AB15" s="152" t="b">
        <f t="shared" si="7"/>
        <v>1</v>
      </c>
    </row>
    <row r="16" spans="1:28" s="258" customFormat="1" x14ac:dyDescent="0.25">
      <c r="A16" s="186">
        <v>14</v>
      </c>
      <c r="B16" s="197" t="s">
        <v>289</v>
      </c>
      <c r="C16" s="248" t="s">
        <v>169</v>
      </c>
      <c r="D16" s="228" t="s">
        <v>65</v>
      </c>
      <c r="E16" s="189">
        <v>2604033</v>
      </c>
      <c r="F16" s="255" t="s">
        <v>55</v>
      </c>
      <c r="G16" s="230" t="s">
        <v>290</v>
      </c>
      <c r="H16" s="231" t="s">
        <v>43</v>
      </c>
      <c r="I16" s="232">
        <v>0.99099999999999999</v>
      </c>
      <c r="J16" s="233" t="s">
        <v>291</v>
      </c>
      <c r="K16" s="234">
        <v>4878962.47</v>
      </c>
      <c r="L16" s="319">
        <f>3415273</f>
        <v>3415273</v>
      </c>
      <c r="M16" s="236">
        <v>1463689.4699999997</v>
      </c>
      <c r="N16" s="237">
        <v>0.7</v>
      </c>
      <c r="O16" s="238">
        <v>0</v>
      </c>
      <c r="P16" s="238">
        <v>0</v>
      </c>
      <c r="Q16" s="238">
        <v>0</v>
      </c>
      <c r="R16" s="196">
        <v>0</v>
      </c>
      <c r="S16" s="196">
        <f>717644</f>
        <v>717644</v>
      </c>
      <c r="T16" s="239">
        <v>2697629</v>
      </c>
      <c r="U16" s="239"/>
      <c r="V16" s="202"/>
      <c r="W16" s="202"/>
      <c r="X16" s="202"/>
      <c r="Y16" s="152" t="b">
        <f t="shared" si="4"/>
        <v>1</v>
      </c>
      <c r="Z16" s="360">
        <f t="shared" si="5"/>
        <v>0.7</v>
      </c>
      <c r="AA16" s="152" t="b">
        <f t="shared" si="6"/>
        <v>1</v>
      </c>
      <c r="AB16" s="152" t="b">
        <f t="shared" si="7"/>
        <v>1</v>
      </c>
    </row>
    <row r="17" spans="1:28" s="258" customFormat="1" ht="22.5" x14ac:dyDescent="0.25">
      <c r="A17" s="347">
        <v>15</v>
      </c>
      <c r="B17" s="199" t="s">
        <v>288</v>
      </c>
      <c r="C17" s="247" t="s">
        <v>77</v>
      </c>
      <c r="D17" s="218" t="s">
        <v>114</v>
      </c>
      <c r="E17" s="188">
        <v>2605012</v>
      </c>
      <c r="F17" s="254" t="s">
        <v>60</v>
      </c>
      <c r="G17" s="220" t="s">
        <v>563</v>
      </c>
      <c r="H17" s="198" t="s">
        <v>47</v>
      </c>
      <c r="I17" s="201">
        <v>1.0569999999999999</v>
      </c>
      <c r="J17" s="200" t="s">
        <v>188</v>
      </c>
      <c r="K17" s="221">
        <v>1407592.62</v>
      </c>
      <c r="L17" s="278">
        <f>844555</f>
        <v>844555</v>
      </c>
      <c r="M17" s="223">
        <v>563037.62000000011</v>
      </c>
      <c r="N17" s="224">
        <v>0.6</v>
      </c>
      <c r="O17" s="225">
        <v>0</v>
      </c>
      <c r="P17" s="225">
        <v>0</v>
      </c>
      <c r="Q17" s="225">
        <v>0</v>
      </c>
      <c r="R17" s="226">
        <v>0</v>
      </c>
      <c r="S17" s="226">
        <f>844555</f>
        <v>844555</v>
      </c>
      <c r="T17" s="239"/>
      <c r="U17" s="239"/>
      <c r="V17" s="202"/>
      <c r="W17" s="202"/>
      <c r="X17" s="202"/>
      <c r="Y17" s="152" t="b">
        <f t="shared" si="4"/>
        <v>1</v>
      </c>
      <c r="Z17" s="360">
        <f t="shared" si="5"/>
        <v>0.6</v>
      </c>
      <c r="AA17" s="152" t="b">
        <f t="shared" si="6"/>
        <v>1</v>
      </c>
      <c r="AB17" s="152" t="b">
        <f t="shared" si="7"/>
        <v>1</v>
      </c>
    </row>
    <row r="18" spans="1:28" s="258" customFormat="1" x14ac:dyDescent="0.25">
      <c r="A18" s="347">
        <v>16</v>
      </c>
      <c r="B18" s="199" t="s">
        <v>218</v>
      </c>
      <c r="C18" s="247" t="s">
        <v>77</v>
      </c>
      <c r="D18" s="203" t="s">
        <v>92</v>
      </c>
      <c r="E18" s="188">
        <v>2609011</v>
      </c>
      <c r="F18" s="254" t="s">
        <v>61</v>
      </c>
      <c r="G18" s="220" t="s">
        <v>219</v>
      </c>
      <c r="H18" s="198" t="s">
        <v>46</v>
      </c>
      <c r="I18" s="201">
        <v>0.79800000000000004</v>
      </c>
      <c r="J18" s="200" t="s">
        <v>220</v>
      </c>
      <c r="K18" s="221">
        <v>1251142.68</v>
      </c>
      <c r="L18" s="278">
        <v>750685</v>
      </c>
      <c r="M18" s="223">
        <v>500457.67999999993</v>
      </c>
      <c r="N18" s="224">
        <v>0.6</v>
      </c>
      <c r="O18" s="225">
        <v>0</v>
      </c>
      <c r="P18" s="225">
        <v>0</v>
      </c>
      <c r="Q18" s="225">
        <v>0</v>
      </c>
      <c r="R18" s="226">
        <v>0</v>
      </c>
      <c r="S18" s="226">
        <v>750685</v>
      </c>
      <c r="T18" s="239"/>
      <c r="U18" s="239"/>
      <c r="V18" s="202"/>
      <c r="W18" s="202"/>
      <c r="X18" s="202"/>
      <c r="Y18" s="152" t="b">
        <f t="shared" si="4"/>
        <v>1</v>
      </c>
      <c r="Z18" s="360">
        <f t="shared" si="5"/>
        <v>0.6</v>
      </c>
      <c r="AA18" s="152" t="b">
        <f t="shared" si="6"/>
        <v>1</v>
      </c>
      <c r="AB18" s="152" t="b">
        <f t="shared" si="7"/>
        <v>1</v>
      </c>
    </row>
    <row r="19" spans="1:28" s="258" customFormat="1" ht="33.75" x14ac:dyDescent="0.25">
      <c r="A19" s="347">
        <v>17</v>
      </c>
      <c r="B19" s="199" t="s">
        <v>221</v>
      </c>
      <c r="C19" s="247" t="s">
        <v>77</v>
      </c>
      <c r="D19" s="218" t="s">
        <v>62</v>
      </c>
      <c r="E19" s="188">
        <v>2604142</v>
      </c>
      <c r="F19" s="254" t="s">
        <v>55</v>
      </c>
      <c r="G19" s="220" t="s">
        <v>222</v>
      </c>
      <c r="H19" s="198" t="s">
        <v>47</v>
      </c>
      <c r="I19" s="201">
        <v>0.24199999999999999</v>
      </c>
      <c r="J19" s="200" t="s">
        <v>158</v>
      </c>
      <c r="K19" s="221">
        <v>1491206.93</v>
      </c>
      <c r="L19" s="278">
        <v>1043844</v>
      </c>
      <c r="M19" s="223">
        <v>447362.92999999993</v>
      </c>
      <c r="N19" s="224">
        <v>0.7</v>
      </c>
      <c r="O19" s="225">
        <v>0</v>
      </c>
      <c r="P19" s="225">
        <v>0</v>
      </c>
      <c r="Q19" s="225">
        <v>0</v>
      </c>
      <c r="R19" s="226">
        <v>0</v>
      </c>
      <c r="S19" s="226">
        <v>1043844</v>
      </c>
      <c r="T19" s="239"/>
      <c r="U19" s="239"/>
      <c r="V19" s="202"/>
      <c r="W19" s="202"/>
      <c r="X19" s="202"/>
      <c r="Y19" s="152" t="b">
        <f t="shared" si="4"/>
        <v>1</v>
      </c>
      <c r="Z19" s="360">
        <f t="shared" si="5"/>
        <v>0.7</v>
      </c>
      <c r="AA19" s="152" t="b">
        <f t="shared" si="6"/>
        <v>1</v>
      </c>
      <c r="AB19" s="152" t="b">
        <f t="shared" si="7"/>
        <v>1</v>
      </c>
    </row>
    <row r="20" spans="1:28" s="258" customFormat="1" ht="22.5" x14ac:dyDescent="0.25">
      <c r="A20" s="347">
        <v>18</v>
      </c>
      <c r="B20" s="199" t="s">
        <v>550</v>
      </c>
      <c r="C20" s="247" t="s">
        <v>77</v>
      </c>
      <c r="D20" s="203" t="s">
        <v>91</v>
      </c>
      <c r="E20" s="188">
        <v>2612073</v>
      </c>
      <c r="F20" s="254" t="s">
        <v>72</v>
      </c>
      <c r="G20" s="220" t="s">
        <v>549</v>
      </c>
      <c r="H20" s="198" t="s">
        <v>43</v>
      </c>
      <c r="I20" s="282">
        <v>0.33800000000000002</v>
      </c>
      <c r="J20" s="283" t="s">
        <v>161</v>
      </c>
      <c r="K20" s="221">
        <v>1243965.3999999999</v>
      </c>
      <c r="L20" s="278">
        <v>870775</v>
      </c>
      <c r="M20" s="223">
        <v>373190.40000000002</v>
      </c>
      <c r="N20" s="224">
        <v>0.7</v>
      </c>
      <c r="O20" s="225">
        <v>0</v>
      </c>
      <c r="P20" s="225">
        <v>0</v>
      </c>
      <c r="Q20" s="225">
        <v>0</v>
      </c>
      <c r="R20" s="226">
        <v>0</v>
      </c>
      <c r="S20" s="226">
        <v>870775</v>
      </c>
      <c r="T20" s="239"/>
      <c r="U20" s="239"/>
      <c r="V20" s="202"/>
      <c r="W20" s="202"/>
      <c r="X20" s="202"/>
      <c r="Y20" s="152" t="b">
        <f t="shared" si="4"/>
        <v>1</v>
      </c>
      <c r="Z20" s="360">
        <f t="shared" si="5"/>
        <v>0.7</v>
      </c>
      <c r="AA20" s="152" t="b">
        <f t="shared" si="6"/>
        <v>1</v>
      </c>
      <c r="AB20" s="152" t="b">
        <f t="shared" si="7"/>
        <v>1</v>
      </c>
    </row>
    <row r="21" spans="1:28" s="258" customFormat="1" ht="22.5" x14ac:dyDescent="0.25">
      <c r="A21" s="347">
        <v>19</v>
      </c>
      <c r="B21" s="199" t="s">
        <v>223</v>
      </c>
      <c r="C21" s="247" t="s">
        <v>77</v>
      </c>
      <c r="D21" s="203" t="s">
        <v>143</v>
      </c>
      <c r="E21" s="188">
        <v>2601043</v>
      </c>
      <c r="F21" s="254" t="s">
        <v>51</v>
      </c>
      <c r="G21" s="220" t="s">
        <v>224</v>
      </c>
      <c r="H21" s="198" t="s">
        <v>47</v>
      </c>
      <c r="I21" s="201">
        <v>1.3460000000000001</v>
      </c>
      <c r="J21" s="200" t="s">
        <v>164</v>
      </c>
      <c r="K21" s="221">
        <v>1029068.2</v>
      </c>
      <c r="L21" s="278">
        <v>720347</v>
      </c>
      <c r="M21" s="223">
        <v>308721.19999999995</v>
      </c>
      <c r="N21" s="224">
        <v>0.7</v>
      </c>
      <c r="O21" s="225">
        <v>0</v>
      </c>
      <c r="P21" s="225">
        <v>0</v>
      </c>
      <c r="Q21" s="225">
        <v>0</v>
      </c>
      <c r="R21" s="226">
        <v>0</v>
      </c>
      <c r="S21" s="226">
        <v>720347</v>
      </c>
      <c r="T21" s="239"/>
      <c r="U21" s="239"/>
      <c r="V21" s="202"/>
      <c r="W21" s="202"/>
      <c r="X21" s="202"/>
      <c r="Y21" s="152" t="b">
        <f t="shared" si="4"/>
        <v>1</v>
      </c>
      <c r="Z21" s="360">
        <f t="shared" si="5"/>
        <v>0.7</v>
      </c>
      <c r="AA21" s="152" t="b">
        <f t="shared" si="6"/>
        <v>1</v>
      </c>
      <c r="AB21" s="152" t="b">
        <f t="shared" si="7"/>
        <v>1</v>
      </c>
    </row>
    <row r="22" spans="1:28" s="258" customFormat="1" ht="22.5" x14ac:dyDescent="0.25">
      <c r="A22" s="347">
        <v>20</v>
      </c>
      <c r="B22" s="199" t="s">
        <v>373</v>
      </c>
      <c r="C22" s="247" t="s">
        <v>77</v>
      </c>
      <c r="D22" s="203" t="s">
        <v>374</v>
      </c>
      <c r="E22" s="219">
        <v>2610011</v>
      </c>
      <c r="F22" s="254" t="s">
        <v>64</v>
      </c>
      <c r="G22" s="220" t="s">
        <v>564</v>
      </c>
      <c r="H22" s="198" t="s">
        <v>47</v>
      </c>
      <c r="I22" s="201">
        <v>1.35</v>
      </c>
      <c r="J22" s="200" t="s">
        <v>214</v>
      </c>
      <c r="K22" s="221">
        <v>5977774.8200000003</v>
      </c>
      <c r="L22" s="278">
        <v>4184442</v>
      </c>
      <c r="M22" s="279">
        <v>1793332.8200000003</v>
      </c>
      <c r="N22" s="224">
        <v>0.7</v>
      </c>
      <c r="O22" s="225">
        <v>0</v>
      </c>
      <c r="P22" s="225">
        <v>0</v>
      </c>
      <c r="Q22" s="226">
        <v>0</v>
      </c>
      <c r="R22" s="226">
        <v>0</v>
      </c>
      <c r="S22" s="226">
        <v>4184442</v>
      </c>
      <c r="T22" s="239"/>
      <c r="U22" s="239"/>
      <c r="V22" s="202"/>
      <c r="W22" s="202"/>
      <c r="X22" s="202"/>
      <c r="Y22" s="152" t="b">
        <f t="shared" si="4"/>
        <v>1</v>
      </c>
      <c r="Z22" s="360">
        <f t="shared" si="5"/>
        <v>0.7</v>
      </c>
      <c r="AA22" s="152" t="b">
        <f t="shared" si="6"/>
        <v>1</v>
      </c>
      <c r="AB22" s="152" t="b">
        <f t="shared" si="7"/>
        <v>1</v>
      </c>
    </row>
    <row r="23" spans="1:28" s="258" customFormat="1" ht="22.5" x14ac:dyDescent="0.25">
      <c r="A23" s="347">
        <v>21</v>
      </c>
      <c r="B23" s="199" t="s">
        <v>227</v>
      </c>
      <c r="C23" s="247" t="s">
        <v>77</v>
      </c>
      <c r="D23" s="203" t="s">
        <v>125</v>
      </c>
      <c r="E23" s="188">
        <v>2607022</v>
      </c>
      <c r="F23" s="254" t="s">
        <v>53</v>
      </c>
      <c r="G23" s="220" t="s">
        <v>518</v>
      </c>
      <c r="H23" s="198" t="s">
        <v>46</v>
      </c>
      <c r="I23" s="201">
        <v>1.3240000000000001</v>
      </c>
      <c r="J23" s="200" t="s">
        <v>174</v>
      </c>
      <c r="K23" s="221">
        <v>487104.67</v>
      </c>
      <c r="L23" s="278">
        <v>292262</v>
      </c>
      <c r="M23" s="223">
        <v>194842.66999999998</v>
      </c>
      <c r="N23" s="224">
        <v>0.6</v>
      </c>
      <c r="O23" s="225">
        <v>0</v>
      </c>
      <c r="P23" s="225">
        <v>0</v>
      </c>
      <c r="Q23" s="225">
        <v>0</v>
      </c>
      <c r="R23" s="226">
        <v>0</v>
      </c>
      <c r="S23" s="226">
        <v>292262</v>
      </c>
      <c r="T23" s="239"/>
      <c r="U23" s="239"/>
      <c r="V23" s="202"/>
      <c r="W23" s="202"/>
      <c r="X23" s="202"/>
      <c r="Y23" s="152" t="b">
        <f t="shared" si="4"/>
        <v>1</v>
      </c>
      <c r="Z23" s="360">
        <f t="shared" si="5"/>
        <v>0.6</v>
      </c>
      <c r="AA23" s="152" t="b">
        <f t="shared" si="6"/>
        <v>1</v>
      </c>
      <c r="AB23" s="152" t="b">
        <f t="shared" si="7"/>
        <v>1</v>
      </c>
    </row>
    <row r="24" spans="1:28" s="258" customFormat="1" x14ac:dyDescent="0.25">
      <c r="A24" s="186">
        <v>22</v>
      </c>
      <c r="B24" s="197" t="s">
        <v>228</v>
      </c>
      <c r="C24" s="248" t="s">
        <v>169</v>
      </c>
      <c r="D24" s="261" t="s">
        <v>145</v>
      </c>
      <c r="E24" s="189">
        <v>2604192</v>
      </c>
      <c r="F24" s="255" t="s">
        <v>55</v>
      </c>
      <c r="G24" s="230" t="s">
        <v>229</v>
      </c>
      <c r="H24" s="231" t="s">
        <v>43</v>
      </c>
      <c r="I24" s="232">
        <v>0.94099999999999995</v>
      </c>
      <c r="J24" s="233" t="s">
        <v>230</v>
      </c>
      <c r="K24" s="234">
        <v>5750136.3799999999</v>
      </c>
      <c r="L24" s="319">
        <v>4025095</v>
      </c>
      <c r="M24" s="236">
        <v>1725041.38</v>
      </c>
      <c r="N24" s="237">
        <v>0.7</v>
      </c>
      <c r="O24" s="238">
        <v>0</v>
      </c>
      <c r="P24" s="238">
        <v>0</v>
      </c>
      <c r="Q24" s="238">
        <v>0</v>
      </c>
      <c r="R24" s="196">
        <v>0</v>
      </c>
      <c r="S24" s="196">
        <v>700000</v>
      </c>
      <c r="T24" s="239">
        <v>3325095</v>
      </c>
      <c r="U24" s="239"/>
      <c r="V24" s="202"/>
      <c r="W24" s="202"/>
      <c r="X24" s="202"/>
      <c r="Y24" s="152" t="b">
        <f t="shared" si="4"/>
        <v>1</v>
      </c>
      <c r="Z24" s="360">
        <f t="shared" si="5"/>
        <v>0.7</v>
      </c>
      <c r="AA24" s="152" t="b">
        <f t="shared" si="6"/>
        <v>1</v>
      </c>
      <c r="AB24" s="152" t="b">
        <f t="shared" si="7"/>
        <v>1</v>
      </c>
    </row>
    <row r="25" spans="1:28" s="258" customFormat="1" ht="22.5" x14ac:dyDescent="0.25">
      <c r="A25" s="186">
        <v>23</v>
      </c>
      <c r="B25" s="197" t="s">
        <v>231</v>
      </c>
      <c r="C25" s="248" t="s">
        <v>169</v>
      </c>
      <c r="D25" s="261" t="s">
        <v>155</v>
      </c>
      <c r="E25" s="189">
        <v>2601013</v>
      </c>
      <c r="F25" s="255" t="s">
        <v>51</v>
      </c>
      <c r="G25" s="230" t="s">
        <v>232</v>
      </c>
      <c r="H25" s="231" t="s">
        <v>43</v>
      </c>
      <c r="I25" s="232">
        <v>0.93600000000000005</v>
      </c>
      <c r="J25" s="233" t="s">
        <v>233</v>
      </c>
      <c r="K25" s="234">
        <v>9479269.1899999995</v>
      </c>
      <c r="L25" s="319">
        <v>6635488</v>
      </c>
      <c r="M25" s="236">
        <v>2843781.1899999995</v>
      </c>
      <c r="N25" s="237">
        <v>0.7</v>
      </c>
      <c r="O25" s="238">
        <v>0</v>
      </c>
      <c r="P25" s="238">
        <v>0</v>
      </c>
      <c r="Q25" s="238">
        <v>0</v>
      </c>
      <c r="R25" s="196">
        <v>0</v>
      </c>
      <c r="S25" s="196">
        <v>331774</v>
      </c>
      <c r="T25" s="239">
        <v>3981293</v>
      </c>
      <c r="U25" s="239">
        <v>2322421</v>
      </c>
      <c r="V25" s="202"/>
      <c r="W25" s="202"/>
      <c r="X25" s="202"/>
      <c r="Y25" s="152" t="b">
        <f t="shared" si="4"/>
        <v>1</v>
      </c>
      <c r="Z25" s="360">
        <f t="shared" si="5"/>
        <v>0.7</v>
      </c>
      <c r="AA25" s="152" t="b">
        <f t="shared" si="6"/>
        <v>1</v>
      </c>
      <c r="AB25" s="152" t="b">
        <f t="shared" si="7"/>
        <v>1</v>
      </c>
    </row>
    <row r="26" spans="1:28" s="258" customFormat="1" ht="22.5" x14ac:dyDescent="0.25">
      <c r="A26" s="347">
        <v>24</v>
      </c>
      <c r="B26" s="199" t="s">
        <v>234</v>
      </c>
      <c r="C26" s="247" t="s">
        <v>77</v>
      </c>
      <c r="D26" s="203" t="s">
        <v>127</v>
      </c>
      <c r="E26" s="188">
        <v>2605072</v>
      </c>
      <c r="F26" s="254" t="s">
        <v>60</v>
      </c>
      <c r="G26" s="220" t="s">
        <v>235</v>
      </c>
      <c r="H26" s="198" t="s">
        <v>47</v>
      </c>
      <c r="I26" s="201">
        <v>0.752</v>
      </c>
      <c r="J26" s="200" t="s">
        <v>217</v>
      </c>
      <c r="K26" s="221">
        <v>965847.64</v>
      </c>
      <c r="L26" s="278">
        <v>676093</v>
      </c>
      <c r="M26" s="223">
        <v>289754.64</v>
      </c>
      <c r="N26" s="224">
        <v>0.7</v>
      </c>
      <c r="O26" s="225">
        <v>0</v>
      </c>
      <c r="P26" s="225">
        <v>0</v>
      </c>
      <c r="Q26" s="225">
        <v>0</v>
      </c>
      <c r="R26" s="226">
        <v>0</v>
      </c>
      <c r="S26" s="226">
        <v>676093</v>
      </c>
      <c r="T26" s="239"/>
      <c r="U26" s="239"/>
      <c r="V26" s="202"/>
      <c r="W26" s="202"/>
      <c r="X26" s="202"/>
      <c r="Y26" s="152" t="b">
        <f t="shared" si="4"/>
        <v>1</v>
      </c>
      <c r="Z26" s="360">
        <f t="shared" si="5"/>
        <v>0.7</v>
      </c>
      <c r="AA26" s="152" t="b">
        <f t="shared" si="6"/>
        <v>1</v>
      </c>
      <c r="AB26" s="152" t="b">
        <f t="shared" si="7"/>
        <v>1</v>
      </c>
    </row>
    <row r="27" spans="1:28" s="258" customFormat="1" x14ac:dyDescent="0.25">
      <c r="A27" s="347">
        <v>25</v>
      </c>
      <c r="B27" s="276" t="s">
        <v>364</v>
      </c>
      <c r="C27" s="277" t="s">
        <v>77</v>
      </c>
      <c r="D27" s="203" t="s">
        <v>76</v>
      </c>
      <c r="E27" s="284">
        <v>2604053</v>
      </c>
      <c r="F27" s="257" t="s">
        <v>55</v>
      </c>
      <c r="G27" s="241" t="s">
        <v>365</v>
      </c>
      <c r="H27" s="242" t="s">
        <v>43</v>
      </c>
      <c r="I27" s="243">
        <v>0.36199999999999999</v>
      </c>
      <c r="J27" s="204" t="s">
        <v>164</v>
      </c>
      <c r="K27" s="244">
        <v>1056534.76</v>
      </c>
      <c r="L27" s="278">
        <v>528267</v>
      </c>
      <c r="M27" s="279">
        <v>528267.76</v>
      </c>
      <c r="N27" s="280">
        <v>0.5</v>
      </c>
      <c r="O27" s="281">
        <v>0</v>
      </c>
      <c r="P27" s="281">
        <v>0</v>
      </c>
      <c r="Q27" s="281">
        <v>0</v>
      </c>
      <c r="R27" s="245">
        <v>0</v>
      </c>
      <c r="S27" s="245">
        <v>528267</v>
      </c>
      <c r="T27" s="239"/>
      <c r="U27" s="239"/>
      <c r="V27" s="202"/>
      <c r="W27" s="202"/>
      <c r="X27" s="202"/>
      <c r="Y27" s="152" t="b">
        <f t="shared" si="4"/>
        <v>1</v>
      </c>
      <c r="Z27" s="360">
        <f t="shared" si="5"/>
        <v>0.5</v>
      </c>
      <c r="AA27" s="152" t="b">
        <f t="shared" si="6"/>
        <v>1</v>
      </c>
      <c r="AB27" s="152" t="b">
        <f t="shared" si="7"/>
        <v>1</v>
      </c>
    </row>
    <row r="28" spans="1:28" s="258" customFormat="1" x14ac:dyDescent="0.25">
      <c r="A28" s="186">
        <v>26</v>
      </c>
      <c r="B28" s="197" t="s">
        <v>389</v>
      </c>
      <c r="C28" s="248" t="s">
        <v>169</v>
      </c>
      <c r="D28" s="261" t="s">
        <v>145</v>
      </c>
      <c r="E28" s="229">
        <v>2604192</v>
      </c>
      <c r="F28" s="255" t="s">
        <v>55</v>
      </c>
      <c r="G28" s="230" t="s">
        <v>390</v>
      </c>
      <c r="H28" s="231" t="s">
        <v>47</v>
      </c>
      <c r="I28" s="232">
        <v>0.22800000000000001</v>
      </c>
      <c r="J28" s="233" t="s">
        <v>230</v>
      </c>
      <c r="K28" s="234">
        <v>1348211.47</v>
      </c>
      <c r="L28" s="319">
        <v>943748</v>
      </c>
      <c r="M28" s="236">
        <v>404463.47</v>
      </c>
      <c r="N28" s="237">
        <v>0.7</v>
      </c>
      <c r="O28" s="238">
        <v>0</v>
      </c>
      <c r="P28" s="238">
        <v>0</v>
      </c>
      <c r="Q28" s="196">
        <v>0</v>
      </c>
      <c r="R28" s="196">
        <v>0</v>
      </c>
      <c r="S28" s="196">
        <v>140000</v>
      </c>
      <c r="T28" s="239">
        <v>803748</v>
      </c>
      <c r="U28" s="239"/>
      <c r="V28" s="202"/>
      <c r="W28" s="202"/>
      <c r="X28" s="202"/>
      <c r="Y28" s="152" t="b">
        <f t="shared" si="4"/>
        <v>1</v>
      </c>
      <c r="Z28" s="360">
        <f t="shared" si="5"/>
        <v>0.7</v>
      </c>
      <c r="AA28" s="152" t="b">
        <f t="shared" si="6"/>
        <v>1</v>
      </c>
      <c r="AB28" s="152" t="b">
        <f t="shared" si="7"/>
        <v>1</v>
      </c>
    </row>
    <row r="29" spans="1:28" s="258" customFormat="1" ht="33.75" x14ac:dyDescent="0.25">
      <c r="A29" s="347">
        <v>27</v>
      </c>
      <c r="B29" s="276" t="s">
        <v>554</v>
      </c>
      <c r="C29" s="247" t="s">
        <v>77</v>
      </c>
      <c r="D29" s="203" t="s">
        <v>91</v>
      </c>
      <c r="E29" s="188">
        <v>2612073</v>
      </c>
      <c r="F29" s="254" t="s">
        <v>72</v>
      </c>
      <c r="G29" s="220" t="s">
        <v>551</v>
      </c>
      <c r="H29" s="198" t="s">
        <v>43</v>
      </c>
      <c r="I29" s="282">
        <v>0.443</v>
      </c>
      <c r="J29" s="283" t="s">
        <v>382</v>
      </c>
      <c r="K29" s="221">
        <v>3673507.41</v>
      </c>
      <c r="L29" s="278">
        <v>2571455</v>
      </c>
      <c r="M29" s="223">
        <v>1102052.4099999999</v>
      </c>
      <c r="N29" s="224">
        <v>0.7</v>
      </c>
      <c r="O29" s="225">
        <v>0</v>
      </c>
      <c r="P29" s="225">
        <v>0</v>
      </c>
      <c r="Q29" s="225">
        <v>0</v>
      </c>
      <c r="R29" s="226">
        <v>0</v>
      </c>
      <c r="S29" s="226">
        <v>2571455</v>
      </c>
      <c r="T29" s="239"/>
      <c r="U29" s="239"/>
      <c r="V29" s="202"/>
      <c r="W29" s="202"/>
      <c r="X29" s="202"/>
      <c r="Y29" s="152" t="b">
        <f t="shared" si="4"/>
        <v>1</v>
      </c>
      <c r="Z29" s="360">
        <f t="shared" si="5"/>
        <v>0.7</v>
      </c>
      <c r="AA29" s="152" t="b">
        <f t="shared" si="6"/>
        <v>1</v>
      </c>
      <c r="AB29" s="152" t="b">
        <f t="shared" si="7"/>
        <v>1</v>
      </c>
    </row>
    <row r="30" spans="1:28" s="258" customFormat="1" ht="22.5" x14ac:dyDescent="0.25">
      <c r="A30" s="347">
        <v>28</v>
      </c>
      <c r="B30" s="199" t="s">
        <v>242</v>
      </c>
      <c r="C30" s="247" t="s">
        <v>77</v>
      </c>
      <c r="D30" s="203" t="s">
        <v>142</v>
      </c>
      <c r="E30" s="188">
        <v>2608032</v>
      </c>
      <c r="F30" s="254" t="s">
        <v>67</v>
      </c>
      <c r="G30" s="220" t="s">
        <v>243</v>
      </c>
      <c r="H30" s="198" t="s">
        <v>46</v>
      </c>
      <c r="I30" s="243">
        <v>1.21</v>
      </c>
      <c r="J30" s="200" t="s">
        <v>244</v>
      </c>
      <c r="K30" s="221">
        <v>781480.5</v>
      </c>
      <c r="L30" s="278">
        <v>468888</v>
      </c>
      <c r="M30" s="223">
        <v>312592.5</v>
      </c>
      <c r="N30" s="224">
        <v>0.6</v>
      </c>
      <c r="O30" s="225">
        <v>0</v>
      </c>
      <c r="P30" s="225">
        <v>0</v>
      </c>
      <c r="Q30" s="225">
        <v>0</v>
      </c>
      <c r="R30" s="226">
        <v>0</v>
      </c>
      <c r="S30" s="226">
        <v>468888</v>
      </c>
      <c r="T30" s="239"/>
      <c r="U30" s="239"/>
      <c r="V30" s="202"/>
      <c r="W30" s="202"/>
      <c r="X30" s="202"/>
      <c r="Y30" s="152" t="b">
        <f t="shared" si="4"/>
        <v>1</v>
      </c>
      <c r="Z30" s="360">
        <f t="shared" si="5"/>
        <v>0.6</v>
      </c>
      <c r="AA30" s="152" t="b">
        <f t="shared" si="6"/>
        <v>1</v>
      </c>
      <c r="AB30" s="152" t="b">
        <f t="shared" si="7"/>
        <v>1</v>
      </c>
    </row>
    <row r="31" spans="1:28" s="258" customFormat="1" ht="45" x14ac:dyDescent="0.25">
      <c r="A31" s="347">
        <v>29</v>
      </c>
      <c r="B31" s="199" t="s">
        <v>396</v>
      </c>
      <c r="C31" s="247" t="s">
        <v>77</v>
      </c>
      <c r="D31" s="203" t="s">
        <v>109</v>
      </c>
      <c r="E31" s="219">
        <v>2606022</v>
      </c>
      <c r="F31" s="254" t="s">
        <v>85</v>
      </c>
      <c r="G31" s="220" t="s">
        <v>397</v>
      </c>
      <c r="H31" s="198" t="s">
        <v>46</v>
      </c>
      <c r="I31" s="201">
        <v>0.53500000000000003</v>
      </c>
      <c r="J31" s="200" t="s">
        <v>241</v>
      </c>
      <c r="K31" s="221">
        <v>1048559.57</v>
      </c>
      <c r="L31" s="278">
        <v>733991</v>
      </c>
      <c r="M31" s="223">
        <v>314568.56999999995</v>
      </c>
      <c r="N31" s="224">
        <v>0.7</v>
      </c>
      <c r="O31" s="225">
        <v>0</v>
      </c>
      <c r="P31" s="225">
        <v>0</v>
      </c>
      <c r="Q31" s="226">
        <v>0</v>
      </c>
      <c r="R31" s="226">
        <v>0</v>
      </c>
      <c r="S31" s="226">
        <v>733991</v>
      </c>
      <c r="T31" s="239"/>
      <c r="U31" s="239"/>
      <c r="V31" s="202"/>
      <c r="W31" s="202"/>
      <c r="X31" s="202"/>
      <c r="Y31" s="152" t="b">
        <f t="shared" si="4"/>
        <v>1</v>
      </c>
      <c r="Z31" s="360">
        <f t="shared" si="5"/>
        <v>0.7</v>
      </c>
      <c r="AA31" s="152" t="b">
        <f t="shared" si="6"/>
        <v>1</v>
      </c>
      <c r="AB31" s="152" t="b">
        <f t="shared" si="7"/>
        <v>1</v>
      </c>
    </row>
    <row r="32" spans="1:28" s="258" customFormat="1" ht="33.75" x14ac:dyDescent="0.25">
      <c r="A32" s="186">
        <v>30</v>
      </c>
      <c r="B32" s="197" t="s">
        <v>248</v>
      </c>
      <c r="C32" s="248" t="s">
        <v>169</v>
      </c>
      <c r="D32" s="261" t="s">
        <v>58</v>
      </c>
      <c r="E32" s="189">
        <v>2605033</v>
      </c>
      <c r="F32" s="255" t="s">
        <v>60</v>
      </c>
      <c r="G32" s="230" t="s">
        <v>520</v>
      </c>
      <c r="H32" s="231" t="s">
        <v>47</v>
      </c>
      <c r="I32" s="232">
        <v>0.48799999999999999</v>
      </c>
      <c r="J32" s="233" t="s">
        <v>249</v>
      </c>
      <c r="K32" s="234">
        <v>6037887.3799999999</v>
      </c>
      <c r="L32" s="319">
        <v>4226521</v>
      </c>
      <c r="M32" s="236">
        <v>1811366.38</v>
      </c>
      <c r="N32" s="237">
        <v>0.7</v>
      </c>
      <c r="O32" s="238">
        <v>0</v>
      </c>
      <c r="P32" s="238">
        <v>0</v>
      </c>
      <c r="Q32" s="238">
        <v>0</v>
      </c>
      <c r="R32" s="196">
        <v>0</v>
      </c>
      <c r="S32" s="196">
        <v>1750000</v>
      </c>
      <c r="T32" s="239">
        <v>2476521</v>
      </c>
      <c r="U32" s="239"/>
      <c r="V32" s="202"/>
      <c r="W32" s="202"/>
      <c r="X32" s="202"/>
      <c r="Y32" s="152" t="b">
        <f t="shared" si="4"/>
        <v>1</v>
      </c>
      <c r="Z32" s="360">
        <f t="shared" si="5"/>
        <v>0.7</v>
      </c>
      <c r="AA32" s="152" t="b">
        <f t="shared" si="6"/>
        <v>1</v>
      </c>
      <c r="AB32" s="152" t="b">
        <f t="shared" si="7"/>
        <v>1</v>
      </c>
    </row>
    <row r="33" spans="1:28" s="258" customFormat="1" ht="22.5" x14ac:dyDescent="0.25">
      <c r="A33" s="347">
        <v>31</v>
      </c>
      <c r="B33" s="199" t="s">
        <v>250</v>
      </c>
      <c r="C33" s="247" t="s">
        <v>77</v>
      </c>
      <c r="D33" s="203" t="s">
        <v>251</v>
      </c>
      <c r="E33" s="188">
        <v>2609052</v>
      </c>
      <c r="F33" s="254" t="s">
        <v>61</v>
      </c>
      <c r="G33" s="220" t="s">
        <v>252</v>
      </c>
      <c r="H33" s="198" t="s">
        <v>47</v>
      </c>
      <c r="I33" s="201">
        <v>0.38600000000000001</v>
      </c>
      <c r="J33" s="200" t="s">
        <v>253</v>
      </c>
      <c r="K33" s="221">
        <v>339193.84</v>
      </c>
      <c r="L33" s="278">
        <v>237435</v>
      </c>
      <c r="M33" s="223">
        <v>101758.84000000003</v>
      </c>
      <c r="N33" s="224">
        <v>0.7</v>
      </c>
      <c r="O33" s="225">
        <v>0</v>
      </c>
      <c r="P33" s="225">
        <v>0</v>
      </c>
      <c r="Q33" s="225">
        <v>0</v>
      </c>
      <c r="R33" s="226">
        <v>0</v>
      </c>
      <c r="S33" s="226">
        <v>237435</v>
      </c>
      <c r="T33" s="239"/>
      <c r="U33" s="239"/>
      <c r="V33" s="202"/>
      <c r="W33" s="202"/>
      <c r="X33" s="202"/>
      <c r="Y33" s="152" t="b">
        <f t="shared" si="4"/>
        <v>1</v>
      </c>
      <c r="Z33" s="360">
        <f t="shared" si="5"/>
        <v>0.7</v>
      </c>
      <c r="AA33" s="152" t="b">
        <f t="shared" si="6"/>
        <v>1</v>
      </c>
      <c r="AB33" s="152" t="b">
        <f t="shared" si="7"/>
        <v>1</v>
      </c>
    </row>
    <row r="34" spans="1:28" s="258" customFormat="1" ht="22.5" x14ac:dyDescent="0.25">
      <c r="A34" s="347">
        <v>32</v>
      </c>
      <c r="B34" s="199" t="s">
        <v>254</v>
      </c>
      <c r="C34" s="247" t="s">
        <v>77</v>
      </c>
      <c r="D34" s="203" t="s">
        <v>113</v>
      </c>
      <c r="E34" s="188">
        <v>2609043</v>
      </c>
      <c r="F34" s="254" t="s">
        <v>61</v>
      </c>
      <c r="G34" s="220" t="s">
        <v>255</v>
      </c>
      <c r="H34" s="198" t="s">
        <v>46</v>
      </c>
      <c r="I34" s="201">
        <v>0.24299999999999999</v>
      </c>
      <c r="J34" s="200" t="s">
        <v>194</v>
      </c>
      <c r="K34" s="221">
        <v>467860.33</v>
      </c>
      <c r="L34" s="278">
        <v>327502</v>
      </c>
      <c r="M34" s="223">
        <v>140358.33000000002</v>
      </c>
      <c r="N34" s="224">
        <v>0.7</v>
      </c>
      <c r="O34" s="225">
        <v>0</v>
      </c>
      <c r="P34" s="225">
        <v>0</v>
      </c>
      <c r="Q34" s="225">
        <v>0</v>
      </c>
      <c r="R34" s="226">
        <v>0</v>
      </c>
      <c r="S34" s="226">
        <v>327502</v>
      </c>
      <c r="T34" s="239"/>
      <c r="U34" s="239"/>
      <c r="V34" s="202"/>
      <c r="W34" s="202"/>
      <c r="X34" s="202"/>
      <c r="Y34" s="152" t="b">
        <f t="shared" si="4"/>
        <v>1</v>
      </c>
      <c r="Z34" s="360">
        <f t="shared" si="5"/>
        <v>0.7</v>
      </c>
      <c r="AA34" s="152" t="b">
        <f t="shared" si="6"/>
        <v>1</v>
      </c>
      <c r="AB34" s="152" t="b">
        <f t="shared" si="7"/>
        <v>1</v>
      </c>
    </row>
    <row r="35" spans="1:28" s="258" customFormat="1" ht="45" x14ac:dyDescent="0.25">
      <c r="A35" s="347">
        <v>33</v>
      </c>
      <c r="B35" s="199" t="s">
        <v>215</v>
      </c>
      <c r="C35" s="247" t="s">
        <v>77</v>
      </c>
      <c r="D35" s="203" t="s">
        <v>216</v>
      </c>
      <c r="E35" s="188">
        <v>2606053</v>
      </c>
      <c r="F35" s="254" t="s">
        <v>85</v>
      </c>
      <c r="G35" s="220" t="s">
        <v>517</v>
      </c>
      <c r="H35" s="198" t="s">
        <v>43</v>
      </c>
      <c r="I35" s="201">
        <v>0.84199999999999997</v>
      </c>
      <c r="J35" s="200" t="s">
        <v>217</v>
      </c>
      <c r="K35" s="221">
        <v>5198175.6100000003</v>
      </c>
      <c r="L35" s="278">
        <v>2599087</v>
      </c>
      <c r="M35" s="223">
        <v>2599088.6100000003</v>
      </c>
      <c r="N35" s="224">
        <v>0.5</v>
      </c>
      <c r="O35" s="225">
        <v>0</v>
      </c>
      <c r="P35" s="225">
        <v>0</v>
      </c>
      <c r="Q35" s="225">
        <v>0</v>
      </c>
      <c r="R35" s="226">
        <v>0</v>
      </c>
      <c r="S35" s="226">
        <v>2599087</v>
      </c>
      <c r="T35" s="239"/>
      <c r="U35" s="239"/>
      <c r="V35" s="202"/>
      <c r="W35" s="202"/>
      <c r="X35" s="202"/>
      <c r="Y35" s="152" t="b">
        <f t="shared" si="4"/>
        <v>1</v>
      </c>
      <c r="Z35" s="360">
        <f t="shared" si="5"/>
        <v>0.5</v>
      </c>
      <c r="AA35" s="152" t="b">
        <f t="shared" si="6"/>
        <v>1</v>
      </c>
      <c r="AB35" s="152" t="b">
        <f t="shared" si="7"/>
        <v>1</v>
      </c>
    </row>
    <row r="36" spans="1:28" s="258" customFormat="1" x14ac:dyDescent="0.25">
      <c r="A36" s="347">
        <v>34</v>
      </c>
      <c r="B36" s="199" t="s">
        <v>256</v>
      </c>
      <c r="C36" s="247" t="s">
        <v>77</v>
      </c>
      <c r="D36" s="203" t="s">
        <v>107</v>
      </c>
      <c r="E36" s="188">
        <v>2611032</v>
      </c>
      <c r="F36" s="254" t="s">
        <v>75</v>
      </c>
      <c r="G36" s="220" t="s">
        <v>257</v>
      </c>
      <c r="H36" s="198" t="s">
        <v>46</v>
      </c>
      <c r="I36" s="201">
        <v>1.33</v>
      </c>
      <c r="J36" s="200" t="s">
        <v>258</v>
      </c>
      <c r="K36" s="221">
        <v>2540535</v>
      </c>
      <c r="L36" s="278">
        <v>1778374</v>
      </c>
      <c r="M36" s="223">
        <v>762161</v>
      </c>
      <c r="N36" s="224">
        <v>0.7</v>
      </c>
      <c r="O36" s="225">
        <v>0</v>
      </c>
      <c r="P36" s="225">
        <v>0</v>
      </c>
      <c r="Q36" s="225">
        <v>0</v>
      </c>
      <c r="R36" s="226">
        <v>0</v>
      </c>
      <c r="S36" s="226">
        <v>1778374</v>
      </c>
      <c r="T36" s="239"/>
      <c r="U36" s="239"/>
      <c r="V36" s="202"/>
      <c r="W36" s="202"/>
      <c r="X36" s="202"/>
      <c r="Y36" s="152" t="b">
        <f t="shared" si="4"/>
        <v>1</v>
      </c>
      <c r="Z36" s="360">
        <f t="shared" si="5"/>
        <v>0.7</v>
      </c>
      <c r="AA36" s="152" t="b">
        <f t="shared" si="6"/>
        <v>1</v>
      </c>
      <c r="AB36" s="152" t="b">
        <f t="shared" si="7"/>
        <v>1</v>
      </c>
    </row>
    <row r="37" spans="1:28" s="258" customFormat="1" ht="22.5" x14ac:dyDescent="0.25">
      <c r="A37" s="347">
        <v>35</v>
      </c>
      <c r="B37" s="199" t="s">
        <v>259</v>
      </c>
      <c r="C37" s="247" t="s">
        <v>77</v>
      </c>
      <c r="D37" s="203" t="s">
        <v>124</v>
      </c>
      <c r="E37" s="188">
        <v>2605062</v>
      </c>
      <c r="F37" s="254" t="s">
        <v>60</v>
      </c>
      <c r="G37" s="220" t="s">
        <v>260</v>
      </c>
      <c r="H37" s="198" t="s">
        <v>46</v>
      </c>
      <c r="I37" s="201">
        <v>0.99</v>
      </c>
      <c r="J37" s="200" t="s">
        <v>261</v>
      </c>
      <c r="K37" s="221">
        <v>280243.28999999998</v>
      </c>
      <c r="L37" s="278">
        <v>168145</v>
      </c>
      <c r="M37" s="223">
        <v>112098.28999999998</v>
      </c>
      <c r="N37" s="224">
        <v>0.6</v>
      </c>
      <c r="O37" s="225">
        <v>0</v>
      </c>
      <c r="P37" s="225">
        <v>0</v>
      </c>
      <c r="Q37" s="225">
        <v>0</v>
      </c>
      <c r="R37" s="226">
        <v>0</v>
      </c>
      <c r="S37" s="226">
        <v>168145</v>
      </c>
      <c r="T37" s="239"/>
      <c r="U37" s="239"/>
      <c r="V37" s="202"/>
      <c r="W37" s="202"/>
      <c r="X37" s="202"/>
      <c r="Y37" s="152" t="b">
        <f t="shared" si="4"/>
        <v>1</v>
      </c>
      <c r="Z37" s="360">
        <f t="shared" si="5"/>
        <v>0.6</v>
      </c>
      <c r="AA37" s="152" t="b">
        <f t="shared" si="6"/>
        <v>1</v>
      </c>
      <c r="AB37" s="152" t="b">
        <f t="shared" si="7"/>
        <v>1</v>
      </c>
    </row>
    <row r="38" spans="1:28" s="258" customFormat="1" ht="22.5" x14ac:dyDescent="0.25">
      <c r="A38" s="347">
        <v>36</v>
      </c>
      <c r="B38" s="199" t="s">
        <v>262</v>
      </c>
      <c r="C38" s="247" t="s">
        <v>77</v>
      </c>
      <c r="D38" s="203" t="s">
        <v>146</v>
      </c>
      <c r="E38" s="188">
        <v>2607062</v>
      </c>
      <c r="F38" s="254" t="s">
        <v>53</v>
      </c>
      <c r="G38" s="220" t="s">
        <v>263</v>
      </c>
      <c r="H38" s="198" t="s">
        <v>46</v>
      </c>
      <c r="I38" s="201">
        <v>0.86899999999999999</v>
      </c>
      <c r="J38" s="200" t="s">
        <v>264</v>
      </c>
      <c r="K38" s="221">
        <v>933245.88</v>
      </c>
      <c r="L38" s="278">
        <v>653272</v>
      </c>
      <c r="M38" s="223">
        <v>279973.88</v>
      </c>
      <c r="N38" s="224">
        <v>0.7</v>
      </c>
      <c r="O38" s="225">
        <v>0</v>
      </c>
      <c r="P38" s="225">
        <v>0</v>
      </c>
      <c r="Q38" s="225">
        <v>0</v>
      </c>
      <c r="R38" s="226">
        <v>0</v>
      </c>
      <c r="S38" s="226">
        <v>653272</v>
      </c>
      <c r="T38" s="239"/>
      <c r="U38" s="239"/>
      <c r="V38" s="202"/>
      <c r="W38" s="202"/>
      <c r="X38" s="202"/>
      <c r="Y38" s="152" t="b">
        <f t="shared" si="4"/>
        <v>1</v>
      </c>
      <c r="Z38" s="360">
        <f t="shared" si="5"/>
        <v>0.7</v>
      </c>
      <c r="AA38" s="152" t="b">
        <f t="shared" si="6"/>
        <v>1</v>
      </c>
      <c r="AB38" s="152" t="b">
        <f t="shared" si="7"/>
        <v>1</v>
      </c>
    </row>
    <row r="39" spans="1:28" s="258" customFormat="1" x14ac:dyDescent="0.25">
      <c r="A39" s="347">
        <v>37</v>
      </c>
      <c r="B39" s="199" t="s">
        <v>269</v>
      </c>
      <c r="C39" s="247" t="s">
        <v>77</v>
      </c>
      <c r="D39" s="203" t="s">
        <v>74</v>
      </c>
      <c r="E39" s="188">
        <v>2611042</v>
      </c>
      <c r="F39" s="254" t="s">
        <v>75</v>
      </c>
      <c r="G39" s="220" t="s">
        <v>270</v>
      </c>
      <c r="H39" s="198" t="s">
        <v>46</v>
      </c>
      <c r="I39" s="201">
        <v>0.46</v>
      </c>
      <c r="J39" s="200" t="s">
        <v>177</v>
      </c>
      <c r="K39" s="221">
        <v>941279.8</v>
      </c>
      <c r="L39" s="278">
        <v>658895</v>
      </c>
      <c r="M39" s="223">
        <v>282384.80000000005</v>
      </c>
      <c r="N39" s="224">
        <v>0.7</v>
      </c>
      <c r="O39" s="225">
        <v>0</v>
      </c>
      <c r="P39" s="225">
        <v>0</v>
      </c>
      <c r="Q39" s="225">
        <v>0</v>
      </c>
      <c r="R39" s="226">
        <v>0</v>
      </c>
      <c r="S39" s="226">
        <v>658895</v>
      </c>
      <c r="T39" s="239"/>
      <c r="U39" s="239"/>
      <c r="V39" s="202"/>
      <c r="W39" s="202"/>
      <c r="X39" s="202"/>
      <c r="Y39" s="152" t="b">
        <f t="shared" si="4"/>
        <v>1</v>
      </c>
      <c r="Z39" s="360">
        <f t="shared" si="5"/>
        <v>0.7</v>
      </c>
      <c r="AA39" s="152" t="b">
        <f t="shared" si="6"/>
        <v>1</v>
      </c>
      <c r="AB39" s="152" t="b">
        <f t="shared" si="7"/>
        <v>1</v>
      </c>
    </row>
    <row r="40" spans="1:28" s="258" customFormat="1" ht="22.5" x14ac:dyDescent="0.25">
      <c r="A40" s="186">
        <v>38</v>
      </c>
      <c r="B40" s="197" t="s">
        <v>271</v>
      </c>
      <c r="C40" s="248" t="s">
        <v>169</v>
      </c>
      <c r="D40" s="261" t="s">
        <v>66</v>
      </c>
      <c r="E40" s="189">
        <v>2608043</v>
      </c>
      <c r="F40" s="255" t="s">
        <v>67</v>
      </c>
      <c r="G40" s="230" t="s">
        <v>272</v>
      </c>
      <c r="H40" s="231" t="s">
        <v>43</v>
      </c>
      <c r="I40" s="232">
        <v>0.42</v>
      </c>
      <c r="J40" s="233" t="s">
        <v>230</v>
      </c>
      <c r="K40" s="234">
        <v>3419908.73</v>
      </c>
      <c r="L40" s="319">
        <v>2051945</v>
      </c>
      <c r="M40" s="236">
        <v>1367963.73</v>
      </c>
      <c r="N40" s="237">
        <v>0.6</v>
      </c>
      <c r="O40" s="238">
        <v>0</v>
      </c>
      <c r="P40" s="238">
        <v>0</v>
      </c>
      <c r="Q40" s="238">
        <v>0</v>
      </c>
      <c r="R40" s="196">
        <v>0</v>
      </c>
      <c r="S40" s="196">
        <v>851945</v>
      </c>
      <c r="T40" s="239">
        <v>1200000</v>
      </c>
      <c r="U40" s="239"/>
      <c r="V40" s="202"/>
      <c r="W40" s="202"/>
      <c r="X40" s="202"/>
      <c r="Y40" s="152" t="b">
        <f t="shared" si="4"/>
        <v>1</v>
      </c>
      <c r="Z40" s="360">
        <f t="shared" si="5"/>
        <v>0.6</v>
      </c>
      <c r="AA40" s="152" t="b">
        <f t="shared" si="6"/>
        <v>1</v>
      </c>
      <c r="AB40" s="152" t="b">
        <f t="shared" si="7"/>
        <v>1</v>
      </c>
    </row>
    <row r="41" spans="1:28" s="258" customFormat="1" ht="22.5" x14ac:dyDescent="0.25">
      <c r="A41" s="347">
        <v>39</v>
      </c>
      <c r="B41" s="199" t="s">
        <v>273</v>
      </c>
      <c r="C41" s="247" t="s">
        <v>77</v>
      </c>
      <c r="D41" s="203" t="s">
        <v>84</v>
      </c>
      <c r="E41" s="188">
        <v>2604182</v>
      </c>
      <c r="F41" s="254" t="s">
        <v>55</v>
      </c>
      <c r="G41" s="220" t="s">
        <v>274</v>
      </c>
      <c r="H41" s="198" t="s">
        <v>47</v>
      </c>
      <c r="I41" s="201">
        <v>0.39</v>
      </c>
      <c r="J41" s="200" t="s">
        <v>214</v>
      </c>
      <c r="K41" s="221">
        <v>797299.64</v>
      </c>
      <c r="L41" s="278">
        <v>558109</v>
      </c>
      <c r="M41" s="223">
        <v>239190.64</v>
      </c>
      <c r="N41" s="224">
        <v>0.7</v>
      </c>
      <c r="O41" s="225">
        <v>0</v>
      </c>
      <c r="P41" s="225">
        <v>0</v>
      </c>
      <c r="Q41" s="225">
        <v>0</v>
      </c>
      <c r="R41" s="226">
        <v>0</v>
      </c>
      <c r="S41" s="226">
        <v>558109</v>
      </c>
      <c r="T41" s="239"/>
      <c r="U41" s="239"/>
      <c r="V41" s="202"/>
      <c r="W41" s="202"/>
      <c r="X41" s="202"/>
      <c r="Y41" s="152" t="b">
        <f t="shared" si="4"/>
        <v>1</v>
      </c>
      <c r="Z41" s="360">
        <f t="shared" si="5"/>
        <v>0.7</v>
      </c>
      <c r="AA41" s="152" t="b">
        <f t="shared" si="6"/>
        <v>1</v>
      </c>
      <c r="AB41" s="152" t="b">
        <f t="shared" si="7"/>
        <v>1</v>
      </c>
    </row>
    <row r="42" spans="1:28" s="258" customFormat="1" ht="22.5" x14ac:dyDescent="0.25">
      <c r="A42" s="347">
        <v>40</v>
      </c>
      <c r="B42" s="199" t="s">
        <v>275</v>
      </c>
      <c r="C42" s="247" t="s">
        <v>77</v>
      </c>
      <c r="D42" s="203" t="s">
        <v>73</v>
      </c>
      <c r="E42" s="188">
        <v>2604092</v>
      </c>
      <c r="F42" s="254" t="s">
        <v>55</v>
      </c>
      <c r="G42" s="220" t="s">
        <v>276</v>
      </c>
      <c r="H42" s="198" t="s">
        <v>47</v>
      </c>
      <c r="I42" s="201">
        <v>0.23</v>
      </c>
      <c r="J42" s="200" t="s">
        <v>277</v>
      </c>
      <c r="K42" s="221">
        <v>1344684.89</v>
      </c>
      <c r="L42" s="278">
        <v>941279</v>
      </c>
      <c r="M42" s="223">
        <v>403405.8899999999</v>
      </c>
      <c r="N42" s="224">
        <v>0.7</v>
      </c>
      <c r="O42" s="225">
        <v>0</v>
      </c>
      <c r="P42" s="225">
        <v>0</v>
      </c>
      <c r="Q42" s="225">
        <v>0</v>
      </c>
      <c r="R42" s="226">
        <v>0</v>
      </c>
      <c r="S42" s="226">
        <v>941279</v>
      </c>
      <c r="T42" s="239"/>
      <c r="U42" s="239"/>
      <c r="V42" s="202"/>
      <c r="W42" s="202"/>
      <c r="X42" s="202"/>
      <c r="Y42" s="152" t="b">
        <f t="shared" si="4"/>
        <v>1</v>
      </c>
      <c r="Z42" s="360">
        <f t="shared" si="5"/>
        <v>0.7</v>
      </c>
      <c r="AA42" s="152" t="b">
        <f t="shared" si="6"/>
        <v>1</v>
      </c>
      <c r="AB42" s="152" t="b">
        <f t="shared" si="7"/>
        <v>1</v>
      </c>
    </row>
    <row r="43" spans="1:28" s="258" customFormat="1" ht="22.5" x14ac:dyDescent="0.25">
      <c r="A43" s="347">
        <v>41</v>
      </c>
      <c r="B43" s="199" t="s">
        <v>533</v>
      </c>
      <c r="C43" s="247" t="s">
        <v>77</v>
      </c>
      <c r="D43" s="203" t="s">
        <v>103</v>
      </c>
      <c r="E43" s="219">
        <v>2604082</v>
      </c>
      <c r="F43" s="254" t="s">
        <v>55</v>
      </c>
      <c r="G43" s="220" t="s">
        <v>534</v>
      </c>
      <c r="H43" s="198" t="s">
        <v>47</v>
      </c>
      <c r="I43" s="201">
        <v>0.18</v>
      </c>
      <c r="J43" s="200" t="s">
        <v>158</v>
      </c>
      <c r="K43" s="221">
        <v>164000</v>
      </c>
      <c r="L43" s="278">
        <v>114800</v>
      </c>
      <c r="M43" s="223">
        <v>49200</v>
      </c>
      <c r="N43" s="224">
        <v>0.7</v>
      </c>
      <c r="O43" s="225">
        <v>0</v>
      </c>
      <c r="P43" s="225">
        <v>0</v>
      </c>
      <c r="Q43" s="226">
        <v>0</v>
      </c>
      <c r="R43" s="226">
        <v>0</v>
      </c>
      <c r="S43" s="226">
        <v>114800</v>
      </c>
      <c r="T43" s="239"/>
      <c r="U43" s="239"/>
      <c r="V43" s="202"/>
      <c r="W43" s="202"/>
      <c r="X43" s="202"/>
      <c r="Y43" s="152" t="b">
        <f t="shared" si="4"/>
        <v>1</v>
      </c>
      <c r="Z43" s="360">
        <f t="shared" si="5"/>
        <v>0.7</v>
      </c>
      <c r="AA43" s="152" t="b">
        <f t="shared" si="6"/>
        <v>1</v>
      </c>
      <c r="AB43" s="152" t="b">
        <f t="shared" si="7"/>
        <v>1</v>
      </c>
    </row>
    <row r="44" spans="1:28" s="258" customFormat="1" ht="56.25" x14ac:dyDescent="0.25">
      <c r="A44" s="347">
        <v>42</v>
      </c>
      <c r="B44" s="199" t="s">
        <v>281</v>
      </c>
      <c r="C44" s="247" t="s">
        <v>77</v>
      </c>
      <c r="D44" s="203" t="s">
        <v>109</v>
      </c>
      <c r="E44" s="188">
        <v>2606022</v>
      </c>
      <c r="F44" s="254" t="s">
        <v>85</v>
      </c>
      <c r="G44" s="220" t="s">
        <v>282</v>
      </c>
      <c r="H44" s="198" t="s">
        <v>46</v>
      </c>
      <c r="I44" s="201">
        <v>3.2</v>
      </c>
      <c r="J44" s="200" t="s">
        <v>241</v>
      </c>
      <c r="K44" s="221">
        <v>1867304.33</v>
      </c>
      <c r="L44" s="278">
        <v>1307113</v>
      </c>
      <c r="M44" s="223">
        <v>560191.33000000007</v>
      </c>
      <c r="N44" s="224">
        <v>0.7</v>
      </c>
      <c r="O44" s="225">
        <v>0</v>
      </c>
      <c r="P44" s="225">
        <v>0</v>
      </c>
      <c r="Q44" s="225">
        <v>0</v>
      </c>
      <c r="R44" s="226">
        <v>0</v>
      </c>
      <c r="S44" s="226">
        <v>1307113</v>
      </c>
      <c r="T44" s="239"/>
      <c r="U44" s="239"/>
      <c r="V44" s="202"/>
      <c r="W44" s="202"/>
      <c r="X44" s="202"/>
      <c r="Y44" s="152" t="b">
        <f t="shared" si="4"/>
        <v>1</v>
      </c>
      <c r="Z44" s="360">
        <f t="shared" si="5"/>
        <v>0.7</v>
      </c>
      <c r="AA44" s="152" t="b">
        <f t="shared" si="6"/>
        <v>1</v>
      </c>
      <c r="AB44" s="152" t="b">
        <f t="shared" si="7"/>
        <v>1</v>
      </c>
    </row>
    <row r="45" spans="1:28" s="258" customFormat="1" ht="33.75" x14ac:dyDescent="0.25">
      <c r="A45" s="347">
        <v>43</v>
      </c>
      <c r="B45" s="276" t="s">
        <v>286</v>
      </c>
      <c r="C45" s="277" t="s">
        <v>77</v>
      </c>
      <c r="D45" s="203" t="s">
        <v>52</v>
      </c>
      <c r="E45" s="188">
        <v>2607011</v>
      </c>
      <c r="F45" s="254" t="s">
        <v>53</v>
      </c>
      <c r="G45" s="220" t="s">
        <v>287</v>
      </c>
      <c r="H45" s="198" t="s">
        <v>46</v>
      </c>
      <c r="I45" s="201">
        <v>0.67300000000000004</v>
      </c>
      <c r="J45" s="200" t="s">
        <v>161</v>
      </c>
      <c r="K45" s="221">
        <v>2217876.5299999998</v>
      </c>
      <c r="L45" s="278">
        <f>1552513</f>
        <v>1552513</v>
      </c>
      <c r="M45" s="223">
        <f>K45-L45</f>
        <v>665363.5299999998</v>
      </c>
      <c r="N45" s="224">
        <v>0.7</v>
      </c>
      <c r="O45" s="225">
        <v>0</v>
      </c>
      <c r="P45" s="225">
        <v>0</v>
      </c>
      <c r="Q45" s="225">
        <v>0</v>
      </c>
      <c r="R45" s="226">
        <v>0</v>
      </c>
      <c r="S45" s="226">
        <f>L45</f>
        <v>1552513</v>
      </c>
      <c r="T45" s="239"/>
      <c r="U45" s="239"/>
      <c r="V45" s="202"/>
      <c r="W45" s="202"/>
      <c r="X45" s="202"/>
      <c r="Y45" s="152" t="b">
        <f t="shared" si="4"/>
        <v>1</v>
      </c>
      <c r="Z45" s="360">
        <f t="shared" si="5"/>
        <v>0.7</v>
      </c>
      <c r="AA45" s="152" t="b">
        <f t="shared" si="6"/>
        <v>1</v>
      </c>
      <c r="AB45" s="152" t="b">
        <f t="shared" si="7"/>
        <v>1</v>
      </c>
    </row>
    <row r="46" spans="1:28" s="258" customFormat="1" ht="22.5" x14ac:dyDescent="0.25">
      <c r="A46" s="347">
        <v>44</v>
      </c>
      <c r="B46" s="199" t="s">
        <v>578</v>
      </c>
      <c r="C46" s="247" t="s">
        <v>77</v>
      </c>
      <c r="D46" s="203" t="s">
        <v>552</v>
      </c>
      <c r="E46" s="188">
        <v>2604123</v>
      </c>
      <c r="F46" s="254" t="s">
        <v>55</v>
      </c>
      <c r="G46" s="220" t="s">
        <v>553</v>
      </c>
      <c r="H46" s="198" t="s">
        <v>47</v>
      </c>
      <c r="I46" s="201">
        <v>1.004</v>
      </c>
      <c r="J46" s="200" t="s">
        <v>217</v>
      </c>
      <c r="K46" s="221">
        <v>2500000</v>
      </c>
      <c r="L46" s="278">
        <v>1250000</v>
      </c>
      <c r="M46" s="223">
        <f>K46-L46</f>
        <v>1250000</v>
      </c>
      <c r="N46" s="224">
        <v>0.5</v>
      </c>
      <c r="O46" s="225">
        <v>0</v>
      </c>
      <c r="P46" s="225">
        <v>0</v>
      </c>
      <c r="Q46" s="225">
        <v>0</v>
      </c>
      <c r="R46" s="225">
        <v>0</v>
      </c>
      <c r="S46" s="226">
        <v>1250000</v>
      </c>
      <c r="T46" s="239"/>
      <c r="U46" s="239"/>
      <c r="V46" s="202"/>
      <c r="W46" s="202"/>
      <c r="X46" s="202"/>
      <c r="Y46" s="152" t="b">
        <f t="shared" si="4"/>
        <v>1</v>
      </c>
      <c r="Z46" s="360">
        <f t="shared" si="5"/>
        <v>0.5</v>
      </c>
      <c r="AA46" s="152" t="b">
        <f t="shared" si="6"/>
        <v>1</v>
      </c>
      <c r="AB46" s="152" t="b">
        <f t="shared" si="7"/>
        <v>1</v>
      </c>
    </row>
    <row r="47" spans="1:28" s="258" customFormat="1" x14ac:dyDescent="0.25">
      <c r="A47" s="347">
        <v>45</v>
      </c>
      <c r="B47" s="199" t="s">
        <v>292</v>
      </c>
      <c r="C47" s="247" t="s">
        <v>77</v>
      </c>
      <c r="D47" s="203" t="s">
        <v>87</v>
      </c>
      <c r="E47" s="188">
        <v>2602063</v>
      </c>
      <c r="F47" s="254" t="s">
        <v>57</v>
      </c>
      <c r="G47" s="220" t="s">
        <v>522</v>
      </c>
      <c r="H47" s="198" t="s">
        <v>46</v>
      </c>
      <c r="I47" s="201">
        <v>0.98</v>
      </c>
      <c r="J47" s="200" t="s">
        <v>189</v>
      </c>
      <c r="K47" s="221">
        <v>517101.4</v>
      </c>
      <c r="L47" s="278">
        <v>310260</v>
      </c>
      <c r="M47" s="223">
        <v>206841.40000000002</v>
      </c>
      <c r="N47" s="224">
        <v>0.6</v>
      </c>
      <c r="O47" s="225">
        <v>0</v>
      </c>
      <c r="P47" s="225">
        <v>0</v>
      </c>
      <c r="Q47" s="225">
        <v>0</v>
      </c>
      <c r="R47" s="226">
        <v>0</v>
      </c>
      <c r="S47" s="226">
        <f>L47</f>
        <v>310260</v>
      </c>
      <c r="T47" s="239"/>
      <c r="U47" s="239"/>
      <c r="V47" s="202"/>
      <c r="W47" s="202"/>
      <c r="X47" s="202"/>
      <c r="Y47" s="152" t="b">
        <f t="shared" si="4"/>
        <v>1</v>
      </c>
      <c r="Z47" s="360">
        <f t="shared" si="5"/>
        <v>0.6</v>
      </c>
      <c r="AA47" s="152" t="b">
        <f t="shared" si="6"/>
        <v>1</v>
      </c>
      <c r="AB47" s="152" t="b">
        <f t="shared" si="7"/>
        <v>1</v>
      </c>
    </row>
    <row r="48" spans="1:28" s="258" customFormat="1" ht="22.5" x14ac:dyDescent="0.25">
      <c r="A48" s="347">
        <v>46</v>
      </c>
      <c r="B48" s="199" t="s">
        <v>293</v>
      </c>
      <c r="C48" s="247" t="s">
        <v>77</v>
      </c>
      <c r="D48" s="218" t="s">
        <v>126</v>
      </c>
      <c r="E48" s="188">
        <v>2613022</v>
      </c>
      <c r="F48" s="254" t="s">
        <v>131</v>
      </c>
      <c r="G48" s="220" t="s">
        <v>294</v>
      </c>
      <c r="H48" s="198" t="s">
        <v>46</v>
      </c>
      <c r="I48" s="201">
        <v>0.77</v>
      </c>
      <c r="J48" s="200" t="s">
        <v>214</v>
      </c>
      <c r="K48" s="221">
        <v>690642.83</v>
      </c>
      <c r="L48" s="278">
        <v>414385</v>
      </c>
      <c r="M48" s="223">
        <v>276257.82999999996</v>
      </c>
      <c r="N48" s="224">
        <v>0.6</v>
      </c>
      <c r="O48" s="225">
        <v>0</v>
      </c>
      <c r="P48" s="225">
        <v>0</v>
      </c>
      <c r="Q48" s="225">
        <v>0</v>
      </c>
      <c r="R48" s="226">
        <v>0</v>
      </c>
      <c r="S48" s="226">
        <f>L48</f>
        <v>414385</v>
      </c>
      <c r="T48" s="239"/>
      <c r="U48" s="239"/>
      <c r="V48" s="202"/>
      <c r="W48" s="202"/>
      <c r="X48" s="202"/>
      <c r="Y48" s="152" t="b">
        <f t="shared" si="4"/>
        <v>1</v>
      </c>
      <c r="Z48" s="360">
        <f t="shared" si="5"/>
        <v>0.6</v>
      </c>
      <c r="AA48" s="152" t="b">
        <f t="shared" si="6"/>
        <v>1</v>
      </c>
      <c r="AB48" s="152" t="b">
        <f t="shared" si="7"/>
        <v>1</v>
      </c>
    </row>
    <row r="49" spans="1:28" s="258" customFormat="1" x14ac:dyDescent="0.25">
      <c r="A49" s="347">
        <v>47</v>
      </c>
      <c r="B49" s="199" t="s">
        <v>467</v>
      </c>
      <c r="C49" s="247" t="s">
        <v>77</v>
      </c>
      <c r="D49" s="218" t="s">
        <v>76</v>
      </c>
      <c r="E49" s="219">
        <v>2604053</v>
      </c>
      <c r="F49" s="254" t="s">
        <v>55</v>
      </c>
      <c r="G49" s="220" t="s">
        <v>468</v>
      </c>
      <c r="H49" s="198" t="s">
        <v>47</v>
      </c>
      <c r="I49" s="201">
        <v>0.65</v>
      </c>
      <c r="J49" s="200" t="s">
        <v>164</v>
      </c>
      <c r="K49" s="221">
        <v>898554.6</v>
      </c>
      <c r="L49" s="278">
        <v>449277</v>
      </c>
      <c r="M49" s="223">
        <v>449277.6</v>
      </c>
      <c r="N49" s="224">
        <v>0.5</v>
      </c>
      <c r="O49" s="225">
        <v>0</v>
      </c>
      <c r="P49" s="225">
        <v>0</v>
      </c>
      <c r="Q49" s="225">
        <v>0</v>
      </c>
      <c r="R49" s="226">
        <v>0</v>
      </c>
      <c r="S49" s="226">
        <v>449277</v>
      </c>
      <c r="T49" s="239"/>
      <c r="U49" s="239"/>
      <c r="V49" s="202"/>
      <c r="W49" s="202"/>
      <c r="X49" s="202"/>
      <c r="Y49" s="152" t="b">
        <f t="shared" si="4"/>
        <v>1</v>
      </c>
      <c r="Z49" s="360">
        <f t="shared" si="5"/>
        <v>0.5</v>
      </c>
      <c r="AA49" s="152" t="b">
        <f t="shared" si="6"/>
        <v>1</v>
      </c>
      <c r="AB49" s="152" t="b">
        <f t="shared" si="7"/>
        <v>1</v>
      </c>
    </row>
    <row r="50" spans="1:28" s="258" customFormat="1" ht="33.75" x14ac:dyDescent="0.25">
      <c r="A50" s="186">
        <v>48</v>
      </c>
      <c r="B50" s="197" t="s">
        <v>297</v>
      </c>
      <c r="C50" s="248" t="s">
        <v>169</v>
      </c>
      <c r="D50" s="228" t="s">
        <v>54</v>
      </c>
      <c r="E50" s="189">
        <v>2604073</v>
      </c>
      <c r="F50" s="255" t="s">
        <v>55</v>
      </c>
      <c r="G50" s="230" t="s">
        <v>298</v>
      </c>
      <c r="H50" s="231" t="s">
        <v>43</v>
      </c>
      <c r="I50" s="232">
        <v>0.45200000000000001</v>
      </c>
      <c r="J50" s="233" t="s">
        <v>299</v>
      </c>
      <c r="K50" s="234">
        <v>2861203.65</v>
      </c>
      <c r="L50" s="319">
        <v>1716722</v>
      </c>
      <c r="M50" s="236">
        <v>1144481.6499999999</v>
      </c>
      <c r="N50" s="237">
        <v>0.6</v>
      </c>
      <c r="O50" s="238">
        <v>0</v>
      </c>
      <c r="P50" s="238">
        <v>0</v>
      </c>
      <c r="Q50" s="238">
        <v>0</v>
      </c>
      <c r="R50" s="196">
        <v>0</v>
      </c>
      <c r="S50" s="196">
        <v>1373378</v>
      </c>
      <c r="T50" s="239">
        <v>343344</v>
      </c>
      <c r="U50" s="239"/>
      <c r="V50" s="202"/>
      <c r="W50" s="202"/>
      <c r="X50" s="202"/>
      <c r="Y50" s="152" t="b">
        <f t="shared" si="4"/>
        <v>1</v>
      </c>
      <c r="Z50" s="360">
        <f t="shared" si="5"/>
        <v>0.6</v>
      </c>
      <c r="AA50" s="152" t="b">
        <f t="shared" si="6"/>
        <v>1</v>
      </c>
      <c r="AB50" s="152" t="b">
        <f t="shared" si="7"/>
        <v>1</v>
      </c>
    </row>
    <row r="51" spans="1:28" s="258" customFormat="1" x14ac:dyDescent="0.25">
      <c r="A51" s="347">
        <v>49</v>
      </c>
      <c r="B51" s="199" t="s">
        <v>555</v>
      </c>
      <c r="C51" s="247" t="s">
        <v>77</v>
      </c>
      <c r="D51" s="203" t="s">
        <v>552</v>
      </c>
      <c r="E51" s="219">
        <v>2604123</v>
      </c>
      <c r="F51" s="254" t="s">
        <v>55</v>
      </c>
      <c r="G51" s="220" t="s">
        <v>556</v>
      </c>
      <c r="H51" s="198" t="s">
        <v>47</v>
      </c>
      <c r="I51" s="201">
        <v>0.245</v>
      </c>
      <c r="J51" s="200" t="s">
        <v>217</v>
      </c>
      <c r="K51" s="221">
        <v>600000</v>
      </c>
      <c r="L51" s="278">
        <v>300000</v>
      </c>
      <c r="M51" s="223">
        <v>300000</v>
      </c>
      <c r="N51" s="224">
        <v>0.5</v>
      </c>
      <c r="O51" s="225">
        <v>0</v>
      </c>
      <c r="P51" s="225">
        <v>0</v>
      </c>
      <c r="Q51" s="225">
        <v>0</v>
      </c>
      <c r="R51" s="226">
        <v>0</v>
      </c>
      <c r="S51" s="226">
        <f>L51</f>
        <v>300000</v>
      </c>
      <c r="T51" s="239"/>
      <c r="U51" s="239"/>
      <c r="V51" s="202"/>
      <c r="W51" s="202"/>
      <c r="X51" s="202"/>
      <c r="Y51" s="152" t="b">
        <f t="shared" si="4"/>
        <v>1</v>
      </c>
      <c r="Z51" s="360">
        <f t="shared" si="5"/>
        <v>0.5</v>
      </c>
      <c r="AA51" s="152" t="b">
        <f t="shared" si="6"/>
        <v>1</v>
      </c>
      <c r="AB51" s="152" t="b">
        <f t="shared" si="7"/>
        <v>1</v>
      </c>
    </row>
    <row r="52" spans="1:28" s="258" customFormat="1" x14ac:dyDescent="0.25">
      <c r="A52" s="186">
        <v>50</v>
      </c>
      <c r="B52" s="197" t="s">
        <v>366</v>
      </c>
      <c r="C52" s="248" t="s">
        <v>169</v>
      </c>
      <c r="D52" s="228" t="s">
        <v>63</v>
      </c>
      <c r="E52" s="229">
        <v>2610053</v>
      </c>
      <c r="F52" s="255" t="s">
        <v>64</v>
      </c>
      <c r="G52" s="230" t="s">
        <v>367</v>
      </c>
      <c r="H52" s="231" t="s">
        <v>47</v>
      </c>
      <c r="I52" s="232">
        <v>0.22</v>
      </c>
      <c r="J52" s="233" t="s">
        <v>299</v>
      </c>
      <c r="K52" s="234">
        <v>1059018.1000000001</v>
      </c>
      <c r="L52" s="319">
        <v>741312</v>
      </c>
      <c r="M52" s="236">
        <v>317706.10000000009</v>
      </c>
      <c r="N52" s="237">
        <v>0.7</v>
      </c>
      <c r="O52" s="238">
        <v>0</v>
      </c>
      <c r="P52" s="238">
        <v>0</v>
      </c>
      <c r="Q52" s="196">
        <v>0</v>
      </c>
      <c r="R52" s="196">
        <v>0</v>
      </c>
      <c r="S52" s="239">
        <v>46494</v>
      </c>
      <c r="T52" s="239">
        <v>694818</v>
      </c>
      <c r="U52" s="239"/>
      <c r="V52" s="202"/>
      <c r="W52" s="202"/>
      <c r="X52" s="202"/>
      <c r="Y52" s="152" t="b">
        <f t="shared" si="4"/>
        <v>1</v>
      </c>
      <c r="Z52" s="360">
        <f t="shared" si="5"/>
        <v>0.7</v>
      </c>
      <c r="AA52" s="152" t="b">
        <f t="shared" si="6"/>
        <v>1</v>
      </c>
      <c r="AB52" s="152" t="b">
        <f t="shared" si="7"/>
        <v>1</v>
      </c>
    </row>
    <row r="53" spans="1:28" s="258" customFormat="1" ht="22.5" x14ac:dyDescent="0.25">
      <c r="A53" s="186">
        <v>51</v>
      </c>
      <c r="B53" s="197" t="s">
        <v>470</v>
      </c>
      <c r="C53" s="248" t="s">
        <v>169</v>
      </c>
      <c r="D53" s="228" t="s">
        <v>65</v>
      </c>
      <c r="E53" s="229">
        <v>2604033</v>
      </c>
      <c r="F53" s="255" t="s">
        <v>55</v>
      </c>
      <c r="G53" s="230" t="s">
        <v>471</v>
      </c>
      <c r="H53" s="231" t="s">
        <v>43</v>
      </c>
      <c r="I53" s="232">
        <v>0.56999999999999995</v>
      </c>
      <c r="J53" s="233" t="s">
        <v>472</v>
      </c>
      <c r="K53" s="234">
        <v>3113523.53</v>
      </c>
      <c r="L53" s="235">
        <v>2179466</v>
      </c>
      <c r="M53" s="236">
        <f>K53-L53</f>
        <v>934057.5299999998</v>
      </c>
      <c r="N53" s="237">
        <v>0.7</v>
      </c>
      <c r="O53" s="238">
        <v>0</v>
      </c>
      <c r="P53" s="238">
        <v>0</v>
      </c>
      <c r="Q53" s="196">
        <v>0</v>
      </c>
      <c r="R53" s="196">
        <v>0</v>
      </c>
      <c r="S53" s="264">
        <v>280000</v>
      </c>
      <c r="T53" s="285">
        <v>280000</v>
      </c>
      <c r="U53" s="239">
        <v>1619466</v>
      </c>
      <c r="V53" s="202"/>
      <c r="W53" s="202"/>
      <c r="X53" s="202"/>
      <c r="Y53" s="152" t="b">
        <f t="shared" si="4"/>
        <v>1</v>
      </c>
      <c r="Z53" s="360">
        <f t="shared" si="5"/>
        <v>0.7</v>
      </c>
      <c r="AA53" s="152" t="b">
        <f t="shared" si="6"/>
        <v>1</v>
      </c>
      <c r="AB53" s="152" t="b">
        <f t="shared" si="7"/>
        <v>1</v>
      </c>
    </row>
    <row r="54" spans="1:28" s="258" customFormat="1" ht="22.5" x14ac:dyDescent="0.25">
      <c r="A54" s="347">
        <v>52</v>
      </c>
      <c r="B54" s="199" t="s">
        <v>380</v>
      </c>
      <c r="C54" s="247" t="s">
        <v>77</v>
      </c>
      <c r="D54" s="203" t="s">
        <v>71</v>
      </c>
      <c r="E54" s="219">
        <v>2612053</v>
      </c>
      <c r="F54" s="254" t="s">
        <v>72</v>
      </c>
      <c r="G54" s="220" t="s">
        <v>381</v>
      </c>
      <c r="H54" s="198" t="s">
        <v>47</v>
      </c>
      <c r="I54" s="201">
        <v>0.66</v>
      </c>
      <c r="J54" s="200" t="s">
        <v>382</v>
      </c>
      <c r="K54" s="221">
        <v>485346</v>
      </c>
      <c r="L54" s="278">
        <v>242673</v>
      </c>
      <c r="M54" s="223">
        <v>242673</v>
      </c>
      <c r="N54" s="224">
        <v>0.5</v>
      </c>
      <c r="O54" s="225">
        <v>0</v>
      </c>
      <c r="P54" s="225">
        <v>0</v>
      </c>
      <c r="Q54" s="226">
        <v>0</v>
      </c>
      <c r="R54" s="226">
        <v>0</v>
      </c>
      <c r="S54" s="226">
        <f>L54</f>
        <v>242673</v>
      </c>
      <c r="T54" s="239"/>
      <c r="U54" s="239"/>
      <c r="V54" s="202"/>
      <c r="W54" s="202"/>
      <c r="X54" s="202"/>
      <c r="Y54" s="152" t="b">
        <f t="shared" si="4"/>
        <v>1</v>
      </c>
      <c r="Z54" s="360">
        <f t="shared" si="5"/>
        <v>0.5</v>
      </c>
      <c r="AA54" s="152" t="b">
        <f t="shared" si="6"/>
        <v>1</v>
      </c>
      <c r="AB54" s="152" t="b">
        <f t="shared" si="7"/>
        <v>1</v>
      </c>
    </row>
    <row r="55" spans="1:28" s="258" customFormat="1" ht="22.5" x14ac:dyDescent="0.25">
      <c r="A55" s="186">
        <v>53</v>
      </c>
      <c r="B55" s="197" t="s">
        <v>402</v>
      </c>
      <c r="C55" s="248" t="s">
        <v>169</v>
      </c>
      <c r="D55" s="228" t="s">
        <v>155</v>
      </c>
      <c r="E55" s="229">
        <v>2601013</v>
      </c>
      <c r="F55" s="255" t="s">
        <v>51</v>
      </c>
      <c r="G55" s="230" t="s">
        <v>527</v>
      </c>
      <c r="H55" s="231" t="s">
        <v>43</v>
      </c>
      <c r="I55" s="232">
        <v>0.71099999999999997</v>
      </c>
      <c r="J55" s="233" t="s">
        <v>403</v>
      </c>
      <c r="K55" s="234">
        <v>13822853.25</v>
      </c>
      <c r="L55" s="319">
        <v>9675997</v>
      </c>
      <c r="M55" s="236">
        <v>4146856.25</v>
      </c>
      <c r="N55" s="237">
        <v>0.7</v>
      </c>
      <c r="O55" s="238">
        <v>0</v>
      </c>
      <c r="P55" s="238">
        <v>0</v>
      </c>
      <c r="Q55" s="238">
        <v>0</v>
      </c>
      <c r="R55" s="196">
        <v>0</v>
      </c>
      <c r="S55" s="196">
        <v>483800</v>
      </c>
      <c r="T55" s="239">
        <v>4837998</v>
      </c>
      <c r="U55" s="239">
        <v>4354199</v>
      </c>
      <c r="V55" s="202"/>
      <c r="W55" s="202"/>
      <c r="X55" s="202"/>
      <c r="Y55" s="152" t="b">
        <f t="shared" si="4"/>
        <v>1</v>
      </c>
      <c r="Z55" s="360">
        <f t="shared" si="5"/>
        <v>0.7</v>
      </c>
      <c r="AA55" s="152" t="b">
        <f t="shared" si="6"/>
        <v>1</v>
      </c>
      <c r="AB55" s="152" t="b">
        <f t="shared" si="7"/>
        <v>1</v>
      </c>
    </row>
    <row r="56" spans="1:28" s="258" customFormat="1" ht="45" x14ac:dyDescent="0.25">
      <c r="A56" s="186">
        <v>54</v>
      </c>
      <c r="B56" s="197" t="s">
        <v>368</v>
      </c>
      <c r="C56" s="248" t="s">
        <v>169</v>
      </c>
      <c r="D56" s="228" t="s">
        <v>110</v>
      </c>
      <c r="E56" s="229">
        <v>2608022</v>
      </c>
      <c r="F56" s="255" t="s">
        <v>67</v>
      </c>
      <c r="G56" s="230" t="s">
        <v>369</v>
      </c>
      <c r="H56" s="231" t="s">
        <v>47</v>
      </c>
      <c r="I56" s="232">
        <v>1.61</v>
      </c>
      <c r="J56" s="233" t="s">
        <v>370</v>
      </c>
      <c r="K56" s="234">
        <v>4834776.7699999996</v>
      </c>
      <c r="L56" s="319">
        <v>2417388</v>
      </c>
      <c r="M56" s="236">
        <v>2417388.7699999996</v>
      </c>
      <c r="N56" s="237">
        <v>0.5</v>
      </c>
      <c r="O56" s="238">
        <v>0</v>
      </c>
      <c r="P56" s="238">
        <v>0</v>
      </c>
      <c r="Q56" s="238">
        <v>0</v>
      </c>
      <c r="R56" s="196">
        <v>0</v>
      </c>
      <c r="S56" s="196">
        <v>104550</v>
      </c>
      <c r="T56" s="239">
        <v>2312838</v>
      </c>
      <c r="U56" s="239"/>
      <c r="V56" s="202"/>
      <c r="W56" s="202"/>
      <c r="X56" s="202"/>
      <c r="Y56" s="152" t="b">
        <f t="shared" si="4"/>
        <v>1</v>
      </c>
      <c r="Z56" s="360">
        <f t="shared" si="5"/>
        <v>0.5</v>
      </c>
      <c r="AA56" s="152" t="b">
        <f t="shared" si="6"/>
        <v>1</v>
      </c>
      <c r="AB56" s="152" t="b">
        <f t="shared" si="7"/>
        <v>1</v>
      </c>
    </row>
    <row r="57" spans="1:28" s="258" customFormat="1" ht="22.5" x14ac:dyDescent="0.25">
      <c r="A57" s="347">
        <v>55</v>
      </c>
      <c r="B57" s="199" t="s">
        <v>536</v>
      </c>
      <c r="C57" s="247" t="s">
        <v>77</v>
      </c>
      <c r="D57" s="218" t="s">
        <v>100</v>
      </c>
      <c r="E57" s="219">
        <v>2606043</v>
      </c>
      <c r="F57" s="254" t="s">
        <v>85</v>
      </c>
      <c r="G57" s="220" t="s">
        <v>537</v>
      </c>
      <c r="H57" s="198" t="s">
        <v>46</v>
      </c>
      <c r="I57" s="201">
        <v>0.54200000000000004</v>
      </c>
      <c r="J57" s="200" t="s">
        <v>261</v>
      </c>
      <c r="K57" s="221">
        <v>1210841.1499999999</v>
      </c>
      <c r="L57" s="222">
        <v>847588</v>
      </c>
      <c r="M57" s="223">
        <f>K57-L57</f>
        <v>363253.14999999991</v>
      </c>
      <c r="N57" s="224">
        <v>0.7</v>
      </c>
      <c r="O57" s="225">
        <v>0</v>
      </c>
      <c r="P57" s="225">
        <v>0</v>
      </c>
      <c r="Q57" s="225">
        <v>0</v>
      </c>
      <c r="R57" s="226">
        <v>0</v>
      </c>
      <c r="S57" s="226">
        <f>'gm podst'!L57</f>
        <v>847588</v>
      </c>
      <c r="T57" s="239"/>
      <c r="U57" s="239"/>
      <c r="V57" s="202"/>
      <c r="W57" s="202"/>
      <c r="X57" s="202"/>
      <c r="Y57" s="152" t="b">
        <f t="shared" si="4"/>
        <v>1</v>
      </c>
      <c r="Z57" s="360">
        <f t="shared" si="5"/>
        <v>0.7</v>
      </c>
      <c r="AA57" s="152" t="b">
        <f t="shared" si="6"/>
        <v>1</v>
      </c>
      <c r="AB57" s="152" t="b">
        <f t="shared" si="7"/>
        <v>1</v>
      </c>
    </row>
    <row r="58" spans="1:28" s="258" customFormat="1" x14ac:dyDescent="0.25">
      <c r="A58" s="347">
        <v>56</v>
      </c>
      <c r="B58" s="199" t="s">
        <v>371</v>
      </c>
      <c r="C58" s="247" t="s">
        <v>77</v>
      </c>
      <c r="D58" s="203" t="s">
        <v>87</v>
      </c>
      <c r="E58" s="219">
        <v>2602063</v>
      </c>
      <c r="F58" s="254" t="s">
        <v>57</v>
      </c>
      <c r="G58" s="220" t="s">
        <v>372</v>
      </c>
      <c r="H58" s="198" t="s">
        <v>46</v>
      </c>
      <c r="I58" s="201">
        <v>1.5429999999999999</v>
      </c>
      <c r="J58" s="200" t="s">
        <v>280</v>
      </c>
      <c r="K58" s="221">
        <v>645327.03</v>
      </c>
      <c r="L58" s="278">
        <v>387196</v>
      </c>
      <c r="M58" s="223">
        <v>258131.03000000003</v>
      </c>
      <c r="N58" s="224">
        <v>0.6</v>
      </c>
      <c r="O58" s="225">
        <v>0</v>
      </c>
      <c r="P58" s="225">
        <v>0</v>
      </c>
      <c r="Q58" s="225">
        <v>0</v>
      </c>
      <c r="R58" s="226">
        <v>0</v>
      </c>
      <c r="S58" s="226">
        <f>L58</f>
        <v>387196</v>
      </c>
      <c r="T58" s="239"/>
      <c r="U58" s="239"/>
      <c r="V58" s="202"/>
      <c r="W58" s="202"/>
      <c r="X58" s="202"/>
      <c r="Y58" s="152" t="b">
        <f t="shared" si="4"/>
        <v>1</v>
      </c>
      <c r="Z58" s="360">
        <f t="shared" si="5"/>
        <v>0.6</v>
      </c>
      <c r="AA58" s="152" t="b">
        <f t="shared" si="6"/>
        <v>1</v>
      </c>
      <c r="AB58" s="152" t="b">
        <f t="shared" si="7"/>
        <v>1</v>
      </c>
    </row>
    <row r="59" spans="1:28" s="258" customFormat="1" ht="22.5" x14ac:dyDescent="0.25">
      <c r="A59" s="186">
        <v>57</v>
      </c>
      <c r="B59" s="197" t="s">
        <v>375</v>
      </c>
      <c r="C59" s="248" t="s">
        <v>169</v>
      </c>
      <c r="D59" s="261" t="s">
        <v>59</v>
      </c>
      <c r="E59" s="229">
        <v>2609033</v>
      </c>
      <c r="F59" s="255" t="s">
        <v>61</v>
      </c>
      <c r="G59" s="230" t="s">
        <v>376</v>
      </c>
      <c r="H59" s="231" t="s">
        <v>43</v>
      </c>
      <c r="I59" s="232">
        <v>0.997</v>
      </c>
      <c r="J59" s="233" t="s">
        <v>377</v>
      </c>
      <c r="K59" s="234">
        <v>1735868.82</v>
      </c>
      <c r="L59" s="319">
        <v>1215108</v>
      </c>
      <c r="M59" s="236">
        <v>520760.82000000007</v>
      </c>
      <c r="N59" s="237">
        <v>0.7</v>
      </c>
      <c r="O59" s="238">
        <v>0</v>
      </c>
      <c r="P59" s="238">
        <v>0</v>
      </c>
      <c r="Q59" s="238">
        <v>0</v>
      </c>
      <c r="R59" s="196">
        <v>0</v>
      </c>
      <c r="S59" s="264">
        <v>700</v>
      </c>
      <c r="T59" s="285">
        <v>1214408</v>
      </c>
      <c r="U59" s="239"/>
      <c r="V59" s="202"/>
      <c r="W59" s="202"/>
      <c r="X59" s="202"/>
      <c r="Y59" s="152" t="b">
        <f t="shared" si="4"/>
        <v>1</v>
      </c>
      <c r="Z59" s="360">
        <f t="shared" si="5"/>
        <v>0.7</v>
      </c>
      <c r="AA59" s="152" t="b">
        <f t="shared" si="6"/>
        <v>1</v>
      </c>
      <c r="AB59" s="152" t="b">
        <f t="shared" si="7"/>
        <v>1</v>
      </c>
    </row>
    <row r="60" spans="1:28" s="258" customFormat="1" ht="22.5" x14ac:dyDescent="0.25">
      <c r="A60" s="347">
        <v>58</v>
      </c>
      <c r="B60" s="199" t="s">
        <v>245</v>
      </c>
      <c r="C60" s="247" t="s">
        <v>77</v>
      </c>
      <c r="D60" s="203" t="s">
        <v>106</v>
      </c>
      <c r="E60" s="188">
        <v>2606082</v>
      </c>
      <c r="F60" s="254" t="s">
        <v>85</v>
      </c>
      <c r="G60" s="220" t="s">
        <v>246</v>
      </c>
      <c r="H60" s="198" t="s">
        <v>46</v>
      </c>
      <c r="I60" s="201">
        <v>0.92500000000000004</v>
      </c>
      <c r="J60" s="200" t="s">
        <v>247</v>
      </c>
      <c r="K60" s="221">
        <v>1654184.78</v>
      </c>
      <c r="L60" s="278">
        <v>992510</v>
      </c>
      <c r="M60" s="223">
        <v>661674.78</v>
      </c>
      <c r="N60" s="224">
        <v>0.6</v>
      </c>
      <c r="O60" s="225">
        <v>0</v>
      </c>
      <c r="P60" s="225">
        <v>0</v>
      </c>
      <c r="Q60" s="225">
        <v>0</v>
      </c>
      <c r="R60" s="226">
        <v>0</v>
      </c>
      <c r="S60" s="226">
        <v>992510</v>
      </c>
      <c r="T60" s="239"/>
      <c r="U60" s="239"/>
      <c r="V60" s="202"/>
      <c r="W60" s="202"/>
      <c r="X60" s="202"/>
      <c r="Y60" s="152" t="b">
        <f t="shared" si="4"/>
        <v>1</v>
      </c>
      <c r="Z60" s="360">
        <f t="shared" si="5"/>
        <v>0.6</v>
      </c>
      <c r="AA60" s="152" t="b">
        <f t="shared" si="6"/>
        <v>1</v>
      </c>
      <c r="AB60" s="152" t="b">
        <f t="shared" si="7"/>
        <v>1</v>
      </c>
    </row>
    <row r="61" spans="1:28" s="258" customFormat="1" x14ac:dyDescent="0.25">
      <c r="A61" s="347">
        <v>59</v>
      </c>
      <c r="B61" s="199" t="s">
        <v>428</v>
      </c>
      <c r="C61" s="247" t="s">
        <v>77</v>
      </c>
      <c r="D61" s="203" t="s">
        <v>100</v>
      </c>
      <c r="E61" s="219">
        <v>2606043</v>
      </c>
      <c r="F61" s="254" t="s">
        <v>85</v>
      </c>
      <c r="G61" s="220" t="s">
        <v>429</v>
      </c>
      <c r="H61" s="198" t="s">
        <v>47</v>
      </c>
      <c r="I61" s="201">
        <v>0.91300000000000003</v>
      </c>
      <c r="J61" s="200" t="s">
        <v>261</v>
      </c>
      <c r="K61" s="221">
        <v>633162.31000000006</v>
      </c>
      <c r="L61" s="278">
        <v>443213</v>
      </c>
      <c r="M61" s="223">
        <v>189949.31000000006</v>
      </c>
      <c r="N61" s="224">
        <v>0.7</v>
      </c>
      <c r="O61" s="225">
        <v>0</v>
      </c>
      <c r="P61" s="225">
        <v>0</v>
      </c>
      <c r="Q61" s="225">
        <v>0</v>
      </c>
      <c r="R61" s="226">
        <v>0</v>
      </c>
      <c r="S61" s="226">
        <f>L61</f>
        <v>443213</v>
      </c>
      <c r="T61" s="239"/>
      <c r="U61" s="239"/>
      <c r="V61" s="202"/>
      <c r="W61" s="202"/>
      <c r="X61" s="202"/>
      <c r="Y61" s="152" t="b">
        <f t="shared" si="4"/>
        <v>1</v>
      </c>
      <c r="Z61" s="360">
        <f t="shared" si="5"/>
        <v>0.7</v>
      </c>
      <c r="AA61" s="152" t="b">
        <f t="shared" si="6"/>
        <v>1</v>
      </c>
      <c r="AB61" s="152" t="b">
        <f t="shared" si="7"/>
        <v>1</v>
      </c>
    </row>
    <row r="62" spans="1:28" s="258" customFormat="1" ht="56.25" x14ac:dyDescent="0.25">
      <c r="A62" s="347">
        <v>60</v>
      </c>
      <c r="B62" s="199" t="s">
        <v>265</v>
      </c>
      <c r="C62" s="247" t="s">
        <v>77</v>
      </c>
      <c r="D62" s="203" t="s">
        <v>96</v>
      </c>
      <c r="E62" s="188">
        <v>2606072</v>
      </c>
      <c r="F62" s="254" t="s">
        <v>85</v>
      </c>
      <c r="G62" s="220" t="s">
        <v>521</v>
      </c>
      <c r="H62" s="198" t="s">
        <v>47</v>
      </c>
      <c r="I62" s="201">
        <v>0.71</v>
      </c>
      <c r="J62" s="200" t="s">
        <v>214</v>
      </c>
      <c r="K62" s="221">
        <v>1765034.08</v>
      </c>
      <c r="L62" s="278">
        <f>1059020</f>
        <v>1059020</v>
      </c>
      <c r="M62" s="223">
        <f>K62-L62</f>
        <v>706014.08000000007</v>
      </c>
      <c r="N62" s="224">
        <v>0.6</v>
      </c>
      <c r="O62" s="225">
        <v>0</v>
      </c>
      <c r="P62" s="225">
        <v>0</v>
      </c>
      <c r="Q62" s="225">
        <v>0</v>
      </c>
      <c r="R62" s="226">
        <v>0</v>
      </c>
      <c r="S62" s="226">
        <f>L62</f>
        <v>1059020</v>
      </c>
      <c r="T62" s="239"/>
      <c r="U62" s="239"/>
      <c r="V62" s="202"/>
      <c r="W62" s="202"/>
      <c r="X62" s="202"/>
      <c r="Y62" s="152" t="b">
        <f t="shared" si="4"/>
        <v>1</v>
      </c>
      <c r="Z62" s="360">
        <f t="shared" si="5"/>
        <v>0.6</v>
      </c>
      <c r="AA62" s="152" t="b">
        <f t="shared" si="6"/>
        <v>1</v>
      </c>
      <c r="AB62" s="152" t="b">
        <f t="shared" si="7"/>
        <v>1</v>
      </c>
    </row>
    <row r="63" spans="1:28" s="258" customFormat="1" ht="33.75" x14ac:dyDescent="0.25">
      <c r="A63" s="347">
        <v>61</v>
      </c>
      <c r="B63" s="199" t="s">
        <v>378</v>
      </c>
      <c r="C63" s="247" t="s">
        <v>77</v>
      </c>
      <c r="D63" s="203" t="s">
        <v>91</v>
      </c>
      <c r="E63" s="219">
        <v>2612073</v>
      </c>
      <c r="F63" s="254" t="s">
        <v>72</v>
      </c>
      <c r="G63" s="220" t="s">
        <v>523</v>
      </c>
      <c r="H63" s="198" t="s">
        <v>43</v>
      </c>
      <c r="I63" s="201">
        <v>0.67200000000000004</v>
      </c>
      <c r="J63" s="200" t="s">
        <v>379</v>
      </c>
      <c r="K63" s="221">
        <v>5853223.8499999996</v>
      </c>
      <c r="L63" s="222">
        <f>4097256</f>
        <v>4097256</v>
      </c>
      <c r="M63" s="223">
        <f>K63-L63</f>
        <v>1755967.8499999996</v>
      </c>
      <c r="N63" s="224">
        <v>0.7</v>
      </c>
      <c r="O63" s="225">
        <v>0</v>
      </c>
      <c r="P63" s="225">
        <v>0</v>
      </c>
      <c r="Q63" s="226">
        <v>0</v>
      </c>
      <c r="R63" s="226">
        <v>0</v>
      </c>
      <c r="S63" s="226">
        <f>L63</f>
        <v>4097256</v>
      </c>
      <c r="T63" s="239"/>
      <c r="U63" s="239"/>
      <c r="V63" s="202"/>
      <c r="W63" s="202"/>
      <c r="X63" s="202"/>
      <c r="Y63" s="152" t="b">
        <f t="shared" si="4"/>
        <v>1</v>
      </c>
      <c r="Z63" s="360">
        <f t="shared" si="5"/>
        <v>0.7</v>
      </c>
      <c r="AA63" s="152" t="b">
        <f t="shared" si="6"/>
        <v>1</v>
      </c>
      <c r="AB63" s="152" t="b">
        <f t="shared" si="7"/>
        <v>1</v>
      </c>
    </row>
    <row r="64" spans="1:28" s="258" customFormat="1" ht="22.5" x14ac:dyDescent="0.25">
      <c r="A64" s="186">
        <v>62</v>
      </c>
      <c r="B64" s="197" t="s">
        <v>386</v>
      </c>
      <c r="C64" s="248" t="s">
        <v>169</v>
      </c>
      <c r="D64" s="261" t="s">
        <v>86</v>
      </c>
      <c r="E64" s="229">
        <v>2609022</v>
      </c>
      <c r="F64" s="255" t="s">
        <v>61</v>
      </c>
      <c r="G64" s="230" t="s">
        <v>387</v>
      </c>
      <c r="H64" s="231" t="s">
        <v>43</v>
      </c>
      <c r="I64" s="232">
        <v>0.42899999999999999</v>
      </c>
      <c r="J64" s="233" t="s">
        <v>388</v>
      </c>
      <c r="K64" s="234">
        <v>1062568.32</v>
      </c>
      <c r="L64" s="235">
        <v>743797</v>
      </c>
      <c r="M64" s="236">
        <v>318771.32000000007</v>
      </c>
      <c r="N64" s="237">
        <v>0.7</v>
      </c>
      <c r="O64" s="238">
        <v>0</v>
      </c>
      <c r="P64" s="238">
        <v>0</v>
      </c>
      <c r="Q64" s="196">
        <v>0</v>
      </c>
      <c r="R64" s="196">
        <v>0</v>
      </c>
      <c r="S64" s="196">
        <v>455000</v>
      </c>
      <c r="T64" s="239">
        <v>288797</v>
      </c>
      <c r="U64" s="239"/>
      <c r="V64" s="202"/>
      <c r="W64" s="202"/>
      <c r="X64" s="202"/>
      <c r="Y64" s="152" t="b">
        <f t="shared" si="4"/>
        <v>1</v>
      </c>
      <c r="Z64" s="360">
        <f t="shared" si="5"/>
        <v>0.7</v>
      </c>
      <c r="AA64" s="152" t="b">
        <f t="shared" si="6"/>
        <v>1</v>
      </c>
      <c r="AB64" s="152" t="b">
        <f t="shared" si="7"/>
        <v>1</v>
      </c>
    </row>
    <row r="65" spans="1:28" s="258" customFormat="1" x14ac:dyDescent="0.25">
      <c r="A65" s="286" t="s">
        <v>577</v>
      </c>
      <c r="B65" s="305" t="s">
        <v>558</v>
      </c>
      <c r="C65" s="306" t="s">
        <v>77</v>
      </c>
      <c r="D65" s="307" t="s">
        <v>552</v>
      </c>
      <c r="E65" s="329">
        <v>2604123</v>
      </c>
      <c r="F65" s="330" t="s">
        <v>55</v>
      </c>
      <c r="G65" s="308" t="s">
        <v>557</v>
      </c>
      <c r="H65" s="309" t="s">
        <v>47</v>
      </c>
      <c r="I65" s="310">
        <v>0.245</v>
      </c>
      <c r="J65" s="311" t="s">
        <v>217</v>
      </c>
      <c r="K65" s="312">
        <v>1000000</v>
      </c>
      <c r="L65" s="313">
        <f>500000-124834</f>
        <v>375166</v>
      </c>
      <c r="M65" s="314">
        <f>K65-L65</f>
        <v>624834</v>
      </c>
      <c r="N65" s="315">
        <v>0.5</v>
      </c>
      <c r="O65" s="316">
        <v>0</v>
      </c>
      <c r="P65" s="316">
        <v>0</v>
      </c>
      <c r="Q65" s="317">
        <v>0</v>
      </c>
      <c r="R65" s="317">
        <v>0</v>
      </c>
      <c r="S65" s="317">
        <f>L65</f>
        <v>375166</v>
      </c>
      <c r="T65" s="239"/>
      <c r="U65" s="239"/>
      <c r="V65" s="202"/>
      <c r="W65" s="202"/>
      <c r="X65" s="202"/>
      <c r="Y65" s="152" t="b">
        <f t="shared" si="4"/>
        <v>1</v>
      </c>
      <c r="Z65" s="360">
        <f t="shared" si="5"/>
        <v>0.37519999999999998</v>
      </c>
      <c r="AA65" s="152" t="b">
        <f t="shared" si="6"/>
        <v>0</v>
      </c>
      <c r="AB65" s="152" t="b">
        <f t="shared" si="7"/>
        <v>1</v>
      </c>
    </row>
    <row r="66" spans="1:28" x14ac:dyDescent="0.25">
      <c r="B66" s="451" t="s">
        <v>39</v>
      </c>
      <c r="C66" s="452"/>
      <c r="D66" s="452"/>
      <c r="E66" s="452"/>
      <c r="F66" s="452"/>
      <c r="G66" s="452"/>
      <c r="H66" s="453"/>
      <c r="I66" s="102">
        <f>SUM(I3:I65)</f>
        <v>58.405999999999985</v>
      </c>
      <c r="J66" s="162" t="s">
        <v>14</v>
      </c>
      <c r="K66" s="106">
        <f>SUM(K3:K65)</f>
        <v>187233669.97000006</v>
      </c>
      <c r="L66" s="106">
        <f>SUM(L3:L65)</f>
        <v>125783427</v>
      </c>
      <c r="M66" s="106">
        <f>SUM(M3:M65)</f>
        <v>61450242.969999999</v>
      </c>
      <c r="N66" s="103" t="s">
        <v>14</v>
      </c>
      <c r="O66" s="106">
        <f t="shared" ref="O66:X66" si="8">SUM(O3:O65)</f>
        <v>0</v>
      </c>
      <c r="P66" s="106">
        <f t="shared" si="8"/>
        <v>393500</v>
      </c>
      <c r="Q66" s="136">
        <f t="shared" si="8"/>
        <v>1935500</v>
      </c>
      <c r="R66" s="136">
        <f t="shared" si="8"/>
        <v>17308234</v>
      </c>
      <c r="S66" s="136">
        <f t="shared" si="8"/>
        <v>69740616</v>
      </c>
      <c r="T66" s="136">
        <f t="shared" si="8"/>
        <v>28109491</v>
      </c>
      <c r="U66" s="136">
        <f t="shared" si="8"/>
        <v>8296086</v>
      </c>
      <c r="V66" s="136">
        <f t="shared" si="8"/>
        <v>0</v>
      </c>
      <c r="W66" s="136">
        <f t="shared" si="8"/>
        <v>0</v>
      </c>
      <c r="X66" s="136">
        <f t="shared" si="8"/>
        <v>0</v>
      </c>
      <c r="Y66" s="152" t="b">
        <f t="shared" si="4"/>
        <v>1</v>
      </c>
      <c r="Z66" s="360">
        <f t="shared" si="5"/>
        <v>0.67179999999999995</v>
      </c>
      <c r="AA66" s="152" t="b">
        <f t="shared" si="6"/>
        <v>0</v>
      </c>
      <c r="AB66" s="152" t="b">
        <f t="shared" si="7"/>
        <v>1</v>
      </c>
    </row>
    <row r="67" spans="1:28" x14ac:dyDescent="0.25">
      <c r="A67" s="454" t="s">
        <v>32</v>
      </c>
      <c r="B67" s="455"/>
      <c r="C67" s="455"/>
      <c r="D67" s="455"/>
      <c r="E67" s="455"/>
      <c r="F67" s="455"/>
      <c r="G67" s="455"/>
      <c r="H67" s="456"/>
      <c r="I67" s="104">
        <f>SUMIF($C$3:$C$65,"K",I3:I65)</f>
        <v>19.015999999999998</v>
      </c>
      <c r="J67" s="208" t="s">
        <v>14</v>
      </c>
      <c r="K67" s="100">
        <f>SUMIF($C$3:$C$65,"K",K3:K65)</f>
        <v>67474011.600000009</v>
      </c>
      <c r="L67" s="100">
        <f>SUMIF($C$3:$C$65,"K",L3:L65)</f>
        <v>46967298</v>
      </c>
      <c r="M67" s="100">
        <f>SUMIF($C$3:$C$65,"K",M3:M65)</f>
        <v>20506713.599999998</v>
      </c>
      <c r="N67" s="105" t="s">
        <v>14</v>
      </c>
      <c r="O67" s="100">
        <f t="shared" ref="O67:X67" si="9">SUMIF($C$3:$C$65,"K",O3:O65)</f>
        <v>0</v>
      </c>
      <c r="P67" s="100">
        <f t="shared" si="9"/>
        <v>393500</v>
      </c>
      <c r="Q67" s="101">
        <f t="shared" si="9"/>
        <v>1935500</v>
      </c>
      <c r="R67" s="101">
        <f t="shared" si="9"/>
        <v>17308234</v>
      </c>
      <c r="S67" s="101">
        <f t="shared" si="9"/>
        <v>26001044</v>
      </c>
      <c r="T67" s="101">
        <f t="shared" si="9"/>
        <v>1329020</v>
      </c>
      <c r="U67" s="101">
        <f t="shared" si="9"/>
        <v>0</v>
      </c>
      <c r="V67" s="101">
        <f t="shared" si="9"/>
        <v>0</v>
      </c>
      <c r="W67" s="101">
        <f t="shared" si="9"/>
        <v>0</v>
      </c>
      <c r="X67" s="101">
        <f t="shared" si="9"/>
        <v>0</v>
      </c>
      <c r="Y67" s="152" t="b">
        <f t="shared" si="4"/>
        <v>1</v>
      </c>
      <c r="Z67" s="360">
        <f t="shared" si="5"/>
        <v>0.69610000000000005</v>
      </c>
      <c r="AA67" s="152" t="b">
        <f t="shared" si="6"/>
        <v>0</v>
      </c>
      <c r="AB67" s="152" t="b">
        <f t="shared" si="7"/>
        <v>1</v>
      </c>
    </row>
    <row r="68" spans="1:28" x14ac:dyDescent="0.25">
      <c r="A68" s="451" t="s">
        <v>33</v>
      </c>
      <c r="B68" s="452"/>
      <c r="C68" s="452"/>
      <c r="D68" s="452"/>
      <c r="E68" s="452"/>
      <c r="F68" s="452"/>
      <c r="G68" s="452"/>
      <c r="H68" s="453"/>
      <c r="I68" s="102">
        <f>SUMIF($C$3:$C$65,"N",I3:I65)</f>
        <v>29.797000000000008</v>
      </c>
      <c r="J68" s="162" t="s">
        <v>14</v>
      </c>
      <c r="K68" s="106">
        <f>SUMIF($C$3:$C$65,"N",K3:K65)</f>
        <v>56955495.909999996</v>
      </c>
      <c r="L68" s="106">
        <f>SUMIF($C$3:$C$65,"N",L3:L65)</f>
        <v>36448287</v>
      </c>
      <c r="M68" s="106">
        <f>SUMIF($C$3:$C$65,"N",M3:M65)</f>
        <v>20507208.910000004</v>
      </c>
      <c r="N68" s="103" t="s">
        <v>14</v>
      </c>
      <c r="O68" s="106">
        <f t="shared" ref="O68:X68" si="10">SUMIF($C$3:$C$65,"N",O3:O65)</f>
        <v>0</v>
      </c>
      <c r="P68" s="106">
        <f t="shared" si="10"/>
        <v>0</v>
      </c>
      <c r="Q68" s="136">
        <f t="shared" si="10"/>
        <v>0</v>
      </c>
      <c r="R68" s="136">
        <f t="shared" si="10"/>
        <v>0</v>
      </c>
      <c r="S68" s="136">
        <f t="shared" si="10"/>
        <v>36448287</v>
      </c>
      <c r="T68" s="136">
        <f t="shared" si="10"/>
        <v>0</v>
      </c>
      <c r="U68" s="136">
        <f t="shared" si="10"/>
        <v>0</v>
      </c>
      <c r="V68" s="136">
        <f t="shared" si="10"/>
        <v>0</v>
      </c>
      <c r="W68" s="136">
        <f t="shared" si="10"/>
        <v>0</v>
      </c>
      <c r="X68" s="136">
        <f t="shared" si="10"/>
        <v>0</v>
      </c>
      <c r="Y68" s="152" t="b">
        <f t="shared" ref="Y68:Y69" si="11">L68=SUM(O68:X68)</f>
        <v>1</v>
      </c>
      <c r="Z68" s="360">
        <f t="shared" ref="Z68:Z69" si="12">ROUND(L68/K68,4)</f>
        <v>0.63990000000000002</v>
      </c>
      <c r="AA68" s="152" t="b">
        <f t="shared" ref="AA68:AA69" si="13">Z68=N68</f>
        <v>0</v>
      </c>
      <c r="AB68" s="152" t="b">
        <f t="shared" ref="AB68:AB69" si="14">K68=L68+M68</f>
        <v>1</v>
      </c>
    </row>
    <row r="69" spans="1:28" x14ac:dyDescent="0.25">
      <c r="A69" s="454" t="s">
        <v>34</v>
      </c>
      <c r="B69" s="455"/>
      <c r="C69" s="455"/>
      <c r="D69" s="455"/>
      <c r="E69" s="455"/>
      <c r="F69" s="455"/>
      <c r="G69" s="455"/>
      <c r="H69" s="456"/>
      <c r="I69" s="104">
        <f>SUMIF($C$3:$C$65,"W",I3:I65)</f>
        <v>9.593</v>
      </c>
      <c r="J69" s="208" t="s">
        <v>14</v>
      </c>
      <c r="K69" s="100">
        <f>SUMIF($C$3:$C$65,"W",K3:K65)</f>
        <v>62804162.459999993</v>
      </c>
      <c r="L69" s="100">
        <f>SUMIF($C$3:$C$65,"W",L3:L65)</f>
        <v>42367842</v>
      </c>
      <c r="M69" s="100">
        <f>SUMIF($C$3:$C$65,"W",M3:M65)</f>
        <v>20436320.459999997</v>
      </c>
      <c r="N69" s="105" t="s">
        <v>14</v>
      </c>
      <c r="O69" s="100">
        <f t="shared" ref="O69:X69" si="15">SUMIF($C$3:$C$65,"W",O3:O65)</f>
        <v>0</v>
      </c>
      <c r="P69" s="100">
        <f t="shared" si="15"/>
        <v>0</v>
      </c>
      <c r="Q69" s="101">
        <f t="shared" si="15"/>
        <v>0</v>
      </c>
      <c r="R69" s="101">
        <f t="shared" si="15"/>
        <v>0</v>
      </c>
      <c r="S69" s="101">
        <f t="shared" si="15"/>
        <v>7291285</v>
      </c>
      <c r="T69" s="101">
        <f t="shared" si="15"/>
        <v>26780471</v>
      </c>
      <c r="U69" s="101">
        <f t="shared" si="15"/>
        <v>8296086</v>
      </c>
      <c r="V69" s="101">
        <f t="shared" si="15"/>
        <v>0</v>
      </c>
      <c r="W69" s="101">
        <f t="shared" si="15"/>
        <v>0</v>
      </c>
      <c r="X69" s="101">
        <f t="shared" si="15"/>
        <v>0</v>
      </c>
      <c r="Y69" s="152" t="b">
        <f t="shared" si="11"/>
        <v>1</v>
      </c>
      <c r="Z69" s="360">
        <f t="shared" si="12"/>
        <v>0.67459999999999998</v>
      </c>
      <c r="AA69" s="152" t="b">
        <f t="shared" si="13"/>
        <v>0</v>
      </c>
      <c r="AB69" s="152" t="b">
        <f t="shared" si="14"/>
        <v>1</v>
      </c>
    </row>
    <row r="70" spans="1:28" x14ac:dyDescent="0.25">
      <c r="A70" s="168"/>
      <c r="B70" s="159"/>
      <c r="C70" s="159"/>
      <c r="D70" s="159"/>
      <c r="E70" s="159"/>
      <c r="F70" s="159"/>
      <c r="G70" s="159"/>
      <c r="H70" s="159"/>
      <c r="I70" s="159"/>
      <c r="J70" s="159"/>
      <c r="K70" s="169"/>
      <c r="L70" s="159"/>
      <c r="M70" s="159"/>
      <c r="N70" s="158"/>
      <c r="O70" s="159"/>
      <c r="P70" s="159"/>
      <c r="Q70" s="159"/>
      <c r="R70" s="159"/>
      <c r="S70" s="159"/>
      <c r="T70" s="159"/>
      <c r="U70" s="159"/>
      <c r="V70" s="159"/>
      <c r="W70" s="159"/>
      <c r="X70" s="159"/>
    </row>
    <row r="71" spans="1:28" x14ac:dyDescent="0.25">
      <c r="A71" s="164" t="s">
        <v>24</v>
      </c>
      <c r="B71" s="159"/>
      <c r="C71" s="159"/>
      <c r="D71" s="159"/>
      <c r="E71" s="159"/>
      <c r="F71" s="159"/>
      <c r="G71" s="159"/>
      <c r="H71" s="159"/>
      <c r="I71" s="159"/>
      <c r="J71" s="159"/>
      <c r="K71" s="170"/>
      <c r="L71" s="159"/>
      <c r="M71" s="159"/>
      <c r="N71" s="158"/>
      <c r="O71" s="159"/>
      <c r="P71" s="159"/>
      <c r="Q71" s="159"/>
      <c r="R71" s="159"/>
      <c r="S71" s="159"/>
      <c r="T71" s="159"/>
      <c r="U71" s="159"/>
      <c r="V71" s="159"/>
      <c r="W71" s="159"/>
      <c r="X71" s="159"/>
    </row>
    <row r="72" spans="1:28" x14ac:dyDescent="0.25">
      <c r="A72" s="166" t="s">
        <v>25</v>
      </c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8"/>
      <c r="O72" s="159"/>
      <c r="P72" s="159"/>
      <c r="Q72" s="159"/>
      <c r="R72" s="159"/>
      <c r="S72" s="159"/>
      <c r="T72" s="159"/>
      <c r="U72" s="159"/>
      <c r="V72" s="159"/>
      <c r="W72" s="159"/>
      <c r="X72" s="159"/>
    </row>
    <row r="73" spans="1:28" x14ac:dyDescent="0.25">
      <c r="A73" s="164" t="s">
        <v>37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8"/>
      <c r="O73" s="159"/>
      <c r="P73" s="159"/>
      <c r="Q73" s="159"/>
      <c r="R73" s="159"/>
      <c r="S73" s="159"/>
      <c r="T73" s="159"/>
      <c r="U73" s="159"/>
      <c r="V73" s="159"/>
      <c r="W73" s="159"/>
      <c r="X73" s="159"/>
    </row>
    <row r="74" spans="1:28" x14ac:dyDescent="0.25">
      <c r="A74" s="171" t="s">
        <v>105</v>
      </c>
    </row>
    <row r="76" spans="1:28" x14ac:dyDescent="0.25">
      <c r="K76" s="172"/>
    </row>
  </sheetData>
  <mergeCells count="19">
    <mergeCell ref="O1:X1"/>
    <mergeCell ref="L1:L2"/>
    <mergeCell ref="M1:M2"/>
    <mergeCell ref="H1:H2"/>
    <mergeCell ref="I1:I2"/>
    <mergeCell ref="J1:J2"/>
    <mergeCell ref="K1:K2"/>
    <mergeCell ref="N1:N2"/>
    <mergeCell ref="B66:H66"/>
    <mergeCell ref="A69:H69"/>
    <mergeCell ref="A68:H68"/>
    <mergeCell ref="E1:E2"/>
    <mergeCell ref="A67:H67"/>
    <mergeCell ref="A1:A2"/>
    <mergeCell ref="B1:B2"/>
    <mergeCell ref="C1:C2"/>
    <mergeCell ref="F1:F2"/>
    <mergeCell ref="G1:G2"/>
    <mergeCell ref="D1:D2"/>
  </mergeCells>
  <conditionalFormatting sqref="I20:J20 I29:J29">
    <cfRule type="expression" dxfId="75" priority="261">
      <formula>$P20="p"</formula>
    </cfRule>
    <cfRule type="expression" dxfId="74" priority="262">
      <formula>$P20="k"</formula>
    </cfRule>
    <cfRule type="expression" dxfId="73" priority="263">
      <formula>$O20="odrzucenie"</formula>
    </cfRule>
    <cfRule type="expression" dxfId="72" priority="264">
      <formula>$O20="rezygnacja"</formula>
    </cfRule>
  </conditionalFormatting>
  <conditionalFormatting sqref="B14 B16:B21 B23:B27 B29:B30 B32:B42 B60 B62 B44:B51 B57">
    <cfRule type="expression" dxfId="71" priority="129">
      <formula>$O14="p"</formula>
    </cfRule>
    <cfRule type="expression" dxfId="70" priority="130">
      <formula>$O14="k"</formula>
    </cfRule>
    <cfRule type="expression" dxfId="69" priority="131">
      <formula>$N14="odrzucenie"</formula>
    </cfRule>
    <cfRule type="expression" dxfId="68" priority="132">
      <formula>$N14="rezygnacja"</formula>
    </cfRule>
  </conditionalFormatting>
  <conditionalFormatting sqref="B15 B22 B28 B31 B43 B61 B63:B65 B52:B56 B58:B59">
    <cfRule type="expression" dxfId="67" priority="365">
      <formula>#REF!="p"</formula>
    </cfRule>
    <cfRule type="expression" dxfId="66" priority="366">
      <formula>#REF!="k"</formula>
    </cfRule>
    <cfRule type="expression" dxfId="65" priority="367">
      <formula>$N15="odrzucenie"</formula>
    </cfRule>
    <cfRule type="expression" dxfId="64" priority="368">
      <formula>$N15="rezygnacja"</formula>
    </cfRule>
  </conditionalFormatting>
  <dataValidations count="2">
    <dataValidation type="list" allowBlank="1" showInputMessage="1" showErrorMessage="1" sqref="H3:H5 H7:H11 H14:H65">
      <formula1>"B,P,R"</formula1>
    </dataValidation>
    <dataValidation type="list" allowBlank="1" showInputMessage="1" showErrorMessage="1" sqref="D6:D7 C3:C13">
      <formula1>"N,K,W"</formula1>
    </dataValidation>
  </dataValidations>
  <pageMargins left="0.23622047244094491" right="0.23622047244094491" top="0.55118110236220474" bottom="0.35433070866141736" header="0.31496062992125984" footer="0.31496062992125984"/>
  <pageSetup paperSize="8" scale="61" fitToHeight="0" orientation="landscape" r:id="rId1"/>
  <headerFooter>
    <oddHeader>&amp;LWojewództwo Świętokrzyskie - zadania gminne lista podstawowa</oddHeader>
    <oddFooter>Strona &amp;P z &amp;N</oddFooter>
  </headerFooter>
  <ignoredErrors>
    <ignoredError sqref="O66 T66:X66 P66:S6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A46"/>
  <sheetViews>
    <sheetView showGridLines="0" view="pageBreakPreview" topLeftCell="A13" zoomScale="90" zoomScaleNormal="100" zoomScaleSheetLayoutView="90" workbookViewId="0">
      <selection activeCell="X9" sqref="X9"/>
    </sheetView>
  </sheetViews>
  <sheetFormatPr defaultRowHeight="15" x14ac:dyDescent="0.25"/>
  <cols>
    <col min="1" max="1" width="5" style="153" customWidth="1"/>
    <col min="2" max="2" width="12" style="153" customWidth="1"/>
    <col min="3" max="3" width="14.28515625" style="153" customWidth="1"/>
    <col min="4" max="4" width="14.5703125" style="153" customWidth="1"/>
    <col min="5" max="5" width="10.7109375" style="153" customWidth="1"/>
    <col min="6" max="6" width="46.140625" style="153" customWidth="1"/>
    <col min="7" max="7" width="8.7109375" style="153" customWidth="1"/>
    <col min="8" max="9" width="15.85546875" style="153" customWidth="1"/>
    <col min="10" max="10" width="13.28515625" style="153" customWidth="1"/>
    <col min="11" max="11" width="13.140625" style="153" customWidth="1"/>
    <col min="12" max="12" width="13.7109375" style="153" customWidth="1"/>
    <col min="13" max="13" width="13.85546875" style="161" customWidth="1"/>
    <col min="14" max="15" width="9.85546875" style="153" customWidth="1"/>
    <col min="16" max="16" width="10.7109375" style="153" customWidth="1"/>
    <col min="17" max="17" width="10.85546875" style="153" bestFit="1" customWidth="1"/>
    <col min="18" max="18" width="11.7109375" style="153" bestFit="1" customWidth="1"/>
    <col min="19" max="20" width="11.140625" style="153" bestFit="1" customWidth="1"/>
    <col min="21" max="23" width="9.85546875" style="153" customWidth="1"/>
    <col min="24" max="24" width="9.140625" style="153"/>
    <col min="25" max="25" width="9.140625" style="361"/>
    <col min="26" max="16384" width="9.140625" style="153"/>
  </cols>
  <sheetData>
    <row r="1" spans="1:27" x14ac:dyDescent="0.25">
      <c r="A1" s="457" t="s">
        <v>4</v>
      </c>
      <c r="B1" s="457" t="s">
        <v>5</v>
      </c>
      <c r="C1" s="458" t="s">
        <v>40</v>
      </c>
      <c r="D1" s="460" t="s">
        <v>6</v>
      </c>
      <c r="E1" s="458" t="s">
        <v>28</v>
      </c>
      <c r="F1" s="460" t="s">
        <v>7</v>
      </c>
      <c r="G1" s="457" t="s">
        <v>26</v>
      </c>
      <c r="H1" s="457" t="s">
        <v>8</v>
      </c>
      <c r="I1" s="457" t="s">
        <v>23</v>
      </c>
      <c r="J1" s="457" t="s">
        <v>9</v>
      </c>
      <c r="K1" s="457" t="s">
        <v>10</v>
      </c>
      <c r="L1" s="460" t="s">
        <v>13</v>
      </c>
      <c r="M1" s="457" t="s">
        <v>11</v>
      </c>
      <c r="N1" s="457" t="s">
        <v>12</v>
      </c>
      <c r="O1" s="457"/>
      <c r="P1" s="457"/>
      <c r="Q1" s="457"/>
      <c r="R1" s="457"/>
      <c r="S1" s="457"/>
      <c r="T1" s="457"/>
      <c r="U1" s="457"/>
      <c r="V1" s="457"/>
      <c r="W1" s="457"/>
    </row>
    <row r="2" spans="1:27" x14ac:dyDescent="0.25">
      <c r="A2" s="457"/>
      <c r="B2" s="457"/>
      <c r="C2" s="459"/>
      <c r="D2" s="461"/>
      <c r="E2" s="459"/>
      <c r="F2" s="461"/>
      <c r="G2" s="457"/>
      <c r="H2" s="457"/>
      <c r="I2" s="457"/>
      <c r="J2" s="457"/>
      <c r="K2" s="457"/>
      <c r="L2" s="461"/>
      <c r="M2" s="457"/>
      <c r="N2" s="160">
        <v>2019</v>
      </c>
      <c r="O2" s="160">
        <v>2020</v>
      </c>
      <c r="P2" s="160">
        <v>2021</v>
      </c>
      <c r="Q2" s="160">
        <v>2022</v>
      </c>
      <c r="R2" s="160">
        <v>2023</v>
      </c>
      <c r="S2" s="160">
        <v>2024</v>
      </c>
      <c r="T2" s="160">
        <v>2025</v>
      </c>
      <c r="U2" s="160">
        <v>2026</v>
      </c>
      <c r="V2" s="160">
        <v>2027</v>
      </c>
      <c r="W2" s="160">
        <v>2028</v>
      </c>
    </row>
    <row r="3" spans="1:27" s="256" customFormat="1" ht="33.75" x14ac:dyDescent="0.2">
      <c r="A3" s="188">
        <v>1</v>
      </c>
      <c r="B3" s="199" t="s">
        <v>579</v>
      </c>
      <c r="C3" s="247" t="s">
        <v>77</v>
      </c>
      <c r="D3" s="218" t="s">
        <v>81</v>
      </c>
      <c r="E3" s="219" t="s">
        <v>475</v>
      </c>
      <c r="F3" s="220" t="s">
        <v>580</v>
      </c>
      <c r="G3" s="198" t="s">
        <v>47</v>
      </c>
      <c r="H3" s="201">
        <v>3.5640000000000001</v>
      </c>
      <c r="I3" s="200" t="s">
        <v>189</v>
      </c>
      <c r="J3" s="221">
        <v>6671156.4199999999</v>
      </c>
      <c r="K3" s="278">
        <v>4002693</v>
      </c>
      <c r="L3" s="223">
        <f>J3-K3</f>
        <v>2668463.42</v>
      </c>
      <c r="M3" s="224">
        <v>0.6</v>
      </c>
      <c r="N3" s="225">
        <v>0</v>
      </c>
      <c r="O3" s="225">
        <v>0</v>
      </c>
      <c r="P3" s="225">
        <v>0</v>
      </c>
      <c r="Q3" s="226">
        <v>0</v>
      </c>
      <c r="R3" s="226">
        <v>4002693</v>
      </c>
      <c r="S3" s="227"/>
      <c r="T3" s="227"/>
      <c r="U3" s="227"/>
      <c r="V3" s="227"/>
      <c r="W3" s="227"/>
      <c r="X3" s="256" t="b">
        <f t="shared" ref="X3" si="0">K3=SUM(N3:W3)</f>
        <v>1</v>
      </c>
      <c r="Y3" s="362">
        <f t="shared" ref="Y3" si="1">ROUND(K3/J3,4)</f>
        <v>0.6</v>
      </c>
      <c r="Z3" s="256" t="b">
        <f t="shared" ref="Z3" si="2">Y3=M3</f>
        <v>1</v>
      </c>
      <c r="AA3" s="256" t="b">
        <f t="shared" ref="AA3" si="3">J3=K3+L3</f>
        <v>1</v>
      </c>
    </row>
    <row r="4" spans="1:27" s="256" customFormat="1" ht="11.25" x14ac:dyDescent="0.2">
      <c r="A4" s="188">
        <v>2</v>
      </c>
      <c r="B4" s="276" t="s">
        <v>184</v>
      </c>
      <c r="C4" s="277" t="s">
        <v>77</v>
      </c>
      <c r="D4" s="203" t="s">
        <v>48</v>
      </c>
      <c r="E4" s="284" t="s">
        <v>480</v>
      </c>
      <c r="F4" s="241" t="s">
        <v>185</v>
      </c>
      <c r="G4" s="242" t="s">
        <v>46</v>
      </c>
      <c r="H4" s="243">
        <v>1.829</v>
      </c>
      <c r="I4" s="204" t="s">
        <v>161</v>
      </c>
      <c r="J4" s="244">
        <v>3017016.07</v>
      </c>
      <c r="K4" s="278">
        <f>1810209</f>
        <v>1810209</v>
      </c>
      <c r="L4" s="279">
        <f>J4-K4</f>
        <v>1206807.0699999998</v>
      </c>
      <c r="M4" s="280">
        <v>0.6</v>
      </c>
      <c r="N4" s="281">
        <v>0</v>
      </c>
      <c r="O4" s="281">
        <v>0</v>
      </c>
      <c r="P4" s="281">
        <v>0</v>
      </c>
      <c r="Q4" s="245">
        <v>0</v>
      </c>
      <c r="R4" s="245">
        <f>K4</f>
        <v>1810209</v>
      </c>
      <c r="S4" s="227"/>
      <c r="T4" s="227"/>
      <c r="U4" s="227"/>
      <c r="V4" s="227"/>
      <c r="W4" s="227"/>
      <c r="X4" s="256" t="b">
        <f t="shared" ref="X4:X35" si="4">K4=SUM(N4:W4)</f>
        <v>1</v>
      </c>
      <c r="Y4" s="362">
        <f t="shared" ref="Y4:Y35" si="5">ROUND(K4/J4,4)</f>
        <v>0.6</v>
      </c>
      <c r="Z4" s="256" t="b">
        <f t="shared" ref="Z4:Z35" si="6">Y4=M4</f>
        <v>1</v>
      </c>
      <c r="AA4" s="256" t="b">
        <f t="shared" ref="AA4:AA35" si="7">J4=K4+L4</f>
        <v>1</v>
      </c>
    </row>
    <row r="5" spans="1:27" s="256" customFormat="1" ht="22.5" x14ac:dyDescent="0.2">
      <c r="A5" s="188">
        <v>3</v>
      </c>
      <c r="B5" s="265" t="s">
        <v>358</v>
      </c>
      <c r="C5" s="266" t="s">
        <v>77</v>
      </c>
      <c r="D5" s="267" t="s">
        <v>48</v>
      </c>
      <c r="E5" s="219" t="s">
        <v>480</v>
      </c>
      <c r="F5" s="268" t="s">
        <v>357</v>
      </c>
      <c r="G5" s="269" t="s">
        <v>46</v>
      </c>
      <c r="H5" s="270">
        <v>3.125</v>
      </c>
      <c r="I5" s="271" t="s">
        <v>161</v>
      </c>
      <c r="J5" s="272">
        <v>5610434.8799999999</v>
      </c>
      <c r="K5" s="222">
        <v>3366260</v>
      </c>
      <c r="L5" s="223">
        <f>J5-K5</f>
        <v>2244174.88</v>
      </c>
      <c r="M5" s="224">
        <v>0.6</v>
      </c>
      <c r="N5" s="273">
        <v>0</v>
      </c>
      <c r="O5" s="273">
        <v>0</v>
      </c>
      <c r="P5" s="273">
        <v>0</v>
      </c>
      <c r="Q5" s="274">
        <v>0</v>
      </c>
      <c r="R5" s="226">
        <v>3366260</v>
      </c>
      <c r="S5" s="227"/>
      <c r="T5" s="227"/>
      <c r="U5" s="227"/>
      <c r="V5" s="227"/>
      <c r="W5" s="227"/>
      <c r="X5" s="256" t="b">
        <f t="shared" si="4"/>
        <v>1</v>
      </c>
      <c r="Y5" s="362">
        <f t="shared" si="5"/>
        <v>0.6</v>
      </c>
      <c r="Z5" s="256" t="b">
        <f t="shared" si="6"/>
        <v>1</v>
      </c>
      <c r="AA5" s="256" t="b">
        <f t="shared" si="7"/>
        <v>1</v>
      </c>
    </row>
    <row r="6" spans="1:27" s="256" customFormat="1" ht="11.25" x14ac:dyDescent="0.2">
      <c r="A6" s="188">
        <v>4</v>
      </c>
      <c r="B6" s="199" t="s">
        <v>356</v>
      </c>
      <c r="C6" s="247" t="s">
        <v>77</v>
      </c>
      <c r="D6" s="218" t="s">
        <v>48</v>
      </c>
      <c r="E6" s="219" t="s">
        <v>480</v>
      </c>
      <c r="F6" s="220" t="s">
        <v>355</v>
      </c>
      <c r="G6" s="198" t="s">
        <v>46</v>
      </c>
      <c r="H6" s="201">
        <v>2.9729999999999999</v>
      </c>
      <c r="I6" s="200" t="s">
        <v>161</v>
      </c>
      <c r="J6" s="221">
        <v>5628095.3200000003</v>
      </c>
      <c r="K6" s="222">
        <v>3376857</v>
      </c>
      <c r="L6" s="223">
        <f t="shared" ref="L6:L32" si="8">J6-K6</f>
        <v>2251238.3200000003</v>
      </c>
      <c r="M6" s="224">
        <v>0.6</v>
      </c>
      <c r="N6" s="225">
        <v>0</v>
      </c>
      <c r="O6" s="225">
        <v>0</v>
      </c>
      <c r="P6" s="225">
        <v>0</v>
      </c>
      <c r="Q6" s="226">
        <v>0</v>
      </c>
      <c r="R6" s="226">
        <v>3376857</v>
      </c>
      <c r="S6" s="227"/>
      <c r="T6" s="227"/>
      <c r="U6" s="227"/>
      <c r="V6" s="227"/>
      <c r="W6" s="227"/>
      <c r="X6" s="256" t="b">
        <f t="shared" si="4"/>
        <v>1</v>
      </c>
      <c r="Y6" s="362">
        <f t="shared" si="5"/>
        <v>0.6</v>
      </c>
      <c r="Z6" s="256" t="b">
        <f t="shared" si="6"/>
        <v>1</v>
      </c>
      <c r="AA6" s="256" t="b">
        <f t="shared" si="7"/>
        <v>1</v>
      </c>
    </row>
    <row r="7" spans="1:27" s="256" customFormat="1" ht="33.75" x14ac:dyDescent="0.2">
      <c r="A7" s="188">
        <v>5</v>
      </c>
      <c r="B7" s="199" t="s">
        <v>350</v>
      </c>
      <c r="C7" s="247" t="s">
        <v>77</v>
      </c>
      <c r="D7" s="218" t="s">
        <v>78</v>
      </c>
      <c r="E7" s="219" t="s">
        <v>479</v>
      </c>
      <c r="F7" s="220" t="s">
        <v>490</v>
      </c>
      <c r="G7" s="198" t="s">
        <v>47</v>
      </c>
      <c r="H7" s="201">
        <v>0.152</v>
      </c>
      <c r="I7" s="200" t="s">
        <v>188</v>
      </c>
      <c r="J7" s="221">
        <v>335771.62</v>
      </c>
      <c r="K7" s="278">
        <v>167885</v>
      </c>
      <c r="L7" s="223">
        <f t="shared" si="8"/>
        <v>167886.62</v>
      </c>
      <c r="M7" s="224">
        <v>0.5</v>
      </c>
      <c r="N7" s="225">
        <v>0</v>
      </c>
      <c r="O7" s="225">
        <v>0</v>
      </c>
      <c r="P7" s="225">
        <v>0</v>
      </c>
      <c r="Q7" s="226">
        <v>0</v>
      </c>
      <c r="R7" s="226">
        <v>167885</v>
      </c>
      <c r="S7" s="227"/>
      <c r="T7" s="227"/>
      <c r="U7" s="227"/>
      <c r="V7" s="227"/>
      <c r="W7" s="227"/>
      <c r="X7" s="256" t="b">
        <f t="shared" si="4"/>
        <v>1</v>
      </c>
      <c r="Y7" s="362">
        <f t="shared" si="5"/>
        <v>0.5</v>
      </c>
      <c r="Z7" s="256" t="b">
        <f t="shared" si="6"/>
        <v>1</v>
      </c>
      <c r="AA7" s="256" t="b">
        <f t="shared" si="7"/>
        <v>1</v>
      </c>
    </row>
    <row r="8" spans="1:27" s="256" customFormat="1" ht="56.25" x14ac:dyDescent="0.2">
      <c r="A8" s="189">
        <v>6</v>
      </c>
      <c r="B8" s="197" t="s">
        <v>354</v>
      </c>
      <c r="C8" s="248" t="s">
        <v>169</v>
      </c>
      <c r="D8" s="228" t="s">
        <v>98</v>
      </c>
      <c r="E8" s="229" t="s">
        <v>484</v>
      </c>
      <c r="F8" s="230" t="s">
        <v>353</v>
      </c>
      <c r="G8" s="231" t="s">
        <v>43</v>
      </c>
      <c r="H8" s="232">
        <v>1.635</v>
      </c>
      <c r="I8" s="233" t="s">
        <v>171</v>
      </c>
      <c r="J8" s="234">
        <v>8400000</v>
      </c>
      <c r="K8" s="319">
        <v>5880000</v>
      </c>
      <c r="L8" s="236">
        <f t="shared" si="8"/>
        <v>2520000</v>
      </c>
      <c r="M8" s="237">
        <v>0.7</v>
      </c>
      <c r="N8" s="238">
        <v>0</v>
      </c>
      <c r="O8" s="238">
        <v>0</v>
      </c>
      <c r="P8" s="238">
        <v>0</v>
      </c>
      <c r="Q8" s="196">
        <v>0</v>
      </c>
      <c r="R8" s="196">
        <v>140000</v>
      </c>
      <c r="S8" s="239">
        <v>5740000</v>
      </c>
      <c r="T8" s="227"/>
      <c r="U8" s="227"/>
      <c r="V8" s="227"/>
      <c r="W8" s="227"/>
      <c r="X8" s="256" t="b">
        <f>K8=SUM(N8:W8)</f>
        <v>1</v>
      </c>
      <c r="Y8" s="362">
        <f t="shared" si="5"/>
        <v>0.7</v>
      </c>
      <c r="Z8" s="256" t="b">
        <f t="shared" si="6"/>
        <v>1</v>
      </c>
      <c r="AA8" s="256" t="b">
        <f t="shared" si="7"/>
        <v>1</v>
      </c>
    </row>
    <row r="9" spans="1:27" s="256" customFormat="1" ht="11.25" x14ac:dyDescent="0.2">
      <c r="A9" s="188">
        <v>7</v>
      </c>
      <c r="B9" s="276" t="s">
        <v>159</v>
      </c>
      <c r="C9" s="277" t="s">
        <v>77</v>
      </c>
      <c r="D9" s="203" t="s">
        <v>48</v>
      </c>
      <c r="E9" s="284" t="s">
        <v>480</v>
      </c>
      <c r="F9" s="241" t="s">
        <v>160</v>
      </c>
      <c r="G9" s="242" t="s">
        <v>46</v>
      </c>
      <c r="H9" s="243">
        <v>5.2450000000000001</v>
      </c>
      <c r="I9" s="204" t="s">
        <v>161</v>
      </c>
      <c r="J9" s="244">
        <v>9322843.4399999995</v>
      </c>
      <c r="K9" s="278">
        <f>ROUNDDOWN(J9*M9,0)</f>
        <v>5593706</v>
      </c>
      <c r="L9" s="279">
        <f t="shared" si="8"/>
        <v>3729137.4399999995</v>
      </c>
      <c r="M9" s="280">
        <v>0.6</v>
      </c>
      <c r="N9" s="281">
        <v>0</v>
      </c>
      <c r="O9" s="281">
        <v>0</v>
      </c>
      <c r="P9" s="281">
        <v>0</v>
      </c>
      <c r="Q9" s="245">
        <v>0</v>
      </c>
      <c r="R9" s="245">
        <f>K9</f>
        <v>5593706</v>
      </c>
      <c r="S9" s="239"/>
      <c r="T9" s="227"/>
      <c r="U9" s="227"/>
      <c r="V9" s="227"/>
      <c r="W9" s="227"/>
      <c r="X9" s="256" t="b">
        <f t="shared" si="4"/>
        <v>1</v>
      </c>
      <c r="Y9" s="362">
        <f t="shared" si="5"/>
        <v>0.6</v>
      </c>
      <c r="Z9" s="256" t="b">
        <f t="shared" si="6"/>
        <v>1</v>
      </c>
      <c r="AA9" s="256" t="b">
        <f t="shared" si="7"/>
        <v>1</v>
      </c>
    </row>
    <row r="10" spans="1:27" s="256" customFormat="1" ht="22.5" x14ac:dyDescent="0.2">
      <c r="A10" s="188">
        <v>8</v>
      </c>
      <c r="B10" s="199" t="s">
        <v>347</v>
      </c>
      <c r="C10" s="247" t="s">
        <v>77</v>
      </c>
      <c r="D10" s="218" t="s">
        <v>48</v>
      </c>
      <c r="E10" s="219" t="s">
        <v>480</v>
      </c>
      <c r="F10" s="220" t="s">
        <v>346</v>
      </c>
      <c r="G10" s="198" t="s">
        <v>46</v>
      </c>
      <c r="H10" s="201">
        <v>1.3320000000000001</v>
      </c>
      <c r="I10" s="200" t="s">
        <v>161</v>
      </c>
      <c r="J10" s="221">
        <v>2305755.36</v>
      </c>
      <c r="K10" s="278">
        <v>1383453</v>
      </c>
      <c r="L10" s="223">
        <f t="shared" si="8"/>
        <v>922302.35999999987</v>
      </c>
      <c r="M10" s="224">
        <v>0.6</v>
      </c>
      <c r="N10" s="225">
        <v>0</v>
      </c>
      <c r="O10" s="225">
        <v>0</v>
      </c>
      <c r="P10" s="225">
        <v>0</v>
      </c>
      <c r="Q10" s="226">
        <v>0</v>
      </c>
      <c r="R10" s="226">
        <v>1383453</v>
      </c>
      <c r="S10" s="227"/>
      <c r="T10" s="227"/>
      <c r="U10" s="227"/>
      <c r="V10" s="227"/>
      <c r="W10" s="227"/>
      <c r="X10" s="256" t="b">
        <f t="shared" si="4"/>
        <v>1</v>
      </c>
      <c r="Y10" s="362">
        <f t="shared" si="5"/>
        <v>0.6</v>
      </c>
      <c r="Z10" s="256" t="b">
        <f t="shared" si="6"/>
        <v>1</v>
      </c>
      <c r="AA10" s="256" t="b">
        <f t="shared" si="7"/>
        <v>1</v>
      </c>
    </row>
    <row r="11" spans="1:27" s="256" customFormat="1" ht="56.25" x14ac:dyDescent="0.2">
      <c r="A11" s="188">
        <v>9</v>
      </c>
      <c r="B11" s="199" t="s">
        <v>345</v>
      </c>
      <c r="C11" s="247" t="s">
        <v>77</v>
      </c>
      <c r="D11" s="218" t="s">
        <v>104</v>
      </c>
      <c r="E11" s="219" t="s">
        <v>481</v>
      </c>
      <c r="F11" s="220" t="s">
        <v>491</v>
      </c>
      <c r="G11" s="198" t="s">
        <v>46</v>
      </c>
      <c r="H11" s="201">
        <v>4.335</v>
      </c>
      <c r="I11" s="200" t="s">
        <v>177</v>
      </c>
      <c r="J11" s="221">
        <v>3534820.47</v>
      </c>
      <c r="K11" s="278">
        <v>2120892</v>
      </c>
      <c r="L11" s="223">
        <f t="shared" si="8"/>
        <v>1413928.4700000002</v>
      </c>
      <c r="M11" s="224">
        <v>0.6</v>
      </c>
      <c r="N11" s="225">
        <v>0</v>
      </c>
      <c r="O11" s="225">
        <v>0</v>
      </c>
      <c r="P11" s="225">
        <v>0</v>
      </c>
      <c r="Q11" s="226">
        <v>0</v>
      </c>
      <c r="R11" s="226">
        <v>2120892</v>
      </c>
      <c r="S11" s="227"/>
      <c r="T11" s="227"/>
      <c r="U11" s="227"/>
      <c r="V11" s="227"/>
      <c r="W11" s="227"/>
      <c r="X11" s="256" t="b">
        <f t="shared" si="4"/>
        <v>1</v>
      </c>
      <c r="Y11" s="362">
        <f t="shared" si="5"/>
        <v>0.6</v>
      </c>
      <c r="Z11" s="256" t="b">
        <f t="shared" si="6"/>
        <v>1</v>
      </c>
      <c r="AA11" s="256" t="b">
        <f t="shared" si="7"/>
        <v>1</v>
      </c>
    </row>
    <row r="12" spans="1:27" s="256" customFormat="1" ht="11.25" x14ac:dyDescent="0.2">
      <c r="A12" s="188">
        <v>10</v>
      </c>
      <c r="B12" s="199" t="s">
        <v>338</v>
      </c>
      <c r="C12" s="247" t="s">
        <v>77</v>
      </c>
      <c r="D12" s="218" t="s">
        <v>48</v>
      </c>
      <c r="E12" s="219" t="s">
        <v>480</v>
      </c>
      <c r="F12" s="220" t="s">
        <v>337</v>
      </c>
      <c r="G12" s="198" t="s">
        <v>46</v>
      </c>
      <c r="H12" s="201">
        <v>1.637</v>
      </c>
      <c r="I12" s="200" t="s">
        <v>161</v>
      </c>
      <c r="J12" s="221">
        <v>2848324.73</v>
      </c>
      <c r="K12" s="278">
        <v>1708994</v>
      </c>
      <c r="L12" s="223">
        <f t="shared" si="8"/>
        <v>1139330.73</v>
      </c>
      <c r="M12" s="224">
        <v>0.6</v>
      </c>
      <c r="N12" s="225">
        <v>0</v>
      </c>
      <c r="O12" s="225">
        <v>0</v>
      </c>
      <c r="P12" s="225">
        <v>0</v>
      </c>
      <c r="Q12" s="226">
        <v>0</v>
      </c>
      <c r="R12" s="226">
        <v>1708994</v>
      </c>
      <c r="S12" s="227"/>
      <c r="T12" s="227"/>
      <c r="U12" s="227"/>
      <c r="V12" s="227"/>
      <c r="W12" s="227"/>
      <c r="X12" s="256" t="b">
        <f t="shared" si="4"/>
        <v>1</v>
      </c>
      <c r="Y12" s="362">
        <f t="shared" si="5"/>
        <v>0.6</v>
      </c>
      <c r="Z12" s="256" t="b">
        <f t="shared" si="6"/>
        <v>1</v>
      </c>
      <c r="AA12" s="256" t="b">
        <f t="shared" si="7"/>
        <v>1</v>
      </c>
    </row>
    <row r="13" spans="1:27" s="256" customFormat="1" ht="33.75" x14ac:dyDescent="0.2">
      <c r="A13" s="188">
        <v>11</v>
      </c>
      <c r="B13" s="199" t="s">
        <v>336</v>
      </c>
      <c r="C13" s="247" t="s">
        <v>77</v>
      </c>
      <c r="D13" s="218" t="s">
        <v>50</v>
      </c>
      <c r="E13" s="219" t="s">
        <v>485</v>
      </c>
      <c r="F13" s="220" t="s">
        <v>335</v>
      </c>
      <c r="G13" s="198" t="s">
        <v>47</v>
      </c>
      <c r="H13" s="201">
        <v>0.995</v>
      </c>
      <c r="I13" s="200" t="s">
        <v>174</v>
      </c>
      <c r="J13" s="221">
        <v>1105351.8</v>
      </c>
      <c r="K13" s="278">
        <v>773746</v>
      </c>
      <c r="L13" s="223">
        <f t="shared" si="8"/>
        <v>331605.80000000005</v>
      </c>
      <c r="M13" s="224">
        <v>0.7</v>
      </c>
      <c r="N13" s="225">
        <v>0</v>
      </c>
      <c r="O13" s="225">
        <v>0</v>
      </c>
      <c r="P13" s="225">
        <v>0</v>
      </c>
      <c r="Q13" s="226">
        <v>0</v>
      </c>
      <c r="R13" s="226">
        <v>773746</v>
      </c>
      <c r="S13" s="227"/>
      <c r="T13" s="227"/>
      <c r="U13" s="227"/>
      <c r="V13" s="227"/>
      <c r="W13" s="227"/>
      <c r="X13" s="256" t="b">
        <f t="shared" si="4"/>
        <v>1</v>
      </c>
      <c r="Y13" s="362">
        <f t="shared" si="5"/>
        <v>0.7</v>
      </c>
      <c r="Z13" s="256" t="b">
        <f t="shared" si="6"/>
        <v>1</v>
      </c>
      <c r="AA13" s="256" t="b">
        <f t="shared" si="7"/>
        <v>1</v>
      </c>
    </row>
    <row r="14" spans="1:27" s="256" customFormat="1" ht="22.5" x14ac:dyDescent="0.2">
      <c r="A14" s="188">
        <v>12</v>
      </c>
      <c r="B14" s="199" t="s">
        <v>330</v>
      </c>
      <c r="C14" s="247" t="s">
        <v>77</v>
      </c>
      <c r="D14" s="218" t="s">
        <v>79</v>
      </c>
      <c r="E14" s="219" t="s">
        <v>476</v>
      </c>
      <c r="F14" s="220" t="s">
        <v>329</v>
      </c>
      <c r="G14" s="198" t="s">
        <v>47</v>
      </c>
      <c r="H14" s="201">
        <v>0.83</v>
      </c>
      <c r="I14" s="200" t="s">
        <v>194</v>
      </c>
      <c r="J14" s="221">
        <v>805128.46</v>
      </c>
      <c r="K14" s="278">
        <v>563589</v>
      </c>
      <c r="L14" s="223">
        <f t="shared" si="8"/>
        <v>241539.45999999996</v>
      </c>
      <c r="M14" s="224">
        <v>0.7</v>
      </c>
      <c r="N14" s="225">
        <v>0</v>
      </c>
      <c r="O14" s="225">
        <v>0</v>
      </c>
      <c r="P14" s="225">
        <v>0</v>
      </c>
      <c r="Q14" s="226">
        <v>0</v>
      </c>
      <c r="R14" s="226">
        <v>563589</v>
      </c>
      <c r="S14" s="227"/>
      <c r="T14" s="227"/>
      <c r="U14" s="227"/>
      <c r="V14" s="227"/>
      <c r="W14" s="227"/>
      <c r="X14" s="256" t="b">
        <f t="shared" si="4"/>
        <v>1</v>
      </c>
      <c r="Y14" s="362">
        <f t="shared" si="5"/>
        <v>0.7</v>
      </c>
      <c r="Z14" s="256" t="b">
        <f t="shared" si="6"/>
        <v>1</v>
      </c>
      <c r="AA14" s="256" t="b">
        <f t="shared" si="7"/>
        <v>1</v>
      </c>
    </row>
    <row r="15" spans="1:27" s="256" customFormat="1" ht="22.5" x14ac:dyDescent="0.2">
      <c r="A15" s="188">
        <v>13</v>
      </c>
      <c r="B15" s="199" t="s">
        <v>328</v>
      </c>
      <c r="C15" s="247" t="s">
        <v>77</v>
      </c>
      <c r="D15" s="218" t="s">
        <v>81</v>
      </c>
      <c r="E15" s="219" t="s">
        <v>475</v>
      </c>
      <c r="F15" s="220" t="s">
        <v>327</v>
      </c>
      <c r="G15" s="198" t="s">
        <v>47</v>
      </c>
      <c r="H15" s="201">
        <v>0.57999999999999996</v>
      </c>
      <c r="I15" s="200" t="s">
        <v>326</v>
      </c>
      <c r="J15" s="221">
        <v>357844.72</v>
      </c>
      <c r="K15" s="278">
        <v>214706</v>
      </c>
      <c r="L15" s="223">
        <f t="shared" si="8"/>
        <v>143138.71999999997</v>
      </c>
      <c r="M15" s="224">
        <v>0.6</v>
      </c>
      <c r="N15" s="225">
        <v>0</v>
      </c>
      <c r="O15" s="225">
        <v>0</v>
      </c>
      <c r="P15" s="225">
        <v>0</v>
      </c>
      <c r="Q15" s="226">
        <v>0</v>
      </c>
      <c r="R15" s="226">
        <v>214706</v>
      </c>
      <c r="S15" s="227"/>
      <c r="T15" s="227"/>
      <c r="U15" s="227"/>
      <c r="V15" s="227"/>
      <c r="W15" s="227"/>
      <c r="X15" s="256" t="b">
        <f t="shared" si="4"/>
        <v>1</v>
      </c>
      <c r="Y15" s="362">
        <f t="shared" si="5"/>
        <v>0.6</v>
      </c>
      <c r="Z15" s="256" t="b">
        <f t="shared" si="6"/>
        <v>1</v>
      </c>
      <c r="AA15" s="256" t="b">
        <f t="shared" si="7"/>
        <v>1</v>
      </c>
    </row>
    <row r="16" spans="1:27" s="256" customFormat="1" ht="22.5" x14ac:dyDescent="0.2">
      <c r="A16" s="188">
        <v>14</v>
      </c>
      <c r="B16" s="199" t="s">
        <v>325</v>
      </c>
      <c r="C16" s="247" t="s">
        <v>77</v>
      </c>
      <c r="D16" s="218" t="s">
        <v>79</v>
      </c>
      <c r="E16" s="219" t="s">
        <v>476</v>
      </c>
      <c r="F16" s="220" t="s">
        <v>324</v>
      </c>
      <c r="G16" s="198" t="s">
        <v>47</v>
      </c>
      <c r="H16" s="201">
        <v>0.51</v>
      </c>
      <c r="I16" s="200" t="s">
        <v>194</v>
      </c>
      <c r="J16" s="221">
        <v>1066067.7</v>
      </c>
      <c r="K16" s="278">
        <v>746247</v>
      </c>
      <c r="L16" s="223">
        <f t="shared" si="8"/>
        <v>319820.69999999995</v>
      </c>
      <c r="M16" s="224">
        <v>0.7</v>
      </c>
      <c r="N16" s="225">
        <v>0</v>
      </c>
      <c r="O16" s="225">
        <v>0</v>
      </c>
      <c r="P16" s="225">
        <v>0</v>
      </c>
      <c r="Q16" s="226">
        <v>0</v>
      </c>
      <c r="R16" s="226">
        <v>746247</v>
      </c>
      <c r="S16" s="227"/>
      <c r="T16" s="227"/>
      <c r="U16" s="227"/>
      <c r="V16" s="227"/>
      <c r="W16" s="227"/>
      <c r="X16" s="256" t="b">
        <f t="shared" si="4"/>
        <v>1</v>
      </c>
      <c r="Y16" s="362">
        <f t="shared" si="5"/>
        <v>0.7</v>
      </c>
      <c r="Z16" s="256" t="b">
        <f t="shared" si="6"/>
        <v>1</v>
      </c>
      <c r="AA16" s="256" t="b">
        <f t="shared" si="7"/>
        <v>1</v>
      </c>
    </row>
    <row r="17" spans="1:27" s="256" customFormat="1" ht="22.5" x14ac:dyDescent="0.2">
      <c r="A17" s="188">
        <v>15</v>
      </c>
      <c r="B17" s="199" t="s">
        <v>323</v>
      </c>
      <c r="C17" s="247" t="s">
        <v>77</v>
      </c>
      <c r="D17" s="218" t="s">
        <v>48</v>
      </c>
      <c r="E17" s="219" t="s">
        <v>480</v>
      </c>
      <c r="F17" s="220" t="s">
        <v>322</v>
      </c>
      <c r="G17" s="198" t="s">
        <v>46</v>
      </c>
      <c r="H17" s="201">
        <v>0.42799999999999999</v>
      </c>
      <c r="I17" s="200" t="s">
        <v>161</v>
      </c>
      <c r="J17" s="221">
        <v>3316459.91</v>
      </c>
      <c r="K17" s="278">
        <v>1989875</v>
      </c>
      <c r="L17" s="223">
        <f t="shared" si="8"/>
        <v>1326584.9100000001</v>
      </c>
      <c r="M17" s="224">
        <v>0.6</v>
      </c>
      <c r="N17" s="225">
        <v>0</v>
      </c>
      <c r="O17" s="225">
        <v>0</v>
      </c>
      <c r="P17" s="225">
        <v>0</v>
      </c>
      <c r="Q17" s="226">
        <v>0</v>
      </c>
      <c r="R17" s="226">
        <v>1989875</v>
      </c>
      <c r="S17" s="227"/>
      <c r="T17" s="227"/>
      <c r="U17" s="227"/>
      <c r="V17" s="227"/>
      <c r="W17" s="227"/>
      <c r="X17" s="256" t="b">
        <f t="shared" si="4"/>
        <v>1</v>
      </c>
      <c r="Y17" s="362">
        <f t="shared" si="5"/>
        <v>0.6</v>
      </c>
      <c r="Z17" s="256" t="b">
        <f t="shared" si="6"/>
        <v>1</v>
      </c>
      <c r="AA17" s="256" t="b">
        <f t="shared" si="7"/>
        <v>1</v>
      </c>
    </row>
    <row r="18" spans="1:27" s="256" customFormat="1" ht="22.5" x14ac:dyDescent="0.2">
      <c r="A18" s="188">
        <v>16</v>
      </c>
      <c r="B18" s="199" t="s">
        <v>321</v>
      </c>
      <c r="C18" s="247" t="s">
        <v>77</v>
      </c>
      <c r="D18" s="218" t="s">
        <v>80</v>
      </c>
      <c r="E18" s="219" t="s">
        <v>482</v>
      </c>
      <c r="F18" s="220" t="s">
        <v>320</v>
      </c>
      <c r="G18" s="198" t="s">
        <v>47</v>
      </c>
      <c r="H18" s="201">
        <v>0.215</v>
      </c>
      <c r="I18" s="200" t="s">
        <v>188</v>
      </c>
      <c r="J18" s="221">
        <v>685304.83</v>
      </c>
      <c r="K18" s="278">
        <v>548243</v>
      </c>
      <c r="L18" s="223">
        <f t="shared" si="8"/>
        <v>137061.82999999996</v>
      </c>
      <c r="M18" s="224">
        <v>0.8</v>
      </c>
      <c r="N18" s="225">
        <v>0</v>
      </c>
      <c r="O18" s="225">
        <v>0</v>
      </c>
      <c r="P18" s="225">
        <v>0</v>
      </c>
      <c r="Q18" s="226">
        <v>0</v>
      </c>
      <c r="R18" s="226">
        <v>548243</v>
      </c>
      <c r="S18" s="227"/>
      <c r="T18" s="227"/>
      <c r="U18" s="227"/>
      <c r="V18" s="227"/>
      <c r="W18" s="227"/>
      <c r="X18" s="256" t="b">
        <f t="shared" si="4"/>
        <v>1</v>
      </c>
      <c r="Y18" s="362">
        <f t="shared" si="5"/>
        <v>0.8</v>
      </c>
      <c r="Z18" s="256" t="b">
        <f t="shared" si="6"/>
        <v>1</v>
      </c>
      <c r="AA18" s="256" t="b">
        <f t="shared" si="7"/>
        <v>1</v>
      </c>
    </row>
    <row r="19" spans="1:27" s="256" customFormat="1" ht="33.75" x14ac:dyDescent="0.2">
      <c r="A19" s="189">
        <v>17</v>
      </c>
      <c r="B19" s="197" t="s">
        <v>319</v>
      </c>
      <c r="C19" s="248" t="s">
        <v>169</v>
      </c>
      <c r="D19" s="228" t="s">
        <v>42</v>
      </c>
      <c r="E19" s="229" t="s">
        <v>477</v>
      </c>
      <c r="F19" s="230" t="s">
        <v>318</v>
      </c>
      <c r="G19" s="231" t="s">
        <v>43</v>
      </c>
      <c r="H19" s="232">
        <v>3.5249999999999999</v>
      </c>
      <c r="I19" s="233" t="s">
        <v>315</v>
      </c>
      <c r="J19" s="234">
        <v>7260668.7199999997</v>
      </c>
      <c r="K19" s="319">
        <v>4356401</v>
      </c>
      <c r="L19" s="236">
        <f t="shared" si="8"/>
        <v>2904267.7199999997</v>
      </c>
      <c r="M19" s="237">
        <v>0.6</v>
      </c>
      <c r="N19" s="238">
        <v>0</v>
      </c>
      <c r="O19" s="238">
        <v>0</v>
      </c>
      <c r="P19" s="238">
        <v>0</v>
      </c>
      <c r="Q19" s="196">
        <v>0</v>
      </c>
      <c r="R19" s="264">
        <v>64575</v>
      </c>
      <c r="S19" s="285">
        <v>64575</v>
      </c>
      <c r="T19" s="285">
        <v>2400000</v>
      </c>
      <c r="U19" s="285">
        <v>1827251</v>
      </c>
      <c r="V19" s="227"/>
      <c r="W19" s="227"/>
      <c r="X19" s="256" t="b">
        <f t="shared" si="4"/>
        <v>1</v>
      </c>
      <c r="Y19" s="362">
        <f t="shared" si="5"/>
        <v>0.6</v>
      </c>
      <c r="Z19" s="256" t="b">
        <f t="shared" si="6"/>
        <v>1</v>
      </c>
      <c r="AA19" s="256" t="b">
        <f t="shared" si="7"/>
        <v>1</v>
      </c>
    </row>
    <row r="20" spans="1:27" s="256" customFormat="1" ht="22.5" x14ac:dyDescent="0.2">
      <c r="A20" s="189">
        <v>18</v>
      </c>
      <c r="B20" s="197" t="s">
        <v>317</v>
      </c>
      <c r="C20" s="248" t="s">
        <v>169</v>
      </c>
      <c r="D20" s="228" t="s">
        <v>42</v>
      </c>
      <c r="E20" s="229" t="s">
        <v>477</v>
      </c>
      <c r="F20" s="230" t="s">
        <v>316</v>
      </c>
      <c r="G20" s="231" t="s">
        <v>47</v>
      </c>
      <c r="H20" s="232">
        <v>2.968</v>
      </c>
      <c r="I20" s="233" t="s">
        <v>315</v>
      </c>
      <c r="J20" s="234">
        <v>9985631.4499999993</v>
      </c>
      <c r="K20" s="319">
        <v>5991378</v>
      </c>
      <c r="L20" s="236">
        <f t="shared" si="8"/>
        <v>3994253.4499999993</v>
      </c>
      <c r="M20" s="237">
        <v>0.6</v>
      </c>
      <c r="N20" s="238">
        <v>0</v>
      </c>
      <c r="O20" s="238">
        <v>0</v>
      </c>
      <c r="P20" s="238">
        <v>0</v>
      </c>
      <c r="Q20" s="196">
        <v>0</v>
      </c>
      <c r="R20" s="196">
        <v>114390</v>
      </c>
      <c r="S20" s="239">
        <v>114390</v>
      </c>
      <c r="T20" s="239">
        <v>2880000</v>
      </c>
      <c r="U20" s="239">
        <v>2882598</v>
      </c>
      <c r="V20" s="227"/>
      <c r="W20" s="227"/>
      <c r="X20" s="256" t="b">
        <f t="shared" si="4"/>
        <v>1</v>
      </c>
      <c r="Y20" s="362">
        <f t="shared" si="5"/>
        <v>0.6</v>
      </c>
      <c r="Z20" s="256" t="b">
        <f t="shared" si="6"/>
        <v>1</v>
      </c>
      <c r="AA20" s="256" t="b">
        <f t="shared" si="7"/>
        <v>1</v>
      </c>
    </row>
    <row r="21" spans="1:27" s="256" customFormat="1" ht="33.75" x14ac:dyDescent="0.2">
      <c r="A21" s="188">
        <v>19</v>
      </c>
      <c r="B21" s="199" t="s">
        <v>314</v>
      </c>
      <c r="C21" s="247" t="s">
        <v>77</v>
      </c>
      <c r="D21" s="218" t="s">
        <v>50</v>
      </c>
      <c r="E21" s="219" t="s">
        <v>485</v>
      </c>
      <c r="F21" s="220" t="s">
        <v>313</v>
      </c>
      <c r="G21" s="198" t="s">
        <v>46</v>
      </c>
      <c r="H21" s="201">
        <v>2.38</v>
      </c>
      <c r="I21" s="200" t="s">
        <v>174</v>
      </c>
      <c r="J21" s="221">
        <v>1359715.8</v>
      </c>
      <c r="K21" s="278">
        <v>951801</v>
      </c>
      <c r="L21" s="223">
        <f t="shared" si="8"/>
        <v>407914.80000000005</v>
      </c>
      <c r="M21" s="224">
        <v>0.7</v>
      </c>
      <c r="N21" s="225">
        <v>0</v>
      </c>
      <c r="O21" s="225">
        <v>0</v>
      </c>
      <c r="P21" s="225">
        <v>0</v>
      </c>
      <c r="Q21" s="226">
        <v>0</v>
      </c>
      <c r="R21" s="226">
        <v>951801</v>
      </c>
      <c r="S21" s="239"/>
      <c r="T21" s="239"/>
      <c r="U21" s="239"/>
      <c r="V21" s="227"/>
      <c r="W21" s="227"/>
      <c r="X21" s="256" t="b">
        <f t="shared" si="4"/>
        <v>1</v>
      </c>
      <c r="Y21" s="362">
        <f t="shared" si="5"/>
        <v>0.7</v>
      </c>
      <c r="Z21" s="256" t="b">
        <f t="shared" si="6"/>
        <v>1</v>
      </c>
      <c r="AA21" s="256" t="b">
        <f t="shared" si="7"/>
        <v>1</v>
      </c>
    </row>
    <row r="22" spans="1:27" s="256" customFormat="1" ht="56.25" x14ac:dyDescent="0.2">
      <c r="A22" s="188">
        <v>20</v>
      </c>
      <c r="B22" s="199" t="s">
        <v>312</v>
      </c>
      <c r="C22" s="247" t="s">
        <v>77</v>
      </c>
      <c r="D22" s="218" t="s">
        <v>104</v>
      </c>
      <c r="E22" s="219" t="s">
        <v>481</v>
      </c>
      <c r="F22" s="220" t="s">
        <v>311</v>
      </c>
      <c r="G22" s="198" t="s">
        <v>47</v>
      </c>
      <c r="H22" s="201">
        <v>1.976</v>
      </c>
      <c r="I22" s="200" t="s">
        <v>177</v>
      </c>
      <c r="J22" s="221">
        <v>3664122.99</v>
      </c>
      <c r="K22" s="278">
        <v>2198473</v>
      </c>
      <c r="L22" s="223">
        <f t="shared" si="8"/>
        <v>1465649.9900000002</v>
      </c>
      <c r="M22" s="224">
        <v>0.6</v>
      </c>
      <c r="N22" s="225">
        <v>0</v>
      </c>
      <c r="O22" s="225">
        <v>0</v>
      </c>
      <c r="P22" s="225">
        <v>0</v>
      </c>
      <c r="Q22" s="226">
        <v>0</v>
      </c>
      <c r="R22" s="226">
        <v>2198473</v>
      </c>
      <c r="S22" s="239"/>
      <c r="T22" s="239"/>
      <c r="U22" s="239"/>
      <c r="V22" s="227"/>
      <c r="W22" s="227"/>
      <c r="X22" s="256" t="b">
        <f t="shared" si="4"/>
        <v>1</v>
      </c>
      <c r="Y22" s="362">
        <f t="shared" si="5"/>
        <v>0.6</v>
      </c>
      <c r="Z22" s="256" t="b">
        <f t="shared" si="6"/>
        <v>1</v>
      </c>
      <c r="AA22" s="256" t="b">
        <f t="shared" si="7"/>
        <v>1</v>
      </c>
    </row>
    <row r="23" spans="1:27" s="256" customFormat="1" ht="45" x14ac:dyDescent="0.2">
      <c r="A23" s="188">
        <v>21</v>
      </c>
      <c r="B23" s="199" t="s">
        <v>310</v>
      </c>
      <c r="C23" s="247" t="s">
        <v>77</v>
      </c>
      <c r="D23" s="218" t="s">
        <v>104</v>
      </c>
      <c r="E23" s="219" t="s">
        <v>481</v>
      </c>
      <c r="F23" s="220" t="s">
        <v>493</v>
      </c>
      <c r="G23" s="198" t="s">
        <v>47</v>
      </c>
      <c r="H23" s="201">
        <v>1.8029999999999999</v>
      </c>
      <c r="I23" s="200" t="s">
        <v>177</v>
      </c>
      <c r="J23" s="221">
        <v>2684244.75</v>
      </c>
      <c r="K23" s="278">
        <v>1610546</v>
      </c>
      <c r="L23" s="223">
        <f t="shared" si="8"/>
        <v>1073698.75</v>
      </c>
      <c r="M23" s="224">
        <v>0.6</v>
      </c>
      <c r="N23" s="225">
        <v>0</v>
      </c>
      <c r="O23" s="225">
        <v>0</v>
      </c>
      <c r="P23" s="225">
        <v>0</v>
      </c>
      <c r="Q23" s="226">
        <v>0</v>
      </c>
      <c r="R23" s="226">
        <v>1610546</v>
      </c>
      <c r="S23" s="239"/>
      <c r="T23" s="239"/>
      <c r="U23" s="239"/>
      <c r="V23" s="227"/>
      <c r="W23" s="227"/>
      <c r="X23" s="256" t="b">
        <f t="shared" si="4"/>
        <v>1</v>
      </c>
      <c r="Y23" s="362">
        <f t="shared" si="5"/>
        <v>0.6</v>
      </c>
      <c r="Z23" s="256" t="b">
        <f t="shared" si="6"/>
        <v>1</v>
      </c>
      <c r="AA23" s="256" t="b">
        <f t="shared" si="7"/>
        <v>1</v>
      </c>
    </row>
    <row r="24" spans="1:27" s="256" customFormat="1" ht="22.5" x14ac:dyDescent="0.2">
      <c r="A24" s="188">
        <v>22</v>
      </c>
      <c r="B24" s="199" t="s">
        <v>309</v>
      </c>
      <c r="C24" s="247" t="s">
        <v>77</v>
      </c>
      <c r="D24" s="218" t="s">
        <v>82</v>
      </c>
      <c r="E24" s="219" t="s">
        <v>478</v>
      </c>
      <c r="F24" s="220" t="s">
        <v>308</v>
      </c>
      <c r="G24" s="198" t="s">
        <v>43</v>
      </c>
      <c r="H24" s="201">
        <v>1.2310000000000001</v>
      </c>
      <c r="I24" s="200" t="s">
        <v>158</v>
      </c>
      <c r="J24" s="221">
        <v>4544446</v>
      </c>
      <c r="K24" s="278">
        <v>2272223</v>
      </c>
      <c r="L24" s="223">
        <f t="shared" si="8"/>
        <v>2272223</v>
      </c>
      <c r="M24" s="224">
        <v>0.5</v>
      </c>
      <c r="N24" s="225">
        <v>0</v>
      </c>
      <c r="O24" s="225">
        <v>0</v>
      </c>
      <c r="P24" s="225">
        <v>0</v>
      </c>
      <c r="Q24" s="226">
        <v>0</v>
      </c>
      <c r="R24" s="226">
        <v>2272223</v>
      </c>
      <c r="S24" s="239"/>
      <c r="T24" s="239"/>
      <c r="U24" s="239"/>
      <c r="V24" s="227"/>
      <c r="W24" s="227"/>
      <c r="X24" s="256" t="b">
        <f t="shared" si="4"/>
        <v>1</v>
      </c>
      <c r="Y24" s="362">
        <f t="shared" si="5"/>
        <v>0.5</v>
      </c>
      <c r="Z24" s="256" t="b">
        <f t="shared" si="6"/>
        <v>1</v>
      </c>
      <c r="AA24" s="256" t="b">
        <f t="shared" si="7"/>
        <v>1</v>
      </c>
    </row>
    <row r="25" spans="1:27" s="256" customFormat="1" ht="26.25" customHeight="1" x14ac:dyDescent="0.2">
      <c r="A25" s="188">
        <v>23</v>
      </c>
      <c r="B25" s="199" t="s">
        <v>303</v>
      </c>
      <c r="C25" s="247" t="s">
        <v>77</v>
      </c>
      <c r="D25" s="218" t="s">
        <v>80</v>
      </c>
      <c r="E25" s="219" t="s">
        <v>482</v>
      </c>
      <c r="F25" s="220" t="s">
        <v>302</v>
      </c>
      <c r="G25" s="198" t="s">
        <v>47</v>
      </c>
      <c r="H25" s="201">
        <v>0.84499999999999997</v>
      </c>
      <c r="I25" s="200" t="s">
        <v>188</v>
      </c>
      <c r="J25" s="221">
        <v>1880176.98</v>
      </c>
      <c r="K25" s="278">
        <v>1504141</v>
      </c>
      <c r="L25" s="223">
        <f t="shared" si="8"/>
        <v>376035.98</v>
      </c>
      <c r="M25" s="224">
        <v>0.8</v>
      </c>
      <c r="N25" s="225">
        <v>0</v>
      </c>
      <c r="O25" s="225">
        <v>0</v>
      </c>
      <c r="P25" s="225">
        <v>0</v>
      </c>
      <c r="Q25" s="226">
        <v>0</v>
      </c>
      <c r="R25" s="226">
        <v>1504141</v>
      </c>
      <c r="S25" s="239"/>
      <c r="T25" s="239"/>
      <c r="U25" s="239"/>
      <c r="V25" s="227"/>
      <c r="W25" s="227"/>
      <c r="X25" s="256" t="b">
        <f t="shared" si="4"/>
        <v>1</v>
      </c>
      <c r="Y25" s="362">
        <f t="shared" si="5"/>
        <v>0.8</v>
      </c>
      <c r="Z25" s="256" t="b">
        <f t="shared" si="6"/>
        <v>1</v>
      </c>
      <c r="AA25" s="256" t="b">
        <f t="shared" si="7"/>
        <v>1</v>
      </c>
    </row>
    <row r="26" spans="1:27" s="256" customFormat="1" ht="33.75" x14ac:dyDescent="0.2">
      <c r="A26" s="188">
        <v>24</v>
      </c>
      <c r="B26" s="199" t="s">
        <v>301</v>
      </c>
      <c r="C26" s="247" t="s">
        <v>77</v>
      </c>
      <c r="D26" s="218" t="s">
        <v>80</v>
      </c>
      <c r="E26" s="219" t="s">
        <v>482</v>
      </c>
      <c r="F26" s="220" t="s">
        <v>300</v>
      </c>
      <c r="G26" s="198" t="s">
        <v>47</v>
      </c>
      <c r="H26" s="201">
        <v>0.76100000000000001</v>
      </c>
      <c r="I26" s="200" t="s">
        <v>188</v>
      </c>
      <c r="J26" s="221">
        <v>5424187.3099999996</v>
      </c>
      <c r="K26" s="278">
        <v>4339349</v>
      </c>
      <c r="L26" s="223">
        <f t="shared" si="8"/>
        <v>1084838.3099999996</v>
      </c>
      <c r="M26" s="224">
        <v>0.8</v>
      </c>
      <c r="N26" s="225">
        <v>0</v>
      </c>
      <c r="O26" s="225">
        <v>0</v>
      </c>
      <c r="P26" s="225">
        <v>0</v>
      </c>
      <c r="Q26" s="226">
        <v>0</v>
      </c>
      <c r="R26" s="226">
        <v>4339349</v>
      </c>
      <c r="S26" s="227"/>
      <c r="T26" s="227"/>
      <c r="U26" s="227"/>
      <c r="V26" s="227"/>
      <c r="W26" s="227"/>
      <c r="X26" s="256" t="b">
        <f t="shared" si="4"/>
        <v>1</v>
      </c>
      <c r="Y26" s="362">
        <f t="shared" si="5"/>
        <v>0.8</v>
      </c>
      <c r="Z26" s="256" t="b">
        <f t="shared" si="6"/>
        <v>1</v>
      </c>
      <c r="AA26" s="256" t="b">
        <f t="shared" si="7"/>
        <v>1</v>
      </c>
    </row>
    <row r="27" spans="1:27" s="256" customFormat="1" ht="22.5" x14ac:dyDescent="0.2">
      <c r="A27" s="188">
        <v>25</v>
      </c>
      <c r="B27" s="199" t="s">
        <v>494</v>
      </c>
      <c r="C27" s="247" t="s">
        <v>77</v>
      </c>
      <c r="D27" s="218" t="s">
        <v>80</v>
      </c>
      <c r="E27" s="219" t="s">
        <v>482</v>
      </c>
      <c r="F27" s="220" t="s">
        <v>495</v>
      </c>
      <c r="G27" s="198" t="s">
        <v>47</v>
      </c>
      <c r="H27" s="201">
        <v>0.64100000000000001</v>
      </c>
      <c r="I27" s="200" t="s">
        <v>188</v>
      </c>
      <c r="J27" s="221">
        <v>883096.44</v>
      </c>
      <c r="K27" s="278">
        <v>706477</v>
      </c>
      <c r="L27" s="223">
        <f t="shared" si="8"/>
        <v>176619.43999999994</v>
      </c>
      <c r="M27" s="224">
        <v>0.8</v>
      </c>
      <c r="N27" s="225">
        <v>0</v>
      </c>
      <c r="O27" s="225">
        <v>0</v>
      </c>
      <c r="P27" s="225">
        <v>0</v>
      </c>
      <c r="Q27" s="226">
        <v>0</v>
      </c>
      <c r="R27" s="226">
        <v>706477</v>
      </c>
      <c r="S27" s="227"/>
      <c r="T27" s="227"/>
      <c r="U27" s="227"/>
      <c r="V27" s="227"/>
      <c r="W27" s="227"/>
      <c r="X27" s="256" t="b">
        <f t="shared" si="4"/>
        <v>1</v>
      </c>
      <c r="Y27" s="362">
        <f t="shared" si="5"/>
        <v>0.8</v>
      </c>
      <c r="Z27" s="256" t="b">
        <f t="shared" si="6"/>
        <v>1</v>
      </c>
      <c r="AA27" s="256" t="b">
        <f t="shared" si="7"/>
        <v>1</v>
      </c>
    </row>
    <row r="28" spans="1:27" s="256" customFormat="1" ht="33.75" x14ac:dyDescent="0.2">
      <c r="A28" s="188">
        <v>26</v>
      </c>
      <c r="B28" s="199" t="s">
        <v>496</v>
      </c>
      <c r="C28" s="247" t="s">
        <v>77</v>
      </c>
      <c r="D28" s="218" t="s">
        <v>50</v>
      </c>
      <c r="E28" s="219" t="s">
        <v>485</v>
      </c>
      <c r="F28" s="220" t="s">
        <v>497</v>
      </c>
      <c r="G28" s="198" t="s">
        <v>47</v>
      </c>
      <c r="H28" s="201">
        <v>0.48399999999999999</v>
      </c>
      <c r="I28" s="200" t="s">
        <v>174</v>
      </c>
      <c r="J28" s="221">
        <v>561336.32999999996</v>
      </c>
      <c r="K28" s="278">
        <v>392935</v>
      </c>
      <c r="L28" s="223">
        <f t="shared" si="8"/>
        <v>168401.32999999996</v>
      </c>
      <c r="M28" s="224">
        <v>0.7</v>
      </c>
      <c r="N28" s="225">
        <v>0</v>
      </c>
      <c r="O28" s="225">
        <v>0</v>
      </c>
      <c r="P28" s="225">
        <v>0</v>
      </c>
      <c r="Q28" s="226">
        <v>0</v>
      </c>
      <c r="R28" s="226">
        <v>392935</v>
      </c>
      <c r="S28" s="227"/>
      <c r="T28" s="227"/>
      <c r="U28" s="227"/>
      <c r="V28" s="227"/>
      <c r="W28" s="227"/>
      <c r="X28" s="256" t="b">
        <f t="shared" si="4"/>
        <v>1</v>
      </c>
      <c r="Y28" s="362">
        <f t="shared" si="5"/>
        <v>0.7</v>
      </c>
      <c r="Z28" s="256" t="b">
        <f t="shared" si="6"/>
        <v>1</v>
      </c>
      <c r="AA28" s="256" t="b">
        <f t="shared" si="7"/>
        <v>1</v>
      </c>
    </row>
    <row r="29" spans="1:27" s="256" customFormat="1" ht="33.75" x14ac:dyDescent="0.2">
      <c r="A29" s="188">
        <v>27</v>
      </c>
      <c r="B29" s="199" t="s">
        <v>565</v>
      </c>
      <c r="C29" s="247" t="s">
        <v>77</v>
      </c>
      <c r="D29" s="218" t="s">
        <v>42</v>
      </c>
      <c r="E29" s="219">
        <v>2604</v>
      </c>
      <c r="F29" s="220" t="s">
        <v>566</v>
      </c>
      <c r="G29" s="198" t="s">
        <v>43</v>
      </c>
      <c r="H29" s="201">
        <v>7.0000000000000007E-2</v>
      </c>
      <c r="I29" s="200" t="s">
        <v>164</v>
      </c>
      <c r="J29" s="221">
        <v>1991789.43</v>
      </c>
      <c r="K29" s="278">
        <v>1195073</v>
      </c>
      <c r="L29" s="223">
        <f t="shared" si="8"/>
        <v>796716.42999999993</v>
      </c>
      <c r="M29" s="224">
        <v>0.6</v>
      </c>
      <c r="N29" s="225">
        <v>0</v>
      </c>
      <c r="O29" s="225">
        <v>0</v>
      </c>
      <c r="P29" s="225">
        <v>0</v>
      </c>
      <c r="Q29" s="226">
        <v>0</v>
      </c>
      <c r="R29" s="226">
        <f>K29</f>
        <v>1195073</v>
      </c>
      <c r="S29" s="227"/>
      <c r="T29" s="227"/>
      <c r="U29" s="227"/>
      <c r="V29" s="227"/>
      <c r="W29" s="227"/>
      <c r="X29" s="256" t="b">
        <f t="shared" si="4"/>
        <v>1</v>
      </c>
      <c r="Y29" s="362">
        <f t="shared" si="5"/>
        <v>0.6</v>
      </c>
      <c r="Z29" s="256" t="b">
        <f t="shared" si="6"/>
        <v>1</v>
      </c>
      <c r="AA29" s="256" t="b">
        <f t="shared" si="7"/>
        <v>1</v>
      </c>
    </row>
    <row r="30" spans="1:27" s="256" customFormat="1" ht="45" x14ac:dyDescent="0.2">
      <c r="A30" s="188">
        <v>28</v>
      </c>
      <c r="B30" s="199" t="s">
        <v>568</v>
      </c>
      <c r="C30" s="247" t="s">
        <v>77</v>
      </c>
      <c r="D30" s="218" t="s">
        <v>81</v>
      </c>
      <c r="E30" s="219">
        <v>2601</v>
      </c>
      <c r="F30" s="220" t="s">
        <v>567</v>
      </c>
      <c r="G30" s="198" t="s">
        <v>47</v>
      </c>
      <c r="H30" s="201">
        <v>5.6</v>
      </c>
      <c r="I30" s="200" t="s">
        <v>189</v>
      </c>
      <c r="J30" s="221">
        <v>5939697</v>
      </c>
      <c r="K30" s="278">
        <v>3563818</v>
      </c>
      <c r="L30" s="223">
        <f t="shared" si="8"/>
        <v>2375879</v>
      </c>
      <c r="M30" s="224">
        <v>0.6</v>
      </c>
      <c r="N30" s="225">
        <v>0</v>
      </c>
      <c r="O30" s="225">
        <v>0</v>
      </c>
      <c r="P30" s="225">
        <v>0</v>
      </c>
      <c r="Q30" s="226">
        <v>0</v>
      </c>
      <c r="R30" s="226">
        <f>K30</f>
        <v>3563818</v>
      </c>
      <c r="S30" s="227"/>
      <c r="T30" s="227"/>
      <c r="U30" s="227"/>
      <c r="V30" s="227"/>
      <c r="W30" s="227"/>
      <c r="X30" s="256" t="b">
        <f t="shared" si="4"/>
        <v>1</v>
      </c>
      <c r="Y30" s="362">
        <f t="shared" si="5"/>
        <v>0.6</v>
      </c>
      <c r="Z30" s="256" t="b">
        <f t="shared" si="6"/>
        <v>1</v>
      </c>
      <c r="AA30" s="256" t="b">
        <f t="shared" si="7"/>
        <v>1</v>
      </c>
    </row>
    <row r="31" spans="1:27" s="256" customFormat="1" ht="22.5" x14ac:dyDescent="0.2">
      <c r="A31" s="188">
        <v>29</v>
      </c>
      <c r="B31" s="199" t="s">
        <v>500</v>
      </c>
      <c r="C31" s="247" t="s">
        <v>77</v>
      </c>
      <c r="D31" s="218" t="s">
        <v>80</v>
      </c>
      <c r="E31" s="219">
        <v>2609</v>
      </c>
      <c r="F31" s="220" t="s">
        <v>501</v>
      </c>
      <c r="G31" s="318" t="s">
        <v>47</v>
      </c>
      <c r="H31" s="282">
        <v>0.99</v>
      </c>
      <c r="I31" s="283" t="s">
        <v>188</v>
      </c>
      <c r="J31" s="221">
        <v>1599884.99</v>
      </c>
      <c r="K31" s="278">
        <v>1279907</v>
      </c>
      <c r="L31" s="223">
        <f t="shared" si="8"/>
        <v>319977.99</v>
      </c>
      <c r="M31" s="224">
        <v>0.8</v>
      </c>
      <c r="N31" s="225">
        <v>0</v>
      </c>
      <c r="O31" s="225">
        <v>0</v>
      </c>
      <c r="P31" s="225">
        <v>0</v>
      </c>
      <c r="Q31" s="226">
        <v>0</v>
      </c>
      <c r="R31" s="226">
        <f>K31</f>
        <v>1279907</v>
      </c>
      <c r="S31" s="227"/>
      <c r="T31" s="227"/>
      <c r="U31" s="227"/>
      <c r="V31" s="227"/>
      <c r="W31" s="227"/>
      <c r="X31" s="256" t="b">
        <f t="shared" si="4"/>
        <v>1</v>
      </c>
      <c r="Y31" s="362">
        <f t="shared" si="5"/>
        <v>0.8</v>
      </c>
      <c r="Z31" s="256" t="b">
        <f t="shared" si="6"/>
        <v>1</v>
      </c>
      <c r="AA31" s="256" t="b">
        <f t="shared" si="7"/>
        <v>1</v>
      </c>
    </row>
    <row r="32" spans="1:27" s="256" customFormat="1" ht="22.5" x14ac:dyDescent="0.2">
      <c r="A32" s="331" t="s">
        <v>598</v>
      </c>
      <c r="B32" s="332" t="s">
        <v>502</v>
      </c>
      <c r="C32" s="333" t="s">
        <v>169</v>
      </c>
      <c r="D32" s="349" t="s">
        <v>42</v>
      </c>
      <c r="E32" s="334">
        <v>2604</v>
      </c>
      <c r="F32" s="335" t="s">
        <v>503</v>
      </c>
      <c r="G32" s="309" t="s">
        <v>47</v>
      </c>
      <c r="H32" s="337">
        <v>1.9950000000000001</v>
      </c>
      <c r="I32" s="338" t="s">
        <v>504</v>
      </c>
      <c r="J32" s="339">
        <v>10540931.74</v>
      </c>
      <c r="K32" s="313">
        <f>6324559-1105163</f>
        <v>5219396</v>
      </c>
      <c r="L32" s="340">
        <f t="shared" si="8"/>
        <v>5321535.74</v>
      </c>
      <c r="M32" s="341">
        <v>0.6</v>
      </c>
      <c r="N32" s="342">
        <v>0</v>
      </c>
      <c r="O32" s="342">
        <v>0</v>
      </c>
      <c r="P32" s="342">
        <v>0</v>
      </c>
      <c r="Q32" s="343">
        <v>0</v>
      </c>
      <c r="R32" s="343">
        <f>3000000-1105163</f>
        <v>1894837</v>
      </c>
      <c r="S32" s="350">
        <v>3324559</v>
      </c>
      <c r="T32" s="227"/>
      <c r="U32" s="227"/>
      <c r="V32" s="227"/>
      <c r="W32" s="227"/>
      <c r="X32" s="256" t="b">
        <f t="shared" si="4"/>
        <v>1</v>
      </c>
      <c r="Y32" s="362">
        <f t="shared" si="5"/>
        <v>0.49519999999999997</v>
      </c>
      <c r="Z32" s="256" t="b">
        <f t="shared" si="6"/>
        <v>0</v>
      </c>
      <c r="AA32" s="256" t="b">
        <f t="shared" si="7"/>
        <v>1</v>
      </c>
    </row>
    <row r="33" spans="1:27" x14ac:dyDescent="0.2">
      <c r="A33" s="457" t="s">
        <v>39</v>
      </c>
      <c r="B33" s="457"/>
      <c r="C33" s="457"/>
      <c r="D33" s="457"/>
      <c r="E33" s="457"/>
      <c r="F33" s="457"/>
      <c r="G33" s="457"/>
      <c r="H33" s="102">
        <f>SUM(H3:H32)</f>
        <v>54.654000000000003</v>
      </c>
      <c r="I33" s="162" t="s">
        <v>14</v>
      </c>
      <c r="J33" s="106">
        <f>SUM(J3:J32)</f>
        <v>113330305.65999998</v>
      </c>
      <c r="K33" s="106">
        <f>SUM(K3:K32)</f>
        <v>69829273</v>
      </c>
      <c r="L33" s="106">
        <f>SUM(L3:L32)</f>
        <v>43501032.659999996</v>
      </c>
      <c r="M33" s="224" t="s">
        <v>14</v>
      </c>
      <c r="N33" s="106">
        <f t="shared" ref="N33:W33" si="9">SUM(N3:N32)</f>
        <v>0</v>
      </c>
      <c r="O33" s="106">
        <f t="shared" si="9"/>
        <v>0</v>
      </c>
      <c r="P33" s="106">
        <f t="shared" si="9"/>
        <v>0</v>
      </c>
      <c r="Q33" s="106">
        <f t="shared" si="9"/>
        <v>0</v>
      </c>
      <c r="R33" s="106">
        <f t="shared" si="9"/>
        <v>50595900</v>
      </c>
      <c r="S33" s="106">
        <f t="shared" si="9"/>
        <v>9243524</v>
      </c>
      <c r="T33" s="106">
        <f t="shared" si="9"/>
        <v>5280000</v>
      </c>
      <c r="U33" s="106">
        <f t="shared" si="9"/>
        <v>4709849</v>
      </c>
      <c r="V33" s="106">
        <f t="shared" si="9"/>
        <v>0</v>
      </c>
      <c r="W33" s="106">
        <f t="shared" si="9"/>
        <v>0</v>
      </c>
      <c r="X33" s="256" t="b">
        <f t="shared" si="4"/>
        <v>1</v>
      </c>
      <c r="Y33" s="362">
        <f t="shared" si="5"/>
        <v>0.61619999999999997</v>
      </c>
      <c r="Z33" s="256" t="b">
        <f t="shared" si="6"/>
        <v>0</v>
      </c>
      <c r="AA33" s="256" t="b">
        <f t="shared" si="7"/>
        <v>1</v>
      </c>
    </row>
    <row r="34" spans="1:27" x14ac:dyDescent="0.2">
      <c r="A34" s="457" t="s">
        <v>33</v>
      </c>
      <c r="B34" s="457"/>
      <c r="C34" s="457"/>
      <c r="D34" s="457"/>
      <c r="E34" s="457"/>
      <c r="F34" s="457"/>
      <c r="G34" s="457"/>
      <c r="H34" s="102">
        <f>SUMIF($C$3:$C$32,"N",H3:H32)</f>
        <v>44.531000000000006</v>
      </c>
      <c r="I34" s="162" t="s">
        <v>14</v>
      </c>
      <c r="J34" s="106">
        <f>SUMIF($C$3:$C$32,"N",J3:J32)</f>
        <v>77143073.749999985</v>
      </c>
      <c r="K34" s="106">
        <f>SUMIF($C$3:$C$32,"N",K3:K32)</f>
        <v>48382098</v>
      </c>
      <c r="L34" s="106">
        <f>SUMIF($C$3:$C$32,"N",L3:L32)</f>
        <v>28760975.75</v>
      </c>
      <c r="M34" s="224" t="s">
        <v>14</v>
      </c>
      <c r="N34" s="106">
        <f t="shared" ref="N34:W34" si="10">SUMIF($C$3:$C$32,"N",N3:N32)</f>
        <v>0</v>
      </c>
      <c r="O34" s="106">
        <f t="shared" si="10"/>
        <v>0</v>
      </c>
      <c r="P34" s="106">
        <f t="shared" si="10"/>
        <v>0</v>
      </c>
      <c r="Q34" s="106">
        <f t="shared" si="10"/>
        <v>0</v>
      </c>
      <c r="R34" s="106">
        <f t="shared" si="10"/>
        <v>48382098</v>
      </c>
      <c r="S34" s="106">
        <f t="shared" si="10"/>
        <v>0</v>
      </c>
      <c r="T34" s="106">
        <f t="shared" si="10"/>
        <v>0</v>
      </c>
      <c r="U34" s="106">
        <f t="shared" si="10"/>
        <v>0</v>
      </c>
      <c r="V34" s="106">
        <f t="shared" si="10"/>
        <v>0</v>
      </c>
      <c r="W34" s="106">
        <f t="shared" si="10"/>
        <v>0</v>
      </c>
      <c r="X34" s="256" t="b">
        <f t="shared" si="4"/>
        <v>1</v>
      </c>
      <c r="Y34" s="362">
        <f t="shared" si="5"/>
        <v>0.62719999999999998</v>
      </c>
      <c r="Z34" s="256" t="b">
        <f t="shared" si="6"/>
        <v>0</v>
      </c>
      <c r="AA34" s="256" t="b">
        <f t="shared" si="7"/>
        <v>1</v>
      </c>
    </row>
    <row r="35" spans="1:27" s="258" customFormat="1" x14ac:dyDescent="0.2">
      <c r="A35" s="462" t="s">
        <v>34</v>
      </c>
      <c r="B35" s="462"/>
      <c r="C35" s="462"/>
      <c r="D35" s="462"/>
      <c r="E35" s="462"/>
      <c r="F35" s="462"/>
      <c r="G35" s="462"/>
      <c r="H35" s="104">
        <f>SUMIF($C$3:$C$32,"W",H3:H32)</f>
        <v>10.123000000000001</v>
      </c>
      <c r="I35" s="275" t="s">
        <v>14</v>
      </c>
      <c r="J35" s="100">
        <f>SUMIF($C$3:$C$32,"W",J3:J32)</f>
        <v>36187231.909999996</v>
      </c>
      <c r="K35" s="100">
        <f>SUMIF($C$3:$C$32,"W",K3:K32)</f>
        <v>21447175</v>
      </c>
      <c r="L35" s="100">
        <f>SUMIF($C$3:$C$32,"W",L3:L32)</f>
        <v>14740056.909999998</v>
      </c>
      <c r="M35" s="237" t="s">
        <v>14</v>
      </c>
      <c r="N35" s="100">
        <f t="shared" ref="N35:W35" si="11">SUMIF($C$3:$C$32,"W",N3:N32)</f>
        <v>0</v>
      </c>
      <c r="O35" s="100">
        <f t="shared" si="11"/>
        <v>0</v>
      </c>
      <c r="P35" s="100">
        <f t="shared" si="11"/>
        <v>0</v>
      </c>
      <c r="Q35" s="100">
        <f t="shared" si="11"/>
        <v>0</v>
      </c>
      <c r="R35" s="100">
        <f t="shared" si="11"/>
        <v>2213802</v>
      </c>
      <c r="S35" s="100">
        <f t="shared" si="11"/>
        <v>9243524</v>
      </c>
      <c r="T35" s="100">
        <f t="shared" si="11"/>
        <v>5280000</v>
      </c>
      <c r="U35" s="100">
        <f t="shared" si="11"/>
        <v>4709849</v>
      </c>
      <c r="V35" s="100">
        <f t="shared" si="11"/>
        <v>0</v>
      </c>
      <c r="W35" s="100">
        <f t="shared" si="11"/>
        <v>0</v>
      </c>
      <c r="X35" s="256" t="b">
        <f t="shared" si="4"/>
        <v>1</v>
      </c>
      <c r="Y35" s="362">
        <f t="shared" si="5"/>
        <v>0.5927</v>
      </c>
      <c r="Z35" s="256" t="b">
        <f t="shared" si="6"/>
        <v>0</v>
      </c>
      <c r="AA35" s="256" t="b">
        <f t="shared" si="7"/>
        <v>1</v>
      </c>
    </row>
    <row r="36" spans="1:27" x14ac:dyDescent="0.25">
      <c r="A36" s="17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58"/>
      <c r="N36" s="165"/>
      <c r="O36" s="165"/>
      <c r="P36" s="165"/>
      <c r="Q36" s="165"/>
      <c r="R36" s="165"/>
      <c r="S36" s="165"/>
      <c r="T36" s="165"/>
      <c r="U36" s="165"/>
      <c r="V36" s="165"/>
      <c r="W36" s="165"/>
    </row>
    <row r="37" spans="1:27" x14ac:dyDescent="0.25">
      <c r="A37" s="164" t="s">
        <v>24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58"/>
      <c r="N37" s="165"/>
      <c r="O37" s="165"/>
      <c r="P37" s="165"/>
      <c r="Q37" s="165"/>
      <c r="R37" s="165"/>
      <c r="S37" s="165"/>
      <c r="T37" s="165"/>
      <c r="U37" s="165"/>
      <c r="V37" s="165"/>
      <c r="W37" s="165"/>
    </row>
    <row r="38" spans="1:27" x14ac:dyDescent="0.25">
      <c r="A38" s="166" t="s">
        <v>25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58"/>
      <c r="N38" s="165"/>
      <c r="O38" s="165"/>
      <c r="P38" s="165"/>
      <c r="Q38" s="165"/>
      <c r="R38" s="165"/>
      <c r="S38" s="165"/>
      <c r="T38" s="165"/>
      <c r="U38" s="165"/>
      <c r="V38" s="165"/>
      <c r="W38" s="165"/>
    </row>
    <row r="39" spans="1:27" x14ac:dyDescent="0.25">
      <c r="A39" s="164" t="s">
        <v>30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58"/>
      <c r="N39" s="165"/>
      <c r="O39" s="165"/>
      <c r="P39" s="165"/>
      <c r="Q39" s="165"/>
      <c r="R39" s="165"/>
      <c r="S39" s="165"/>
      <c r="T39" s="165"/>
      <c r="U39" s="165"/>
      <c r="V39" s="165"/>
      <c r="W39" s="165"/>
    </row>
    <row r="40" spans="1:27" x14ac:dyDescent="0.25">
      <c r="A40" s="176" t="s">
        <v>105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8"/>
      <c r="N40" s="177"/>
      <c r="O40" s="177"/>
      <c r="P40" s="177"/>
      <c r="Q40" s="177"/>
      <c r="R40" s="177"/>
      <c r="S40" s="177"/>
    </row>
    <row r="46" spans="1:27" ht="14.25" customHeight="1" x14ac:dyDescent="0.25"/>
  </sheetData>
  <mergeCells count="17">
    <mergeCell ref="N1:W1"/>
    <mergeCell ref="E1:E2"/>
    <mergeCell ref="A34:G34"/>
    <mergeCell ref="J1:J2"/>
    <mergeCell ref="K1:K2"/>
    <mergeCell ref="L1:L2"/>
    <mergeCell ref="M1:M2"/>
    <mergeCell ref="A35:G35"/>
    <mergeCell ref="I1:I2"/>
    <mergeCell ref="A1:A2"/>
    <mergeCell ref="B1:B2"/>
    <mergeCell ref="C1:C2"/>
    <mergeCell ref="F1:F2"/>
    <mergeCell ref="G1:G2"/>
    <mergeCell ref="H1:H2"/>
    <mergeCell ref="D1:D2"/>
    <mergeCell ref="A33:G33"/>
  </mergeCells>
  <conditionalFormatting sqref="B4:B32">
    <cfRule type="expression" dxfId="63" priority="76">
      <formula>$O4="p"</formula>
    </cfRule>
    <cfRule type="expression" dxfId="62" priority="77">
      <formula>$O4="k"</formula>
    </cfRule>
    <cfRule type="expression" dxfId="61" priority="78">
      <formula>$N4="odrzucenie"</formula>
    </cfRule>
    <cfRule type="expression" dxfId="60" priority="79">
      <formula>$N4="rezygnacja"</formula>
    </cfRule>
  </conditionalFormatting>
  <conditionalFormatting sqref="G31:I31 D32">
    <cfRule type="expression" dxfId="59" priority="37">
      <formula>$Q31="p"</formula>
    </cfRule>
    <cfRule type="expression" dxfId="58" priority="38">
      <formula>$Q31="k"</formula>
    </cfRule>
    <cfRule type="expression" dxfId="57" priority="39">
      <formula>$P31="odrzucenie"</formula>
    </cfRule>
    <cfRule type="expression" dxfId="56" priority="40">
      <formula>$P31="rezygnacja"</formula>
    </cfRule>
  </conditionalFormatting>
  <conditionalFormatting sqref="B3">
    <cfRule type="expression" dxfId="55" priority="1">
      <formula>$O3="p"</formula>
    </cfRule>
    <cfRule type="expression" dxfId="54" priority="2">
      <formula>$O3="k"</formula>
    </cfRule>
    <cfRule type="expression" dxfId="53" priority="3">
      <formula>$N3="odrzucenie"</formula>
    </cfRule>
    <cfRule type="expression" dxfId="52" priority="4">
      <formula>$N3="rezygnacja"</formula>
    </cfRule>
  </conditionalFormatting>
  <dataValidations count="2">
    <dataValidation type="list" allowBlank="1" showInputMessage="1" showErrorMessage="1" sqref="G32 G3:G30">
      <formula1>"B,P,R"</formula1>
    </dataValidation>
    <dataValidation type="list" allowBlank="1" showInputMessage="1" showErrorMessage="1" sqref="G31">
      <formula1>$B$17:$B$18</formula1>
    </dataValidation>
  </dataValidations>
  <pageMargins left="0.23622047244094491" right="0.23622047244094491" top="0.74803149606299213" bottom="0.74803149606299213" header="0.31496062992125984" footer="0.31496062992125984"/>
  <pageSetup paperSize="9" scale="32" fitToHeight="0" orientation="portrait" horizontalDpi="4294967295" verticalDpi="4294967295" r:id="rId1"/>
  <headerFooter>
    <oddHeader>&amp;LWojewództwo Świętokrzyskie - zadania powiatowe lista rezerwowa</oddHeader>
    <oddFooter>Strona &amp;P z &amp;N</oddFooter>
  </headerFooter>
  <ignoredErrors>
    <ignoredError sqref="V33:W33 N33:U33" formulaRange="1"/>
    <ignoredError sqref="E5:E9 E3:E4 E10:E2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B67"/>
  <sheetViews>
    <sheetView showGridLines="0" view="pageBreakPreview" zoomScale="90" zoomScaleNormal="100" zoomScaleSheetLayoutView="90" workbookViewId="0">
      <selection activeCell="Z1" sqref="Z1:Z1048576"/>
    </sheetView>
  </sheetViews>
  <sheetFormatPr defaultRowHeight="15" x14ac:dyDescent="0.25"/>
  <cols>
    <col min="1" max="1" width="5" style="153" customWidth="1"/>
    <col min="2" max="2" width="12" style="153" customWidth="1"/>
    <col min="3" max="3" width="12.42578125" style="153" customWidth="1"/>
    <col min="4" max="4" width="14.5703125" style="153" customWidth="1"/>
    <col min="5" max="5" width="10.7109375" style="153" customWidth="1"/>
    <col min="6" max="6" width="12.7109375" style="153" customWidth="1"/>
    <col min="7" max="7" width="41.42578125" style="153" customWidth="1"/>
    <col min="8" max="8" width="8.7109375" style="153" customWidth="1"/>
    <col min="9" max="9" width="14.42578125" style="153" customWidth="1"/>
    <col min="10" max="10" width="15.7109375" style="153" customWidth="1"/>
    <col min="11" max="11" width="14.5703125" style="153" customWidth="1"/>
    <col min="12" max="12" width="14.7109375" style="153" customWidth="1"/>
    <col min="13" max="13" width="15.42578125" style="153" customWidth="1"/>
    <col min="14" max="14" width="14.5703125" style="161" customWidth="1"/>
    <col min="15" max="15" width="9.85546875" style="153" customWidth="1"/>
    <col min="16" max="16" width="11.140625" style="153" customWidth="1"/>
    <col min="17" max="17" width="11.42578125" style="153" customWidth="1"/>
    <col min="18" max="18" width="10.5703125" style="153" customWidth="1"/>
    <col min="19" max="19" width="11.85546875" style="153" customWidth="1"/>
    <col min="20" max="20" width="10.85546875" style="153" customWidth="1"/>
    <col min="21" max="21" width="11" style="153" customWidth="1"/>
    <col min="22" max="22" width="11.7109375" style="153" customWidth="1"/>
    <col min="23" max="24" width="9.85546875" style="153" customWidth="1"/>
    <col min="25" max="25" width="9.140625" style="153"/>
    <col min="26" max="26" width="9.140625" style="361"/>
    <col min="27" max="16384" width="9.140625" style="153"/>
  </cols>
  <sheetData>
    <row r="1" spans="1:28" x14ac:dyDescent="0.25">
      <c r="A1" s="457" t="s">
        <v>4</v>
      </c>
      <c r="B1" s="457" t="s">
        <v>5</v>
      </c>
      <c r="C1" s="458" t="s">
        <v>40</v>
      </c>
      <c r="D1" s="460" t="s">
        <v>6</v>
      </c>
      <c r="E1" s="460" t="s">
        <v>28</v>
      </c>
      <c r="F1" s="460" t="s">
        <v>15</v>
      </c>
      <c r="G1" s="457" t="s">
        <v>7</v>
      </c>
      <c r="H1" s="457" t="s">
        <v>26</v>
      </c>
      <c r="I1" s="457" t="s">
        <v>8</v>
      </c>
      <c r="J1" s="457" t="s">
        <v>27</v>
      </c>
      <c r="K1" s="457" t="s">
        <v>9</v>
      </c>
      <c r="L1" s="457" t="s">
        <v>10</v>
      </c>
      <c r="M1" s="460" t="s">
        <v>13</v>
      </c>
      <c r="N1" s="457" t="s">
        <v>11</v>
      </c>
      <c r="O1" s="457" t="s">
        <v>12</v>
      </c>
      <c r="P1" s="457"/>
      <c r="Q1" s="457"/>
      <c r="R1" s="457"/>
      <c r="S1" s="457"/>
      <c r="T1" s="457"/>
      <c r="U1" s="457"/>
      <c r="V1" s="457"/>
      <c r="W1" s="457"/>
      <c r="X1" s="457"/>
    </row>
    <row r="2" spans="1:28" x14ac:dyDescent="0.25">
      <c r="A2" s="457"/>
      <c r="B2" s="457"/>
      <c r="C2" s="459"/>
      <c r="D2" s="461"/>
      <c r="E2" s="461"/>
      <c r="F2" s="461"/>
      <c r="G2" s="457"/>
      <c r="H2" s="457"/>
      <c r="I2" s="457"/>
      <c r="J2" s="457"/>
      <c r="K2" s="457"/>
      <c r="L2" s="457"/>
      <c r="M2" s="461"/>
      <c r="N2" s="457"/>
      <c r="O2" s="160">
        <v>2019</v>
      </c>
      <c r="P2" s="160">
        <v>2020</v>
      </c>
      <c r="Q2" s="160">
        <v>2021</v>
      </c>
      <c r="R2" s="160">
        <v>2022</v>
      </c>
      <c r="S2" s="160">
        <v>2023</v>
      </c>
      <c r="T2" s="160">
        <v>2024</v>
      </c>
      <c r="U2" s="160">
        <v>2025</v>
      </c>
      <c r="V2" s="160">
        <v>2026</v>
      </c>
      <c r="W2" s="160">
        <v>2027</v>
      </c>
      <c r="X2" s="160">
        <v>2028</v>
      </c>
    </row>
    <row r="3" spans="1:28" s="258" customFormat="1" ht="22.5" x14ac:dyDescent="0.25">
      <c r="A3" s="188">
        <v>1</v>
      </c>
      <c r="B3" s="199" t="s">
        <v>547</v>
      </c>
      <c r="C3" s="247" t="s">
        <v>77</v>
      </c>
      <c r="D3" s="203" t="s">
        <v>111</v>
      </c>
      <c r="E3" s="219">
        <v>2611011</v>
      </c>
      <c r="F3" s="254" t="s">
        <v>75</v>
      </c>
      <c r="G3" s="220" t="s">
        <v>548</v>
      </c>
      <c r="H3" s="198" t="s">
        <v>46</v>
      </c>
      <c r="I3" s="201">
        <v>0.155</v>
      </c>
      <c r="J3" s="200" t="s">
        <v>469</v>
      </c>
      <c r="K3" s="221">
        <v>272778.65000000002</v>
      </c>
      <c r="L3" s="222">
        <v>190945</v>
      </c>
      <c r="M3" s="223">
        <f>K3-L3</f>
        <v>81833.650000000023</v>
      </c>
      <c r="N3" s="224">
        <v>0.7</v>
      </c>
      <c r="O3" s="225">
        <v>0</v>
      </c>
      <c r="P3" s="225">
        <v>0</v>
      </c>
      <c r="Q3" s="225">
        <v>0</v>
      </c>
      <c r="R3" s="226">
        <v>0</v>
      </c>
      <c r="S3" s="226">
        <v>190945</v>
      </c>
      <c r="T3" s="239"/>
      <c r="U3" s="239"/>
      <c r="V3" s="239"/>
      <c r="W3" s="239"/>
      <c r="X3" s="239"/>
      <c r="Y3" s="258" t="b">
        <f t="shared" ref="Y3" si="0">L3=SUM(O3:X3)</f>
        <v>1</v>
      </c>
      <c r="Z3" s="363">
        <f t="shared" ref="Z3" si="1">ROUND(L3/K3,4)</f>
        <v>0.7</v>
      </c>
      <c r="AA3" s="258" t="b">
        <f t="shared" ref="AA3" si="2">Z3=N3</f>
        <v>1</v>
      </c>
      <c r="AB3" s="258" t="b">
        <f t="shared" ref="AB3" si="3">K3=L3+M3</f>
        <v>1</v>
      </c>
    </row>
    <row r="4" spans="1:28" s="258" customFormat="1" x14ac:dyDescent="0.25">
      <c r="A4" s="188">
        <v>2</v>
      </c>
      <c r="B4" s="259" t="s">
        <v>538</v>
      </c>
      <c r="C4" s="260" t="s">
        <v>77</v>
      </c>
      <c r="D4" s="203" t="s">
        <v>73</v>
      </c>
      <c r="E4" s="240">
        <v>2604092</v>
      </c>
      <c r="F4" s="257" t="s">
        <v>55</v>
      </c>
      <c r="G4" s="241" t="s">
        <v>539</v>
      </c>
      <c r="H4" s="242" t="s">
        <v>47</v>
      </c>
      <c r="I4" s="243">
        <v>0.27300000000000002</v>
      </c>
      <c r="J4" s="204" t="s">
        <v>277</v>
      </c>
      <c r="K4" s="244">
        <v>142573.1</v>
      </c>
      <c r="L4" s="131">
        <v>99801</v>
      </c>
      <c r="M4" s="132">
        <v>42772.100000000006</v>
      </c>
      <c r="N4" s="133">
        <v>0.7</v>
      </c>
      <c r="O4" s="134">
        <v>0</v>
      </c>
      <c r="P4" s="134">
        <v>0</v>
      </c>
      <c r="Q4" s="134">
        <v>0</v>
      </c>
      <c r="R4" s="245">
        <v>0</v>
      </c>
      <c r="S4" s="245">
        <v>99801</v>
      </c>
      <c r="T4" s="239"/>
      <c r="U4" s="239"/>
      <c r="V4" s="239"/>
      <c r="W4" s="239"/>
      <c r="X4" s="239"/>
      <c r="Y4" s="258" t="b">
        <f t="shared" ref="Y4:Y61" si="4">L4=SUM(O4:X4)</f>
        <v>1</v>
      </c>
      <c r="Z4" s="363">
        <f t="shared" ref="Z4:Z61" si="5">ROUND(L4/K4,4)</f>
        <v>0.7</v>
      </c>
      <c r="AA4" s="258" t="b">
        <f t="shared" ref="AA4:AA61" si="6">Z4=N4</f>
        <v>1</v>
      </c>
      <c r="AB4" s="258" t="b">
        <f t="shared" ref="AB4:AB61" si="7">K4=L4+M4</f>
        <v>1</v>
      </c>
    </row>
    <row r="5" spans="1:28" s="258" customFormat="1" ht="22.5" x14ac:dyDescent="0.25">
      <c r="A5" s="189">
        <v>3</v>
      </c>
      <c r="B5" s="320" t="s">
        <v>448</v>
      </c>
      <c r="C5" s="248" t="s">
        <v>169</v>
      </c>
      <c r="D5" s="228" t="s">
        <v>65</v>
      </c>
      <c r="E5" s="229">
        <v>2604033</v>
      </c>
      <c r="F5" s="255" t="s">
        <v>55</v>
      </c>
      <c r="G5" s="230" t="s">
        <v>449</v>
      </c>
      <c r="H5" s="231" t="s">
        <v>43</v>
      </c>
      <c r="I5" s="232">
        <v>0.84799999999999998</v>
      </c>
      <c r="J5" s="233" t="s">
        <v>450</v>
      </c>
      <c r="K5" s="234">
        <v>6793801.3799999999</v>
      </c>
      <c r="L5" s="235">
        <v>4755660</v>
      </c>
      <c r="M5" s="236">
        <v>2038141.38</v>
      </c>
      <c r="N5" s="237">
        <v>0.7</v>
      </c>
      <c r="O5" s="238">
        <v>0</v>
      </c>
      <c r="P5" s="238">
        <v>0</v>
      </c>
      <c r="Q5" s="238">
        <v>0</v>
      </c>
      <c r="R5" s="196">
        <v>0</v>
      </c>
      <c r="S5" s="196">
        <v>24500</v>
      </c>
      <c r="T5" s="239">
        <v>224000</v>
      </c>
      <c r="U5" s="239">
        <v>4507160</v>
      </c>
      <c r="V5" s="239"/>
      <c r="W5" s="239"/>
      <c r="X5" s="239"/>
      <c r="Y5" s="258" t="b">
        <f t="shared" si="4"/>
        <v>1</v>
      </c>
      <c r="Z5" s="363">
        <f t="shared" si="5"/>
        <v>0.7</v>
      </c>
      <c r="AA5" s="258" t="b">
        <f t="shared" si="6"/>
        <v>1</v>
      </c>
      <c r="AB5" s="258" t="b">
        <f t="shared" si="7"/>
        <v>1</v>
      </c>
    </row>
    <row r="6" spans="1:28" s="258" customFormat="1" ht="45" x14ac:dyDescent="0.25">
      <c r="A6" s="188">
        <v>4</v>
      </c>
      <c r="B6" s="276" t="s">
        <v>238</v>
      </c>
      <c r="C6" s="247" t="s">
        <v>77</v>
      </c>
      <c r="D6" s="218" t="s">
        <v>239</v>
      </c>
      <c r="E6" s="188">
        <v>2606012</v>
      </c>
      <c r="F6" s="254" t="s">
        <v>85</v>
      </c>
      <c r="G6" s="220" t="s">
        <v>240</v>
      </c>
      <c r="H6" s="198" t="s">
        <v>46</v>
      </c>
      <c r="I6" s="201">
        <v>5.5529999999999999</v>
      </c>
      <c r="J6" s="200" t="s">
        <v>241</v>
      </c>
      <c r="K6" s="221">
        <v>2008117.82</v>
      </c>
      <c r="L6" s="278">
        <v>1204870</v>
      </c>
      <c r="M6" s="223">
        <v>803247.82000000007</v>
      </c>
      <c r="N6" s="224">
        <v>0.6</v>
      </c>
      <c r="O6" s="225">
        <v>0</v>
      </c>
      <c r="P6" s="225">
        <v>0</v>
      </c>
      <c r="Q6" s="225">
        <v>0</v>
      </c>
      <c r="R6" s="226">
        <v>0</v>
      </c>
      <c r="S6" s="226">
        <v>1204870</v>
      </c>
      <c r="T6" s="239"/>
      <c r="U6" s="239"/>
      <c r="V6" s="239"/>
      <c r="W6" s="239"/>
      <c r="X6" s="239"/>
      <c r="Y6" s="258" t="b">
        <f t="shared" si="4"/>
        <v>1</v>
      </c>
      <c r="Z6" s="363">
        <f t="shared" si="5"/>
        <v>0.6</v>
      </c>
      <c r="AA6" s="258" t="b">
        <f t="shared" si="6"/>
        <v>1</v>
      </c>
      <c r="AB6" s="258" t="b">
        <f t="shared" si="7"/>
        <v>1</v>
      </c>
    </row>
    <row r="7" spans="1:28" s="258" customFormat="1" ht="33.75" x14ac:dyDescent="0.25">
      <c r="A7" s="189">
        <v>5</v>
      </c>
      <c r="B7" s="320" t="s">
        <v>540</v>
      </c>
      <c r="C7" s="248" t="s">
        <v>169</v>
      </c>
      <c r="D7" s="228" t="s">
        <v>65</v>
      </c>
      <c r="E7" s="229">
        <v>2604033</v>
      </c>
      <c r="F7" s="255" t="s">
        <v>55</v>
      </c>
      <c r="G7" s="230" t="s">
        <v>541</v>
      </c>
      <c r="H7" s="231" t="s">
        <v>43</v>
      </c>
      <c r="I7" s="232">
        <v>1.0720000000000001</v>
      </c>
      <c r="J7" s="233" t="s">
        <v>542</v>
      </c>
      <c r="K7" s="234">
        <v>4998821.57</v>
      </c>
      <c r="L7" s="235">
        <v>3499175</v>
      </c>
      <c r="M7" s="236">
        <f>K7-L7</f>
        <v>1499646.5700000003</v>
      </c>
      <c r="N7" s="237">
        <v>0.7</v>
      </c>
      <c r="O7" s="238">
        <v>0</v>
      </c>
      <c r="P7" s="238">
        <v>0</v>
      </c>
      <c r="Q7" s="238">
        <v>0</v>
      </c>
      <c r="R7" s="196">
        <v>0</v>
      </c>
      <c r="S7" s="264">
        <v>1015000</v>
      </c>
      <c r="T7" s="285">
        <v>2484175</v>
      </c>
      <c r="U7" s="239"/>
      <c r="V7" s="239"/>
      <c r="W7" s="239"/>
      <c r="X7" s="239"/>
      <c r="Y7" s="258" t="b">
        <f t="shared" si="4"/>
        <v>1</v>
      </c>
      <c r="Z7" s="363">
        <f t="shared" si="5"/>
        <v>0.7</v>
      </c>
      <c r="AA7" s="258" t="b">
        <f t="shared" si="6"/>
        <v>1</v>
      </c>
      <c r="AB7" s="258" t="b">
        <f t="shared" si="7"/>
        <v>1</v>
      </c>
    </row>
    <row r="8" spans="1:28" s="258" customFormat="1" ht="22.5" x14ac:dyDescent="0.25">
      <c r="A8" s="188">
        <v>6</v>
      </c>
      <c r="B8" s="276" t="s">
        <v>391</v>
      </c>
      <c r="C8" s="247" t="s">
        <v>77</v>
      </c>
      <c r="D8" s="218" t="s">
        <v>99</v>
      </c>
      <c r="E8" s="219">
        <v>2602093</v>
      </c>
      <c r="F8" s="254" t="s">
        <v>57</v>
      </c>
      <c r="G8" s="220" t="s">
        <v>392</v>
      </c>
      <c r="H8" s="198" t="s">
        <v>47</v>
      </c>
      <c r="I8" s="243">
        <v>0.27300000000000002</v>
      </c>
      <c r="J8" s="200" t="s">
        <v>258</v>
      </c>
      <c r="K8" s="221">
        <v>1611040.43</v>
      </c>
      <c r="L8" s="222">
        <v>966624</v>
      </c>
      <c r="M8" s="223">
        <v>644416.42999999993</v>
      </c>
      <c r="N8" s="224">
        <v>0.6</v>
      </c>
      <c r="O8" s="225">
        <v>0</v>
      </c>
      <c r="P8" s="225">
        <v>0</v>
      </c>
      <c r="Q8" s="225">
        <v>0</v>
      </c>
      <c r="R8" s="226">
        <v>0</v>
      </c>
      <c r="S8" s="226">
        <v>966624</v>
      </c>
      <c r="T8" s="239"/>
      <c r="U8" s="239"/>
      <c r="V8" s="239"/>
      <c r="W8" s="239"/>
      <c r="X8" s="239"/>
      <c r="Y8" s="258" t="b">
        <f t="shared" si="4"/>
        <v>1</v>
      </c>
      <c r="Z8" s="363">
        <f t="shared" si="5"/>
        <v>0.6</v>
      </c>
      <c r="AA8" s="258" t="b">
        <f t="shared" si="6"/>
        <v>1</v>
      </c>
      <c r="AB8" s="258" t="b">
        <f t="shared" si="7"/>
        <v>1</v>
      </c>
    </row>
    <row r="9" spans="1:28" s="258" customFormat="1" ht="22.5" x14ac:dyDescent="0.25">
      <c r="A9" s="188">
        <v>7</v>
      </c>
      <c r="B9" s="199" t="s">
        <v>225</v>
      </c>
      <c r="C9" s="247" t="s">
        <v>77</v>
      </c>
      <c r="D9" s="218" t="s">
        <v>56</v>
      </c>
      <c r="E9" s="188">
        <v>2602023</v>
      </c>
      <c r="F9" s="254" t="s">
        <v>57</v>
      </c>
      <c r="G9" s="220" t="s">
        <v>226</v>
      </c>
      <c r="H9" s="198" t="s">
        <v>47</v>
      </c>
      <c r="I9" s="243">
        <v>2.02</v>
      </c>
      <c r="J9" s="200" t="s">
        <v>174</v>
      </c>
      <c r="K9" s="221">
        <v>4555615.4400000004</v>
      </c>
      <c r="L9" s="222">
        <v>3188930</v>
      </c>
      <c r="M9" s="223">
        <v>1366685.4400000004</v>
      </c>
      <c r="N9" s="224">
        <v>0.7</v>
      </c>
      <c r="O9" s="225">
        <v>0</v>
      </c>
      <c r="P9" s="225">
        <v>0</v>
      </c>
      <c r="Q9" s="225">
        <v>0</v>
      </c>
      <c r="R9" s="226">
        <v>0</v>
      </c>
      <c r="S9" s="226">
        <f>L9</f>
        <v>3188930</v>
      </c>
      <c r="T9" s="239"/>
      <c r="U9" s="239"/>
      <c r="V9" s="239"/>
      <c r="W9" s="239"/>
      <c r="X9" s="239"/>
      <c r="Y9" s="258" t="b">
        <f t="shared" si="4"/>
        <v>1</v>
      </c>
      <c r="Z9" s="363">
        <f t="shared" si="5"/>
        <v>0.7</v>
      </c>
      <c r="AA9" s="258" t="b">
        <f t="shared" si="6"/>
        <v>1</v>
      </c>
      <c r="AB9" s="258" t="b">
        <f t="shared" si="7"/>
        <v>1</v>
      </c>
    </row>
    <row r="10" spans="1:28" s="258" customFormat="1" ht="45" x14ac:dyDescent="0.25">
      <c r="A10" s="189">
        <v>8</v>
      </c>
      <c r="B10" s="197" t="s">
        <v>393</v>
      </c>
      <c r="C10" s="248" t="s">
        <v>169</v>
      </c>
      <c r="D10" s="228" t="s">
        <v>153</v>
      </c>
      <c r="E10" s="229">
        <v>2604062</v>
      </c>
      <c r="F10" s="255" t="s">
        <v>55</v>
      </c>
      <c r="G10" s="230" t="s">
        <v>394</v>
      </c>
      <c r="H10" s="231" t="s">
        <v>43</v>
      </c>
      <c r="I10" s="263">
        <v>1.135</v>
      </c>
      <c r="J10" s="233" t="s">
        <v>395</v>
      </c>
      <c r="K10" s="234">
        <v>5405656</v>
      </c>
      <c r="L10" s="235">
        <v>3783959</v>
      </c>
      <c r="M10" s="236">
        <v>1621697</v>
      </c>
      <c r="N10" s="237">
        <v>0.7</v>
      </c>
      <c r="O10" s="238">
        <v>0</v>
      </c>
      <c r="P10" s="238">
        <v>0</v>
      </c>
      <c r="Q10" s="238">
        <v>0</v>
      </c>
      <c r="R10" s="196">
        <v>0</v>
      </c>
      <c r="S10" s="196">
        <v>35000</v>
      </c>
      <c r="T10" s="239">
        <v>1918229</v>
      </c>
      <c r="U10" s="239">
        <v>1830730</v>
      </c>
      <c r="V10" s="239"/>
      <c r="W10" s="239"/>
      <c r="X10" s="239"/>
      <c r="Y10" s="258" t="b">
        <f t="shared" si="4"/>
        <v>1</v>
      </c>
      <c r="Z10" s="363">
        <f t="shared" si="5"/>
        <v>0.7</v>
      </c>
      <c r="AA10" s="258" t="b">
        <f t="shared" si="6"/>
        <v>1</v>
      </c>
      <c r="AB10" s="258" t="b">
        <f t="shared" si="7"/>
        <v>1</v>
      </c>
    </row>
    <row r="11" spans="1:28" s="258" customFormat="1" ht="22.5" x14ac:dyDescent="0.25">
      <c r="A11" s="188">
        <v>9</v>
      </c>
      <c r="B11" s="276" t="s">
        <v>524</v>
      </c>
      <c r="C11" s="247" t="s">
        <v>77</v>
      </c>
      <c r="D11" s="218" t="s">
        <v>103</v>
      </c>
      <c r="E11" s="219">
        <v>2604082</v>
      </c>
      <c r="F11" s="254" t="s">
        <v>55</v>
      </c>
      <c r="G11" s="220" t="s">
        <v>525</v>
      </c>
      <c r="H11" s="198" t="s">
        <v>47</v>
      </c>
      <c r="I11" s="243">
        <v>0.61899999999999999</v>
      </c>
      <c r="J11" s="200" t="s">
        <v>158</v>
      </c>
      <c r="K11" s="221">
        <v>322000</v>
      </c>
      <c r="L11" s="222">
        <v>225400</v>
      </c>
      <c r="M11" s="223">
        <v>96600</v>
      </c>
      <c r="N11" s="224">
        <v>0.7</v>
      </c>
      <c r="O11" s="225">
        <v>0</v>
      </c>
      <c r="P11" s="225">
        <v>0</v>
      </c>
      <c r="Q11" s="225">
        <v>0</v>
      </c>
      <c r="R11" s="226">
        <v>0</v>
      </c>
      <c r="S11" s="226">
        <v>225400</v>
      </c>
      <c r="T11" s="239"/>
      <c r="U11" s="239"/>
      <c r="V11" s="239"/>
      <c r="W11" s="239"/>
      <c r="X11" s="239"/>
      <c r="Y11" s="258" t="b">
        <f t="shared" si="4"/>
        <v>1</v>
      </c>
      <c r="Z11" s="363">
        <f t="shared" si="5"/>
        <v>0.7</v>
      </c>
      <c r="AA11" s="258" t="b">
        <f t="shared" si="6"/>
        <v>1</v>
      </c>
      <c r="AB11" s="258" t="b">
        <f t="shared" si="7"/>
        <v>1</v>
      </c>
    </row>
    <row r="12" spans="1:28" s="258" customFormat="1" ht="22.5" x14ac:dyDescent="0.25">
      <c r="A12" s="188">
        <v>10</v>
      </c>
      <c r="B12" s="199" t="s">
        <v>295</v>
      </c>
      <c r="C12" s="247" t="s">
        <v>77</v>
      </c>
      <c r="D12" s="218" t="s">
        <v>112</v>
      </c>
      <c r="E12" s="188">
        <v>2606032</v>
      </c>
      <c r="F12" s="254" t="s">
        <v>85</v>
      </c>
      <c r="G12" s="220" t="s">
        <v>296</v>
      </c>
      <c r="H12" s="198" t="s">
        <v>47</v>
      </c>
      <c r="I12" s="243">
        <v>0.52</v>
      </c>
      <c r="J12" s="200" t="s">
        <v>188</v>
      </c>
      <c r="K12" s="221">
        <v>695835.15</v>
      </c>
      <c r="L12" s="222">
        <v>487084</v>
      </c>
      <c r="M12" s="223">
        <v>208751.15000000002</v>
      </c>
      <c r="N12" s="224">
        <v>0.7</v>
      </c>
      <c r="O12" s="225">
        <v>0</v>
      </c>
      <c r="P12" s="225">
        <v>0</v>
      </c>
      <c r="Q12" s="225">
        <v>0</v>
      </c>
      <c r="R12" s="225">
        <v>0</v>
      </c>
      <c r="S12" s="226">
        <v>487084</v>
      </c>
      <c r="T12" s="239"/>
      <c r="U12" s="239"/>
      <c r="V12" s="239"/>
      <c r="W12" s="239"/>
      <c r="X12" s="239"/>
      <c r="Y12" s="258" t="b">
        <f t="shared" si="4"/>
        <v>1</v>
      </c>
      <c r="Z12" s="363">
        <f t="shared" si="5"/>
        <v>0.7</v>
      </c>
      <c r="AA12" s="258" t="b">
        <f t="shared" si="6"/>
        <v>1</v>
      </c>
      <c r="AB12" s="258" t="b">
        <f t="shared" si="7"/>
        <v>1</v>
      </c>
    </row>
    <row r="13" spans="1:28" s="258" customFormat="1" x14ac:dyDescent="0.25">
      <c r="A13" s="188">
        <v>11</v>
      </c>
      <c r="B13" s="199" t="s">
        <v>545</v>
      </c>
      <c r="C13" s="247" t="s">
        <v>77</v>
      </c>
      <c r="D13" s="218" t="s">
        <v>63</v>
      </c>
      <c r="E13" s="219">
        <v>2610053</v>
      </c>
      <c r="F13" s="254" t="s">
        <v>64</v>
      </c>
      <c r="G13" s="220" t="s">
        <v>546</v>
      </c>
      <c r="H13" s="198" t="s">
        <v>46</v>
      </c>
      <c r="I13" s="243">
        <v>0.373</v>
      </c>
      <c r="J13" s="200" t="s">
        <v>217</v>
      </c>
      <c r="K13" s="221">
        <v>536579.24</v>
      </c>
      <c r="L13" s="222">
        <v>375605</v>
      </c>
      <c r="M13" s="223">
        <v>160974.24</v>
      </c>
      <c r="N13" s="224">
        <v>0.7</v>
      </c>
      <c r="O13" s="225">
        <v>0</v>
      </c>
      <c r="P13" s="225">
        <v>0</v>
      </c>
      <c r="Q13" s="225">
        <v>0</v>
      </c>
      <c r="R13" s="226">
        <v>0</v>
      </c>
      <c r="S13" s="226">
        <v>375605</v>
      </c>
      <c r="T13" s="239"/>
      <c r="U13" s="239"/>
      <c r="V13" s="239"/>
      <c r="W13" s="239"/>
      <c r="X13" s="239"/>
      <c r="Y13" s="258" t="b">
        <f t="shared" si="4"/>
        <v>1</v>
      </c>
      <c r="Z13" s="363">
        <f t="shared" si="5"/>
        <v>0.7</v>
      </c>
      <c r="AA13" s="258" t="b">
        <f t="shared" si="6"/>
        <v>1</v>
      </c>
      <c r="AB13" s="258" t="b">
        <f t="shared" si="7"/>
        <v>1</v>
      </c>
    </row>
    <row r="14" spans="1:28" s="258" customFormat="1" ht="22.5" x14ac:dyDescent="0.25">
      <c r="A14" s="188">
        <v>12</v>
      </c>
      <c r="B14" s="199" t="s">
        <v>398</v>
      </c>
      <c r="C14" s="247" t="s">
        <v>77</v>
      </c>
      <c r="D14" s="218" t="s">
        <v>399</v>
      </c>
      <c r="E14" s="219">
        <v>2607053</v>
      </c>
      <c r="F14" s="254" t="s">
        <v>53</v>
      </c>
      <c r="G14" s="220" t="s">
        <v>400</v>
      </c>
      <c r="H14" s="198" t="s">
        <v>47</v>
      </c>
      <c r="I14" s="243">
        <v>0.29899999999999999</v>
      </c>
      <c r="J14" s="200" t="s">
        <v>158</v>
      </c>
      <c r="K14" s="221">
        <v>826907.13</v>
      </c>
      <c r="L14" s="222">
        <v>661525</v>
      </c>
      <c r="M14" s="223">
        <v>165382.13</v>
      </c>
      <c r="N14" s="224">
        <v>0.8</v>
      </c>
      <c r="O14" s="225">
        <v>0</v>
      </c>
      <c r="P14" s="225">
        <v>0</v>
      </c>
      <c r="Q14" s="225">
        <v>0</v>
      </c>
      <c r="R14" s="226">
        <v>0</v>
      </c>
      <c r="S14" s="226">
        <v>661525</v>
      </c>
      <c r="T14" s="239"/>
      <c r="U14" s="239"/>
      <c r="V14" s="239"/>
      <c r="W14" s="239"/>
      <c r="X14" s="239"/>
      <c r="Y14" s="258" t="b">
        <f t="shared" si="4"/>
        <v>1</v>
      </c>
      <c r="Z14" s="363">
        <f t="shared" si="5"/>
        <v>0.8</v>
      </c>
      <c r="AA14" s="258" t="b">
        <f t="shared" si="6"/>
        <v>1</v>
      </c>
      <c r="AB14" s="258" t="b">
        <f t="shared" si="7"/>
        <v>1</v>
      </c>
    </row>
    <row r="15" spans="1:28" s="258" customFormat="1" x14ac:dyDescent="0.25">
      <c r="A15" s="188">
        <v>13</v>
      </c>
      <c r="B15" s="199" t="s">
        <v>559</v>
      </c>
      <c r="C15" s="247" t="s">
        <v>77</v>
      </c>
      <c r="D15" s="218" t="s">
        <v>552</v>
      </c>
      <c r="E15" s="219">
        <v>2604123</v>
      </c>
      <c r="F15" s="254" t="s">
        <v>55</v>
      </c>
      <c r="G15" s="220" t="s">
        <v>561</v>
      </c>
      <c r="H15" s="198" t="s">
        <v>47</v>
      </c>
      <c r="I15" s="243">
        <v>0.28199999999999997</v>
      </c>
      <c r="J15" s="200" t="s">
        <v>217</v>
      </c>
      <c r="K15" s="221">
        <v>600000</v>
      </c>
      <c r="L15" s="222">
        <v>300000</v>
      </c>
      <c r="M15" s="223">
        <v>300000</v>
      </c>
      <c r="N15" s="224">
        <v>0.5</v>
      </c>
      <c r="O15" s="225">
        <v>0</v>
      </c>
      <c r="P15" s="225">
        <v>0</v>
      </c>
      <c r="Q15" s="225">
        <v>0</v>
      </c>
      <c r="R15" s="226">
        <v>0</v>
      </c>
      <c r="S15" s="226">
        <f>L15</f>
        <v>300000</v>
      </c>
      <c r="T15" s="301"/>
      <c r="U15" s="239"/>
      <c r="V15" s="239"/>
      <c r="W15" s="239"/>
      <c r="X15" s="239"/>
      <c r="Y15" s="258" t="b">
        <f t="shared" si="4"/>
        <v>1</v>
      </c>
      <c r="Z15" s="363">
        <f t="shared" si="5"/>
        <v>0.5</v>
      </c>
      <c r="AA15" s="258" t="b">
        <f t="shared" si="6"/>
        <v>1</v>
      </c>
      <c r="AB15" s="258" t="b">
        <f t="shared" si="7"/>
        <v>1</v>
      </c>
    </row>
    <row r="16" spans="1:28" s="258" customFormat="1" x14ac:dyDescent="0.25">
      <c r="A16" s="188">
        <v>14</v>
      </c>
      <c r="B16" s="199" t="s">
        <v>560</v>
      </c>
      <c r="C16" s="247" t="s">
        <v>77</v>
      </c>
      <c r="D16" s="218" t="s">
        <v>552</v>
      </c>
      <c r="E16" s="219">
        <v>2604123</v>
      </c>
      <c r="F16" s="254" t="s">
        <v>55</v>
      </c>
      <c r="G16" s="220" t="s">
        <v>562</v>
      </c>
      <c r="H16" s="198" t="s">
        <v>47</v>
      </c>
      <c r="I16" s="243">
        <v>0.25</v>
      </c>
      <c r="J16" s="200" t="s">
        <v>217</v>
      </c>
      <c r="K16" s="221">
        <v>1000000</v>
      </c>
      <c r="L16" s="222">
        <v>500000</v>
      </c>
      <c r="M16" s="223">
        <v>500000</v>
      </c>
      <c r="N16" s="224">
        <v>0.5</v>
      </c>
      <c r="O16" s="225">
        <v>0</v>
      </c>
      <c r="P16" s="225">
        <v>0</v>
      </c>
      <c r="Q16" s="225">
        <v>0</v>
      </c>
      <c r="R16" s="226">
        <v>0</v>
      </c>
      <c r="S16" s="226">
        <f>L16</f>
        <v>500000</v>
      </c>
      <c r="T16" s="227"/>
      <c r="U16" s="239"/>
      <c r="V16" s="239"/>
      <c r="W16" s="239"/>
      <c r="X16" s="239"/>
      <c r="Y16" s="258" t="b">
        <f t="shared" si="4"/>
        <v>1</v>
      </c>
      <c r="Z16" s="363">
        <f t="shared" si="5"/>
        <v>0.5</v>
      </c>
      <c r="AA16" s="258" t="b">
        <f t="shared" si="6"/>
        <v>1</v>
      </c>
      <c r="AB16" s="258" t="b">
        <f t="shared" si="7"/>
        <v>1</v>
      </c>
    </row>
    <row r="17" spans="1:28" s="177" customFormat="1" ht="45" x14ac:dyDescent="0.25">
      <c r="A17" s="188">
        <v>15</v>
      </c>
      <c r="B17" s="199" t="s">
        <v>283</v>
      </c>
      <c r="C17" s="247" t="s">
        <v>77</v>
      </c>
      <c r="D17" s="218" t="s">
        <v>284</v>
      </c>
      <c r="E17" s="188">
        <v>2606062</v>
      </c>
      <c r="F17" s="254" t="s">
        <v>85</v>
      </c>
      <c r="G17" s="220" t="s">
        <v>285</v>
      </c>
      <c r="H17" s="198" t="s">
        <v>46</v>
      </c>
      <c r="I17" s="243">
        <v>1.165</v>
      </c>
      <c r="J17" s="200" t="s">
        <v>280</v>
      </c>
      <c r="K17" s="221">
        <v>626387.54</v>
      </c>
      <c r="L17" s="222">
        <v>375832</v>
      </c>
      <c r="M17" s="223">
        <v>250555.54000000004</v>
      </c>
      <c r="N17" s="224">
        <v>0.6</v>
      </c>
      <c r="O17" s="225">
        <v>0</v>
      </c>
      <c r="P17" s="225">
        <v>0</v>
      </c>
      <c r="Q17" s="225">
        <v>0</v>
      </c>
      <c r="R17" s="226">
        <v>0</v>
      </c>
      <c r="S17" s="226">
        <f>L17</f>
        <v>375832</v>
      </c>
      <c r="T17" s="227" t="s">
        <v>487</v>
      </c>
      <c r="U17" s="227" t="s">
        <v>487</v>
      </c>
      <c r="V17" s="227" t="s">
        <v>487</v>
      </c>
      <c r="W17" s="239"/>
      <c r="X17" s="239"/>
      <c r="Y17" s="258" t="b">
        <f t="shared" si="4"/>
        <v>1</v>
      </c>
      <c r="Z17" s="363">
        <f t="shared" si="5"/>
        <v>0.6</v>
      </c>
      <c r="AA17" s="258" t="b">
        <f t="shared" si="6"/>
        <v>1</v>
      </c>
      <c r="AB17" s="258" t="b">
        <f t="shared" si="7"/>
        <v>1</v>
      </c>
    </row>
    <row r="18" spans="1:28" s="177" customFormat="1" ht="33.75" x14ac:dyDescent="0.25">
      <c r="A18" s="188">
        <v>16</v>
      </c>
      <c r="B18" s="199" t="s">
        <v>401</v>
      </c>
      <c r="C18" s="247" t="s">
        <v>77</v>
      </c>
      <c r="D18" s="218" t="s">
        <v>52</v>
      </c>
      <c r="E18" s="219">
        <v>2607011</v>
      </c>
      <c r="F18" s="254" t="s">
        <v>53</v>
      </c>
      <c r="G18" s="220" t="s">
        <v>526</v>
      </c>
      <c r="H18" s="198" t="s">
        <v>46</v>
      </c>
      <c r="I18" s="243">
        <v>1.202</v>
      </c>
      <c r="J18" s="200" t="s">
        <v>161</v>
      </c>
      <c r="K18" s="221">
        <v>3611371.2</v>
      </c>
      <c r="L18" s="222">
        <v>2527959</v>
      </c>
      <c r="M18" s="223">
        <v>1083412.2000000002</v>
      </c>
      <c r="N18" s="224">
        <v>0.7</v>
      </c>
      <c r="O18" s="225">
        <v>0</v>
      </c>
      <c r="P18" s="225">
        <v>0</v>
      </c>
      <c r="Q18" s="225">
        <v>0</v>
      </c>
      <c r="R18" s="226">
        <v>0</v>
      </c>
      <c r="S18" s="226">
        <v>2527959</v>
      </c>
      <c r="T18" s="303"/>
      <c r="U18" s="303"/>
      <c r="V18" s="227"/>
      <c r="W18" s="239"/>
      <c r="X18" s="239"/>
      <c r="Y18" s="258" t="b">
        <f t="shared" si="4"/>
        <v>1</v>
      </c>
      <c r="Z18" s="363">
        <f t="shared" si="5"/>
        <v>0.7</v>
      </c>
      <c r="AA18" s="258" t="b">
        <f t="shared" si="6"/>
        <v>1</v>
      </c>
      <c r="AB18" s="258" t="b">
        <f t="shared" si="7"/>
        <v>1</v>
      </c>
    </row>
    <row r="19" spans="1:28" s="177" customFormat="1" ht="22.5" x14ac:dyDescent="0.25">
      <c r="A19" s="188">
        <v>17</v>
      </c>
      <c r="B19" s="199" t="s">
        <v>404</v>
      </c>
      <c r="C19" s="247" t="s">
        <v>77</v>
      </c>
      <c r="D19" s="203" t="s">
        <v>91</v>
      </c>
      <c r="E19" s="219">
        <v>2612073</v>
      </c>
      <c r="F19" s="254" t="s">
        <v>72</v>
      </c>
      <c r="G19" s="220" t="s">
        <v>405</v>
      </c>
      <c r="H19" s="198" t="s">
        <v>43</v>
      </c>
      <c r="I19" s="243">
        <v>1.0549999999999999</v>
      </c>
      <c r="J19" s="200" t="s">
        <v>220</v>
      </c>
      <c r="K19" s="221">
        <v>4367427.7699999996</v>
      </c>
      <c r="L19" s="222">
        <v>3057199</v>
      </c>
      <c r="M19" s="223">
        <v>1310228.7699999996</v>
      </c>
      <c r="N19" s="224">
        <v>0.7</v>
      </c>
      <c r="O19" s="225">
        <v>0</v>
      </c>
      <c r="P19" s="225">
        <v>0</v>
      </c>
      <c r="Q19" s="225">
        <v>0</v>
      </c>
      <c r="R19" s="226">
        <v>0</v>
      </c>
      <c r="S19" s="226">
        <v>3057199</v>
      </c>
      <c r="T19" s="227" t="s">
        <v>487</v>
      </c>
      <c r="U19" s="227" t="s">
        <v>487</v>
      </c>
      <c r="V19" s="227"/>
      <c r="W19" s="239"/>
      <c r="X19" s="239"/>
      <c r="Y19" s="258" t="b">
        <f t="shared" si="4"/>
        <v>1</v>
      </c>
      <c r="Z19" s="363">
        <f t="shared" si="5"/>
        <v>0.7</v>
      </c>
      <c r="AA19" s="258" t="b">
        <f t="shared" si="6"/>
        <v>1</v>
      </c>
      <c r="AB19" s="258" t="b">
        <f t="shared" si="7"/>
        <v>1</v>
      </c>
    </row>
    <row r="20" spans="1:28" s="177" customFormat="1" ht="22.5" x14ac:dyDescent="0.25">
      <c r="A20" s="189">
        <v>18</v>
      </c>
      <c r="B20" s="197" t="s">
        <v>406</v>
      </c>
      <c r="C20" s="248" t="s">
        <v>169</v>
      </c>
      <c r="D20" s="228" t="s">
        <v>155</v>
      </c>
      <c r="E20" s="229">
        <v>2601013</v>
      </c>
      <c r="F20" s="255" t="s">
        <v>51</v>
      </c>
      <c r="G20" s="230" t="s">
        <v>407</v>
      </c>
      <c r="H20" s="231" t="s">
        <v>43</v>
      </c>
      <c r="I20" s="263">
        <v>0.83799999999999997</v>
      </c>
      <c r="J20" s="233" t="s">
        <v>408</v>
      </c>
      <c r="K20" s="234">
        <v>6977618.4000000004</v>
      </c>
      <c r="L20" s="235">
        <v>4884332</v>
      </c>
      <c r="M20" s="236">
        <v>2093286.4000000004</v>
      </c>
      <c r="N20" s="237">
        <v>0.7</v>
      </c>
      <c r="O20" s="238">
        <v>0</v>
      </c>
      <c r="P20" s="238">
        <v>0</v>
      </c>
      <c r="Q20" s="238">
        <v>0</v>
      </c>
      <c r="R20" s="196">
        <v>0</v>
      </c>
      <c r="S20" s="196">
        <v>244216</v>
      </c>
      <c r="T20" s="239">
        <v>2930600</v>
      </c>
      <c r="U20" s="239">
        <v>1709516</v>
      </c>
      <c r="V20" s="227"/>
      <c r="W20" s="239"/>
      <c r="X20" s="239"/>
      <c r="Y20" s="258" t="b">
        <f t="shared" si="4"/>
        <v>1</v>
      </c>
      <c r="Z20" s="363">
        <f t="shared" si="5"/>
        <v>0.7</v>
      </c>
      <c r="AA20" s="258" t="b">
        <f t="shared" si="6"/>
        <v>1</v>
      </c>
      <c r="AB20" s="258" t="b">
        <f t="shared" si="7"/>
        <v>1</v>
      </c>
    </row>
    <row r="21" spans="1:28" s="177" customFormat="1" ht="22.5" x14ac:dyDescent="0.25">
      <c r="A21" s="188">
        <v>19</v>
      </c>
      <c r="B21" s="295" t="s">
        <v>209</v>
      </c>
      <c r="C21" s="219" t="s">
        <v>77</v>
      </c>
      <c r="D21" s="218" t="s">
        <v>210</v>
      </c>
      <c r="E21" s="200">
        <v>2607032</v>
      </c>
      <c r="F21" s="254" t="s">
        <v>53</v>
      </c>
      <c r="G21" s="220" t="s">
        <v>516</v>
      </c>
      <c r="H21" s="198" t="s">
        <v>46</v>
      </c>
      <c r="I21" s="243">
        <v>1.018</v>
      </c>
      <c r="J21" s="200" t="s">
        <v>211</v>
      </c>
      <c r="K21" s="221">
        <v>910016.26</v>
      </c>
      <c r="L21" s="296">
        <v>637011</v>
      </c>
      <c r="M21" s="297">
        <v>273005.26</v>
      </c>
      <c r="N21" s="298">
        <v>0.7</v>
      </c>
      <c r="O21" s="225">
        <v>0</v>
      </c>
      <c r="P21" s="225">
        <v>0</v>
      </c>
      <c r="Q21" s="225">
        <v>0</v>
      </c>
      <c r="R21" s="226">
        <v>0</v>
      </c>
      <c r="S21" s="226">
        <f>L21</f>
        <v>637011</v>
      </c>
      <c r="T21" s="239"/>
      <c r="U21" s="239"/>
      <c r="V21" s="227"/>
      <c r="W21" s="239"/>
      <c r="X21" s="239"/>
      <c r="Y21" s="258" t="b">
        <f t="shared" si="4"/>
        <v>1</v>
      </c>
      <c r="Z21" s="363">
        <f t="shared" si="5"/>
        <v>0.7</v>
      </c>
      <c r="AA21" s="258" t="b">
        <f t="shared" si="6"/>
        <v>1</v>
      </c>
      <c r="AB21" s="258" t="b">
        <f t="shared" si="7"/>
        <v>1</v>
      </c>
    </row>
    <row r="22" spans="1:28" s="177" customFormat="1" ht="22.5" x14ac:dyDescent="0.25">
      <c r="A22" s="188">
        <v>20</v>
      </c>
      <c r="B22" s="199" t="s">
        <v>212</v>
      </c>
      <c r="C22" s="247" t="s">
        <v>77</v>
      </c>
      <c r="D22" s="203" t="s">
        <v>152</v>
      </c>
      <c r="E22" s="188">
        <v>2609093</v>
      </c>
      <c r="F22" s="254" t="s">
        <v>61</v>
      </c>
      <c r="G22" s="220" t="s">
        <v>213</v>
      </c>
      <c r="H22" s="198" t="s">
        <v>47</v>
      </c>
      <c r="I22" s="243">
        <v>0.997</v>
      </c>
      <c r="J22" s="200" t="s">
        <v>214</v>
      </c>
      <c r="K22" s="221">
        <v>1531722.34</v>
      </c>
      <c r="L22" s="222">
        <v>1072205</v>
      </c>
      <c r="M22" s="223">
        <v>459517.34000000008</v>
      </c>
      <c r="N22" s="224">
        <v>0.7</v>
      </c>
      <c r="O22" s="225">
        <v>0</v>
      </c>
      <c r="P22" s="225">
        <v>0</v>
      </c>
      <c r="Q22" s="225">
        <v>0</v>
      </c>
      <c r="R22" s="226">
        <v>0</v>
      </c>
      <c r="S22" s="226">
        <f>L22</f>
        <v>1072205</v>
      </c>
      <c r="T22" s="239"/>
      <c r="U22" s="239"/>
      <c r="V22" s="227"/>
      <c r="W22" s="239"/>
      <c r="X22" s="239"/>
      <c r="Y22" s="258" t="b">
        <f t="shared" si="4"/>
        <v>1</v>
      </c>
      <c r="Z22" s="363">
        <f t="shared" si="5"/>
        <v>0.7</v>
      </c>
      <c r="AA22" s="258" t="b">
        <f t="shared" si="6"/>
        <v>1</v>
      </c>
      <c r="AB22" s="258" t="b">
        <f t="shared" si="7"/>
        <v>1</v>
      </c>
    </row>
    <row r="23" spans="1:28" s="177" customFormat="1" x14ac:dyDescent="0.25">
      <c r="A23" s="188">
        <v>21</v>
      </c>
      <c r="B23" s="304" t="s">
        <v>528</v>
      </c>
      <c r="C23" s="219" t="s">
        <v>77</v>
      </c>
      <c r="D23" s="203" t="s">
        <v>56</v>
      </c>
      <c r="E23" s="219">
        <v>2602023</v>
      </c>
      <c r="F23" s="254" t="s">
        <v>57</v>
      </c>
      <c r="G23" s="220" t="s">
        <v>529</v>
      </c>
      <c r="H23" s="198" t="s">
        <v>47</v>
      </c>
      <c r="I23" s="243">
        <v>0.98</v>
      </c>
      <c r="J23" s="200" t="s">
        <v>530</v>
      </c>
      <c r="K23" s="221">
        <v>3469770.45</v>
      </c>
      <c r="L23" s="296">
        <v>2428839</v>
      </c>
      <c r="M23" s="297">
        <v>1040931.4500000002</v>
      </c>
      <c r="N23" s="298">
        <v>0.7</v>
      </c>
      <c r="O23" s="299">
        <v>0</v>
      </c>
      <c r="P23" s="299">
        <v>0</v>
      </c>
      <c r="Q23" s="299">
        <v>0</v>
      </c>
      <c r="R23" s="300">
        <v>0</v>
      </c>
      <c r="S23" s="300">
        <v>2428839</v>
      </c>
      <c r="T23" s="239"/>
      <c r="U23" s="239"/>
      <c r="V23" s="227"/>
      <c r="W23" s="239"/>
      <c r="X23" s="239"/>
      <c r="Y23" s="258" t="b">
        <f t="shared" si="4"/>
        <v>1</v>
      </c>
      <c r="Z23" s="363">
        <f t="shared" si="5"/>
        <v>0.7</v>
      </c>
      <c r="AA23" s="258" t="b">
        <f t="shared" si="6"/>
        <v>1</v>
      </c>
      <c r="AB23" s="258" t="b">
        <f t="shared" si="7"/>
        <v>1</v>
      </c>
    </row>
    <row r="24" spans="1:28" s="177" customFormat="1" ht="33.75" x14ac:dyDescent="0.25">
      <c r="A24" s="189">
        <v>22</v>
      </c>
      <c r="B24" s="197" t="s">
        <v>409</v>
      </c>
      <c r="C24" s="248" t="s">
        <v>169</v>
      </c>
      <c r="D24" s="261" t="s">
        <v>153</v>
      </c>
      <c r="E24" s="229">
        <v>2604062</v>
      </c>
      <c r="F24" s="255" t="s">
        <v>55</v>
      </c>
      <c r="G24" s="230" t="s">
        <v>410</v>
      </c>
      <c r="H24" s="231" t="s">
        <v>43</v>
      </c>
      <c r="I24" s="263">
        <v>0.92</v>
      </c>
      <c r="J24" s="233" t="s">
        <v>395</v>
      </c>
      <c r="K24" s="234">
        <v>3768088</v>
      </c>
      <c r="L24" s="235">
        <v>2637661</v>
      </c>
      <c r="M24" s="236">
        <v>1130427</v>
      </c>
      <c r="N24" s="237">
        <v>0.7</v>
      </c>
      <c r="O24" s="238">
        <v>0</v>
      </c>
      <c r="P24" s="238">
        <v>0</v>
      </c>
      <c r="Q24" s="238">
        <v>0</v>
      </c>
      <c r="R24" s="196">
        <v>0</v>
      </c>
      <c r="S24" s="196">
        <v>31500</v>
      </c>
      <c r="T24" s="239">
        <v>1348230</v>
      </c>
      <c r="U24" s="239">
        <v>1257931</v>
      </c>
      <c r="V24" s="227"/>
      <c r="W24" s="239"/>
      <c r="X24" s="239"/>
      <c r="Y24" s="258" t="b">
        <f t="shared" si="4"/>
        <v>1</v>
      </c>
      <c r="Z24" s="363">
        <f t="shared" si="5"/>
        <v>0.7</v>
      </c>
      <c r="AA24" s="258" t="b">
        <f t="shared" si="6"/>
        <v>1</v>
      </c>
      <c r="AB24" s="258" t="b">
        <f t="shared" si="7"/>
        <v>1</v>
      </c>
    </row>
    <row r="25" spans="1:28" s="258" customFormat="1" ht="22.5" x14ac:dyDescent="0.25">
      <c r="A25" s="188">
        <v>23</v>
      </c>
      <c r="B25" s="199" t="s">
        <v>266</v>
      </c>
      <c r="C25" s="247" t="s">
        <v>77</v>
      </c>
      <c r="D25" s="203" t="s">
        <v>267</v>
      </c>
      <c r="E25" s="188">
        <v>2604023</v>
      </c>
      <c r="F25" s="254" t="s">
        <v>55</v>
      </c>
      <c r="G25" s="220" t="s">
        <v>268</v>
      </c>
      <c r="H25" s="198" t="s">
        <v>43</v>
      </c>
      <c r="I25" s="243">
        <v>0.53</v>
      </c>
      <c r="J25" s="200" t="s">
        <v>161</v>
      </c>
      <c r="K25" s="221">
        <v>2574169.84</v>
      </c>
      <c r="L25" s="222">
        <v>1544501</v>
      </c>
      <c r="M25" s="223">
        <v>1029668.8399999999</v>
      </c>
      <c r="N25" s="224">
        <v>0.6</v>
      </c>
      <c r="O25" s="225">
        <v>0</v>
      </c>
      <c r="P25" s="225">
        <v>0</v>
      </c>
      <c r="Q25" s="225">
        <v>0</v>
      </c>
      <c r="R25" s="226">
        <v>0</v>
      </c>
      <c r="S25" s="226">
        <f>L25</f>
        <v>1544501</v>
      </c>
      <c r="T25" s="301"/>
      <c r="U25" s="301"/>
      <c r="V25" s="239"/>
      <c r="W25" s="239"/>
      <c r="X25" s="239"/>
      <c r="Y25" s="258" t="b">
        <f t="shared" si="4"/>
        <v>1</v>
      </c>
      <c r="Z25" s="363">
        <f t="shared" si="5"/>
        <v>0.6</v>
      </c>
      <c r="AA25" s="258" t="b">
        <f t="shared" si="6"/>
        <v>1</v>
      </c>
      <c r="AB25" s="258" t="b">
        <f t="shared" si="7"/>
        <v>1</v>
      </c>
    </row>
    <row r="26" spans="1:28" s="258" customFormat="1" ht="22.5" x14ac:dyDescent="0.25">
      <c r="A26" s="188">
        <v>24</v>
      </c>
      <c r="B26" s="276" t="s">
        <v>383</v>
      </c>
      <c r="C26" s="277" t="s">
        <v>77</v>
      </c>
      <c r="D26" s="203" t="s">
        <v>97</v>
      </c>
      <c r="E26" s="240">
        <v>2609062</v>
      </c>
      <c r="F26" s="257" t="s">
        <v>61</v>
      </c>
      <c r="G26" s="241" t="s">
        <v>384</v>
      </c>
      <c r="H26" s="242" t="s">
        <v>46</v>
      </c>
      <c r="I26" s="243">
        <v>0.441</v>
      </c>
      <c r="J26" s="204" t="s">
        <v>385</v>
      </c>
      <c r="K26" s="244">
        <v>346398.6</v>
      </c>
      <c r="L26" s="278">
        <v>242479</v>
      </c>
      <c r="M26" s="279">
        <v>103919.59999999998</v>
      </c>
      <c r="N26" s="280">
        <v>0.7</v>
      </c>
      <c r="O26" s="281">
        <v>0</v>
      </c>
      <c r="P26" s="281">
        <v>0</v>
      </c>
      <c r="Q26" s="281">
        <v>0</v>
      </c>
      <c r="R26" s="245">
        <v>0</v>
      </c>
      <c r="S26" s="245">
        <v>242479</v>
      </c>
      <c r="T26" s="239"/>
      <c r="U26" s="239"/>
      <c r="V26" s="239"/>
      <c r="W26" s="239"/>
      <c r="X26" s="239"/>
      <c r="Y26" s="258" t="b">
        <f t="shared" si="4"/>
        <v>1</v>
      </c>
      <c r="Z26" s="363">
        <f t="shared" si="5"/>
        <v>0.7</v>
      </c>
      <c r="AA26" s="258" t="b">
        <f t="shared" si="6"/>
        <v>1</v>
      </c>
      <c r="AB26" s="258" t="b">
        <f t="shared" si="7"/>
        <v>1</v>
      </c>
    </row>
    <row r="27" spans="1:28" s="258" customFormat="1" ht="22.5" x14ac:dyDescent="0.25">
      <c r="A27" s="188">
        <v>25</v>
      </c>
      <c r="B27" s="199" t="s">
        <v>411</v>
      </c>
      <c r="C27" s="247" t="s">
        <v>77</v>
      </c>
      <c r="D27" s="203" t="s">
        <v>59</v>
      </c>
      <c r="E27" s="219">
        <v>2609033</v>
      </c>
      <c r="F27" s="254" t="s">
        <v>61</v>
      </c>
      <c r="G27" s="220" t="s">
        <v>412</v>
      </c>
      <c r="H27" s="198" t="s">
        <v>47</v>
      </c>
      <c r="I27" s="243">
        <v>0.34100000000000003</v>
      </c>
      <c r="J27" s="200" t="s">
        <v>413</v>
      </c>
      <c r="K27" s="221">
        <v>998922.08</v>
      </c>
      <c r="L27" s="222">
        <v>699245</v>
      </c>
      <c r="M27" s="223">
        <v>299677.07999999996</v>
      </c>
      <c r="N27" s="224">
        <v>0.7</v>
      </c>
      <c r="O27" s="225">
        <v>0</v>
      </c>
      <c r="P27" s="225">
        <v>0</v>
      </c>
      <c r="Q27" s="225">
        <v>0</v>
      </c>
      <c r="R27" s="226">
        <v>0</v>
      </c>
      <c r="S27" s="226">
        <v>699245</v>
      </c>
      <c r="T27" s="239"/>
      <c r="U27" s="239"/>
      <c r="V27" s="239"/>
      <c r="W27" s="239"/>
      <c r="X27" s="239"/>
      <c r="Y27" s="258" t="b">
        <f t="shared" si="4"/>
        <v>1</v>
      </c>
      <c r="Z27" s="363">
        <f t="shared" si="5"/>
        <v>0.7</v>
      </c>
      <c r="AA27" s="258" t="b">
        <f t="shared" si="6"/>
        <v>1</v>
      </c>
      <c r="AB27" s="258" t="b">
        <f t="shared" si="7"/>
        <v>1</v>
      </c>
    </row>
    <row r="28" spans="1:28" s="258" customFormat="1" ht="22.5" x14ac:dyDescent="0.25">
      <c r="A28" s="188">
        <v>26</v>
      </c>
      <c r="B28" s="199" t="s">
        <v>278</v>
      </c>
      <c r="C28" s="247" t="s">
        <v>77</v>
      </c>
      <c r="D28" s="203" t="s">
        <v>144</v>
      </c>
      <c r="E28" s="188">
        <v>2604043</v>
      </c>
      <c r="F28" s="254" t="s">
        <v>55</v>
      </c>
      <c r="G28" s="220" t="s">
        <v>279</v>
      </c>
      <c r="H28" s="198" t="s">
        <v>47</v>
      </c>
      <c r="I28" s="243">
        <v>0.34</v>
      </c>
      <c r="J28" s="200" t="s">
        <v>280</v>
      </c>
      <c r="K28" s="221">
        <v>3211194.9</v>
      </c>
      <c r="L28" s="222">
        <v>1926716</v>
      </c>
      <c r="M28" s="223">
        <f>K28-L28</f>
        <v>1284478.8999999999</v>
      </c>
      <c r="N28" s="224">
        <v>0.6</v>
      </c>
      <c r="O28" s="225">
        <v>0</v>
      </c>
      <c r="P28" s="225">
        <v>0</v>
      </c>
      <c r="Q28" s="225">
        <v>0</v>
      </c>
      <c r="R28" s="226">
        <v>0</v>
      </c>
      <c r="S28" s="226">
        <f>L28</f>
        <v>1926716</v>
      </c>
      <c r="T28" s="239"/>
      <c r="U28" s="239"/>
      <c r="V28" s="239"/>
      <c r="W28" s="239"/>
      <c r="X28" s="239"/>
      <c r="Y28" s="258" t="b">
        <f t="shared" si="4"/>
        <v>1</v>
      </c>
      <c r="Z28" s="363">
        <f t="shared" si="5"/>
        <v>0.6</v>
      </c>
      <c r="AA28" s="258" t="b">
        <f t="shared" si="6"/>
        <v>1</v>
      </c>
      <c r="AB28" s="258" t="b">
        <f t="shared" si="7"/>
        <v>1</v>
      </c>
    </row>
    <row r="29" spans="1:28" s="258" customFormat="1" ht="22.5" x14ac:dyDescent="0.25">
      <c r="A29" s="188">
        <v>27</v>
      </c>
      <c r="B29" s="199" t="s">
        <v>414</v>
      </c>
      <c r="C29" s="247" t="s">
        <v>77</v>
      </c>
      <c r="D29" s="203" t="s">
        <v>84</v>
      </c>
      <c r="E29" s="219">
        <v>2604182</v>
      </c>
      <c r="F29" s="254" t="s">
        <v>55</v>
      </c>
      <c r="G29" s="220" t="s">
        <v>415</v>
      </c>
      <c r="H29" s="198" t="s">
        <v>47</v>
      </c>
      <c r="I29" s="243">
        <v>0.313</v>
      </c>
      <c r="J29" s="200" t="s">
        <v>214</v>
      </c>
      <c r="K29" s="221">
        <v>530464.59</v>
      </c>
      <c r="L29" s="222">
        <v>371325</v>
      </c>
      <c r="M29" s="223">
        <v>159139.58999999997</v>
      </c>
      <c r="N29" s="224">
        <v>0.7</v>
      </c>
      <c r="O29" s="225">
        <v>0</v>
      </c>
      <c r="P29" s="225">
        <v>0</v>
      </c>
      <c r="Q29" s="225">
        <v>0</v>
      </c>
      <c r="R29" s="226">
        <v>0</v>
      </c>
      <c r="S29" s="226">
        <v>371325</v>
      </c>
      <c r="T29" s="239"/>
      <c r="U29" s="239"/>
      <c r="V29" s="239"/>
      <c r="W29" s="239"/>
      <c r="X29" s="239"/>
      <c r="Y29" s="258" t="b">
        <f t="shared" si="4"/>
        <v>1</v>
      </c>
      <c r="Z29" s="363">
        <f t="shared" si="5"/>
        <v>0.7</v>
      </c>
      <c r="AA29" s="258" t="b">
        <f t="shared" si="6"/>
        <v>1</v>
      </c>
      <c r="AB29" s="258" t="b">
        <f t="shared" si="7"/>
        <v>1</v>
      </c>
    </row>
    <row r="30" spans="1:28" s="258" customFormat="1" x14ac:dyDescent="0.25">
      <c r="A30" s="189">
        <v>28</v>
      </c>
      <c r="B30" s="197" t="s">
        <v>416</v>
      </c>
      <c r="C30" s="248" t="s">
        <v>169</v>
      </c>
      <c r="D30" s="261" t="s">
        <v>145</v>
      </c>
      <c r="E30" s="229">
        <v>2604192</v>
      </c>
      <c r="F30" s="255" t="s">
        <v>55</v>
      </c>
      <c r="G30" s="230" t="s">
        <v>417</v>
      </c>
      <c r="H30" s="231" t="s">
        <v>43</v>
      </c>
      <c r="I30" s="263">
        <v>0.28100000000000003</v>
      </c>
      <c r="J30" s="233" t="s">
        <v>230</v>
      </c>
      <c r="K30" s="234">
        <v>1936757.16</v>
      </c>
      <c r="L30" s="235">
        <v>1355730</v>
      </c>
      <c r="M30" s="236">
        <v>581027.15999999992</v>
      </c>
      <c r="N30" s="237">
        <v>0.7</v>
      </c>
      <c r="O30" s="238">
        <v>0</v>
      </c>
      <c r="P30" s="238">
        <v>0</v>
      </c>
      <c r="Q30" s="238">
        <v>0</v>
      </c>
      <c r="R30" s="196">
        <v>0</v>
      </c>
      <c r="S30" s="196">
        <v>350000</v>
      </c>
      <c r="T30" s="239">
        <v>1005730</v>
      </c>
      <c r="U30" s="239"/>
      <c r="V30" s="239"/>
      <c r="W30" s="239"/>
      <c r="X30" s="239"/>
      <c r="Y30" s="258" t="b">
        <f t="shared" si="4"/>
        <v>1</v>
      </c>
      <c r="Z30" s="363">
        <f t="shared" si="5"/>
        <v>0.7</v>
      </c>
      <c r="AA30" s="258" t="b">
        <f t="shared" si="6"/>
        <v>1</v>
      </c>
      <c r="AB30" s="258" t="b">
        <f t="shared" si="7"/>
        <v>1</v>
      </c>
    </row>
    <row r="31" spans="1:28" s="258" customFormat="1" x14ac:dyDescent="0.25">
      <c r="A31" s="189">
        <v>29</v>
      </c>
      <c r="B31" s="197" t="s">
        <v>418</v>
      </c>
      <c r="C31" s="248" t="s">
        <v>169</v>
      </c>
      <c r="D31" s="261" t="s">
        <v>145</v>
      </c>
      <c r="E31" s="229">
        <v>2604192</v>
      </c>
      <c r="F31" s="255" t="s">
        <v>55</v>
      </c>
      <c r="G31" s="230" t="s">
        <v>419</v>
      </c>
      <c r="H31" s="231" t="s">
        <v>43</v>
      </c>
      <c r="I31" s="263">
        <v>0.22</v>
      </c>
      <c r="J31" s="233" t="s">
        <v>230</v>
      </c>
      <c r="K31" s="234">
        <v>1208193.5</v>
      </c>
      <c r="L31" s="235">
        <v>845735</v>
      </c>
      <c r="M31" s="236">
        <v>362458.5</v>
      </c>
      <c r="N31" s="237">
        <v>0.7</v>
      </c>
      <c r="O31" s="238">
        <v>0</v>
      </c>
      <c r="P31" s="238">
        <v>0</v>
      </c>
      <c r="Q31" s="238">
        <v>0</v>
      </c>
      <c r="R31" s="196">
        <v>0</v>
      </c>
      <c r="S31" s="196">
        <v>350000</v>
      </c>
      <c r="T31" s="239">
        <v>495735</v>
      </c>
      <c r="U31" s="239"/>
      <c r="V31" s="239"/>
      <c r="W31" s="239"/>
      <c r="X31" s="239"/>
      <c r="Y31" s="258" t="b">
        <f t="shared" si="4"/>
        <v>1</v>
      </c>
      <c r="Z31" s="363">
        <f t="shared" si="5"/>
        <v>0.7</v>
      </c>
      <c r="AA31" s="258" t="b">
        <f t="shared" si="6"/>
        <v>1</v>
      </c>
      <c r="AB31" s="258" t="b">
        <f t="shared" si="7"/>
        <v>1</v>
      </c>
    </row>
    <row r="32" spans="1:28" s="258" customFormat="1" ht="33.75" x14ac:dyDescent="0.25">
      <c r="A32" s="189">
        <v>30</v>
      </c>
      <c r="B32" s="197" t="s">
        <v>420</v>
      </c>
      <c r="C32" s="248" t="s">
        <v>169</v>
      </c>
      <c r="D32" s="261" t="s">
        <v>52</v>
      </c>
      <c r="E32" s="229">
        <v>2607011</v>
      </c>
      <c r="F32" s="255" t="s">
        <v>53</v>
      </c>
      <c r="G32" s="230" t="s">
        <v>421</v>
      </c>
      <c r="H32" s="231" t="s">
        <v>43</v>
      </c>
      <c r="I32" s="263">
        <v>2.7610000000000001</v>
      </c>
      <c r="J32" s="233" t="s">
        <v>422</v>
      </c>
      <c r="K32" s="234">
        <v>31168590.870000001</v>
      </c>
      <c r="L32" s="235">
        <v>21818013</v>
      </c>
      <c r="M32" s="236">
        <v>9350577.870000001</v>
      </c>
      <c r="N32" s="237">
        <v>0.7</v>
      </c>
      <c r="O32" s="238">
        <v>0</v>
      </c>
      <c r="P32" s="238">
        <v>0</v>
      </c>
      <c r="Q32" s="238">
        <v>0</v>
      </c>
      <c r="R32" s="196">
        <v>0</v>
      </c>
      <c r="S32" s="196">
        <v>3875</v>
      </c>
      <c r="T32" s="239">
        <v>270805</v>
      </c>
      <c r="U32" s="239">
        <v>4453096</v>
      </c>
      <c r="V32" s="239">
        <v>10681398</v>
      </c>
      <c r="W32" s="239">
        <v>6408839</v>
      </c>
      <c r="X32" s="239"/>
      <c r="Y32" s="258" t="b">
        <f t="shared" si="4"/>
        <v>1</v>
      </c>
      <c r="Z32" s="363">
        <f t="shared" si="5"/>
        <v>0.7</v>
      </c>
      <c r="AA32" s="258" t="b">
        <f t="shared" si="6"/>
        <v>1</v>
      </c>
      <c r="AB32" s="258" t="b">
        <f t="shared" si="7"/>
        <v>1</v>
      </c>
    </row>
    <row r="33" spans="1:28" s="258" customFormat="1" ht="22.5" x14ac:dyDescent="0.25">
      <c r="A33" s="188">
        <v>31</v>
      </c>
      <c r="B33" s="199" t="s">
        <v>425</v>
      </c>
      <c r="C33" s="247" t="s">
        <v>77</v>
      </c>
      <c r="D33" s="203" t="s">
        <v>239</v>
      </c>
      <c r="E33" s="219">
        <v>2606012</v>
      </c>
      <c r="F33" s="254" t="s">
        <v>85</v>
      </c>
      <c r="G33" s="220" t="s">
        <v>531</v>
      </c>
      <c r="H33" s="198" t="s">
        <v>46</v>
      </c>
      <c r="I33" s="243">
        <v>1.1419999999999999</v>
      </c>
      <c r="J33" s="200" t="s">
        <v>241</v>
      </c>
      <c r="K33" s="221">
        <v>365585.51</v>
      </c>
      <c r="L33" s="222">
        <v>219351</v>
      </c>
      <c r="M33" s="223">
        <v>146234.51</v>
      </c>
      <c r="N33" s="224">
        <v>0.6</v>
      </c>
      <c r="O33" s="225">
        <v>0</v>
      </c>
      <c r="P33" s="225">
        <v>0</v>
      </c>
      <c r="Q33" s="225">
        <v>0</v>
      </c>
      <c r="R33" s="226">
        <v>0</v>
      </c>
      <c r="S33" s="226">
        <v>219351</v>
      </c>
      <c r="T33" s="239"/>
      <c r="U33" s="239"/>
      <c r="V33" s="239"/>
      <c r="W33" s="239"/>
      <c r="X33" s="239"/>
      <c r="Y33" s="258" t="b">
        <f t="shared" si="4"/>
        <v>1</v>
      </c>
      <c r="Z33" s="363">
        <f t="shared" si="5"/>
        <v>0.6</v>
      </c>
      <c r="AA33" s="258" t="b">
        <f t="shared" si="6"/>
        <v>1</v>
      </c>
      <c r="AB33" s="258" t="b">
        <f t="shared" si="7"/>
        <v>1</v>
      </c>
    </row>
    <row r="34" spans="1:28" s="258" customFormat="1" ht="33.75" x14ac:dyDescent="0.25">
      <c r="A34" s="189">
        <v>32</v>
      </c>
      <c r="B34" s="197" t="s">
        <v>426</v>
      </c>
      <c r="C34" s="248" t="s">
        <v>169</v>
      </c>
      <c r="D34" s="261" t="s">
        <v>153</v>
      </c>
      <c r="E34" s="229">
        <v>2604062</v>
      </c>
      <c r="F34" s="255" t="s">
        <v>55</v>
      </c>
      <c r="G34" s="230" t="s">
        <v>532</v>
      </c>
      <c r="H34" s="231" t="s">
        <v>43</v>
      </c>
      <c r="I34" s="263">
        <v>1.0049999999999999</v>
      </c>
      <c r="J34" s="233" t="s">
        <v>427</v>
      </c>
      <c r="K34" s="234">
        <v>4474025</v>
      </c>
      <c r="L34" s="235">
        <v>3131817</v>
      </c>
      <c r="M34" s="236">
        <v>1342208</v>
      </c>
      <c r="N34" s="237">
        <v>0.7</v>
      </c>
      <c r="O34" s="238">
        <v>0</v>
      </c>
      <c r="P34" s="238">
        <v>0</v>
      </c>
      <c r="Q34" s="238">
        <v>0</v>
      </c>
      <c r="R34" s="196">
        <v>0</v>
      </c>
      <c r="S34" s="196">
        <v>49000</v>
      </c>
      <c r="T34" s="239">
        <v>945000</v>
      </c>
      <c r="U34" s="239">
        <v>2137817</v>
      </c>
      <c r="V34" s="239"/>
      <c r="W34" s="239"/>
      <c r="X34" s="239"/>
      <c r="Y34" s="258" t="b">
        <f t="shared" si="4"/>
        <v>1</v>
      </c>
      <c r="Z34" s="363">
        <f t="shared" si="5"/>
        <v>0.7</v>
      </c>
      <c r="AA34" s="258" t="b">
        <f t="shared" si="6"/>
        <v>1</v>
      </c>
      <c r="AB34" s="258" t="b">
        <f t="shared" si="7"/>
        <v>1</v>
      </c>
    </row>
    <row r="35" spans="1:28" s="258" customFormat="1" ht="33.75" x14ac:dyDescent="0.25">
      <c r="A35" s="189">
        <v>33</v>
      </c>
      <c r="B35" s="197" t="s">
        <v>451</v>
      </c>
      <c r="C35" s="248" t="s">
        <v>169</v>
      </c>
      <c r="D35" s="261" t="s">
        <v>111</v>
      </c>
      <c r="E35" s="229">
        <v>2611011</v>
      </c>
      <c r="F35" s="255" t="s">
        <v>75</v>
      </c>
      <c r="G35" s="230" t="s">
        <v>535</v>
      </c>
      <c r="H35" s="231" t="s">
        <v>43</v>
      </c>
      <c r="I35" s="263">
        <v>0.80900000000000005</v>
      </c>
      <c r="J35" s="233" t="s">
        <v>452</v>
      </c>
      <c r="K35" s="234">
        <v>30674490.710000001</v>
      </c>
      <c r="L35" s="235">
        <v>21472143</v>
      </c>
      <c r="M35" s="236">
        <v>9202347.7100000009</v>
      </c>
      <c r="N35" s="237">
        <v>0.7</v>
      </c>
      <c r="O35" s="238">
        <v>0</v>
      </c>
      <c r="P35" s="238">
        <v>0</v>
      </c>
      <c r="Q35" s="238">
        <v>0</v>
      </c>
      <c r="R35" s="196">
        <v>0</v>
      </c>
      <c r="S35" s="196">
        <v>3578690</v>
      </c>
      <c r="T35" s="239">
        <v>10736072</v>
      </c>
      <c r="U35" s="239">
        <v>7157381</v>
      </c>
      <c r="V35" s="239"/>
      <c r="W35" s="239"/>
      <c r="X35" s="239"/>
      <c r="Y35" s="258" t="b">
        <f t="shared" si="4"/>
        <v>1</v>
      </c>
      <c r="Z35" s="363">
        <f t="shared" si="5"/>
        <v>0.7</v>
      </c>
      <c r="AA35" s="258" t="b">
        <f t="shared" si="6"/>
        <v>1</v>
      </c>
      <c r="AB35" s="258" t="b">
        <f t="shared" si="7"/>
        <v>1</v>
      </c>
    </row>
    <row r="36" spans="1:28" s="258" customFormat="1" ht="33.75" x14ac:dyDescent="0.25">
      <c r="A36" s="189">
        <v>34</v>
      </c>
      <c r="B36" s="288" t="s">
        <v>236</v>
      </c>
      <c r="C36" s="229" t="s">
        <v>169</v>
      </c>
      <c r="D36" s="261" t="s">
        <v>210</v>
      </c>
      <c r="E36" s="233">
        <v>2607032</v>
      </c>
      <c r="F36" s="255" t="s">
        <v>53</v>
      </c>
      <c r="G36" s="230" t="s">
        <v>519</v>
      </c>
      <c r="H36" s="231" t="s">
        <v>43</v>
      </c>
      <c r="I36" s="263">
        <v>0.58399999999999996</v>
      </c>
      <c r="J36" s="233" t="s">
        <v>237</v>
      </c>
      <c r="K36" s="234">
        <v>3031384.31</v>
      </c>
      <c r="L36" s="289">
        <v>2121969</v>
      </c>
      <c r="M36" s="290">
        <v>909415.31</v>
      </c>
      <c r="N36" s="291">
        <v>0.7</v>
      </c>
      <c r="O36" s="292">
        <v>0</v>
      </c>
      <c r="P36" s="292">
        <v>0</v>
      </c>
      <c r="Q36" s="292">
        <v>0</v>
      </c>
      <c r="R36" s="293">
        <v>0</v>
      </c>
      <c r="S36" s="294">
        <v>1060984</v>
      </c>
      <c r="T36" s="285">
        <v>1060985</v>
      </c>
      <c r="U36" s="239"/>
      <c r="V36" s="239"/>
      <c r="W36" s="239"/>
      <c r="X36" s="239"/>
      <c r="Y36" s="258" t="b">
        <f t="shared" si="4"/>
        <v>1</v>
      </c>
      <c r="Z36" s="363">
        <f t="shared" si="5"/>
        <v>0.7</v>
      </c>
      <c r="AA36" s="258" t="b">
        <f t="shared" si="6"/>
        <v>1</v>
      </c>
      <c r="AB36" s="258" t="b">
        <f t="shared" si="7"/>
        <v>1</v>
      </c>
    </row>
    <row r="37" spans="1:28" s="258" customFormat="1" ht="22.5" x14ac:dyDescent="0.25">
      <c r="A37" s="189">
        <v>35</v>
      </c>
      <c r="B37" s="197" t="s">
        <v>430</v>
      </c>
      <c r="C37" s="248" t="s">
        <v>169</v>
      </c>
      <c r="D37" s="261" t="s">
        <v>59</v>
      </c>
      <c r="E37" s="229">
        <v>2609033</v>
      </c>
      <c r="F37" s="255" t="s">
        <v>61</v>
      </c>
      <c r="G37" s="230" t="s">
        <v>431</v>
      </c>
      <c r="H37" s="231" t="s">
        <v>43</v>
      </c>
      <c r="I37" s="263">
        <v>0.46800000000000003</v>
      </c>
      <c r="J37" s="233" t="s">
        <v>377</v>
      </c>
      <c r="K37" s="234">
        <v>794150.05</v>
      </c>
      <c r="L37" s="235">
        <v>555905</v>
      </c>
      <c r="M37" s="236">
        <v>238245.05000000005</v>
      </c>
      <c r="N37" s="237">
        <v>0.7</v>
      </c>
      <c r="O37" s="238">
        <v>0</v>
      </c>
      <c r="P37" s="238">
        <v>0</v>
      </c>
      <c r="Q37" s="238">
        <v>0</v>
      </c>
      <c r="R37" s="196">
        <v>0</v>
      </c>
      <c r="S37" s="196">
        <v>700</v>
      </c>
      <c r="T37" s="239">
        <v>555205</v>
      </c>
      <c r="U37" s="239"/>
      <c r="V37" s="239"/>
      <c r="W37" s="239"/>
      <c r="X37" s="239"/>
      <c r="Y37" s="258" t="b">
        <f t="shared" si="4"/>
        <v>1</v>
      </c>
      <c r="Z37" s="363">
        <f t="shared" si="5"/>
        <v>0.7</v>
      </c>
      <c r="AA37" s="258" t="b">
        <f t="shared" si="6"/>
        <v>1</v>
      </c>
      <c r="AB37" s="258" t="b">
        <f t="shared" si="7"/>
        <v>1</v>
      </c>
    </row>
    <row r="38" spans="1:28" s="258" customFormat="1" ht="22.5" x14ac:dyDescent="0.25">
      <c r="A38" s="189">
        <v>36</v>
      </c>
      <c r="B38" s="197" t="s">
        <v>432</v>
      </c>
      <c r="C38" s="248" t="s">
        <v>169</v>
      </c>
      <c r="D38" s="261" t="s">
        <v>145</v>
      </c>
      <c r="E38" s="229">
        <v>2604192</v>
      </c>
      <c r="F38" s="255" t="s">
        <v>55</v>
      </c>
      <c r="G38" s="230" t="s">
        <v>433</v>
      </c>
      <c r="H38" s="231" t="s">
        <v>43</v>
      </c>
      <c r="I38" s="263">
        <v>0.44600000000000001</v>
      </c>
      <c r="J38" s="233" t="s">
        <v>230</v>
      </c>
      <c r="K38" s="234">
        <v>4028760.44</v>
      </c>
      <c r="L38" s="235">
        <v>2820132</v>
      </c>
      <c r="M38" s="236">
        <v>1208628.44</v>
      </c>
      <c r="N38" s="237">
        <v>0.7</v>
      </c>
      <c r="O38" s="238">
        <v>0</v>
      </c>
      <c r="P38" s="238">
        <v>0</v>
      </c>
      <c r="Q38" s="238">
        <v>0</v>
      </c>
      <c r="R38" s="196">
        <v>0</v>
      </c>
      <c r="S38" s="196">
        <v>350000</v>
      </c>
      <c r="T38" s="239">
        <v>2470132</v>
      </c>
      <c r="U38" s="239"/>
      <c r="V38" s="239"/>
      <c r="W38" s="239"/>
      <c r="X38" s="239"/>
      <c r="Y38" s="258" t="b">
        <f t="shared" si="4"/>
        <v>1</v>
      </c>
      <c r="Z38" s="363">
        <f t="shared" si="5"/>
        <v>0.7</v>
      </c>
      <c r="AA38" s="258" t="b">
        <f t="shared" si="6"/>
        <v>1</v>
      </c>
      <c r="AB38" s="258" t="b">
        <f t="shared" si="7"/>
        <v>1</v>
      </c>
    </row>
    <row r="39" spans="1:28" s="258" customFormat="1" ht="22.5" x14ac:dyDescent="0.25">
      <c r="A39" s="188">
        <v>37</v>
      </c>
      <c r="B39" s="199" t="s">
        <v>473</v>
      </c>
      <c r="C39" s="247" t="s">
        <v>77</v>
      </c>
      <c r="D39" s="203" t="s">
        <v>111</v>
      </c>
      <c r="E39" s="219">
        <v>2611011</v>
      </c>
      <c r="F39" s="254" t="s">
        <v>75</v>
      </c>
      <c r="G39" s="220" t="s">
        <v>474</v>
      </c>
      <c r="H39" s="198" t="s">
        <v>46</v>
      </c>
      <c r="I39" s="243">
        <v>0.443</v>
      </c>
      <c r="J39" s="200" t="s">
        <v>469</v>
      </c>
      <c r="K39" s="221">
        <v>865660.48</v>
      </c>
      <c r="L39" s="222">
        <v>605962</v>
      </c>
      <c r="M39" s="223">
        <f>K39-L39</f>
        <v>259698.47999999998</v>
      </c>
      <c r="N39" s="224">
        <v>0.7</v>
      </c>
      <c r="O39" s="225">
        <v>0</v>
      </c>
      <c r="P39" s="225">
        <v>0</v>
      </c>
      <c r="Q39" s="225">
        <v>0</v>
      </c>
      <c r="R39" s="226">
        <v>0</v>
      </c>
      <c r="S39" s="226">
        <f>L39</f>
        <v>605962</v>
      </c>
      <c r="T39" s="239"/>
      <c r="U39" s="239"/>
      <c r="V39" s="239"/>
      <c r="W39" s="239"/>
      <c r="X39" s="239"/>
      <c r="Y39" s="258" t="b">
        <f t="shared" si="4"/>
        <v>1</v>
      </c>
      <c r="Z39" s="363">
        <f t="shared" si="5"/>
        <v>0.7</v>
      </c>
      <c r="AA39" s="258" t="b">
        <f t="shared" si="6"/>
        <v>1</v>
      </c>
      <c r="AB39" s="258" t="b">
        <f t="shared" si="7"/>
        <v>1</v>
      </c>
    </row>
    <row r="40" spans="1:28" s="258" customFormat="1" ht="22.5" x14ac:dyDescent="0.25">
      <c r="A40" s="188">
        <v>38</v>
      </c>
      <c r="B40" s="199" t="s">
        <v>434</v>
      </c>
      <c r="C40" s="247" t="s">
        <v>77</v>
      </c>
      <c r="D40" s="203" t="s">
        <v>84</v>
      </c>
      <c r="E40" s="219">
        <v>2604182</v>
      </c>
      <c r="F40" s="254" t="s">
        <v>55</v>
      </c>
      <c r="G40" s="220" t="s">
        <v>435</v>
      </c>
      <c r="H40" s="198" t="s">
        <v>46</v>
      </c>
      <c r="I40" s="243">
        <v>0.42199999999999999</v>
      </c>
      <c r="J40" s="200" t="s">
        <v>214</v>
      </c>
      <c r="K40" s="221">
        <v>530464.59</v>
      </c>
      <c r="L40" s="222">
        <v>371325</v>
      </c>
      <c r="M40" s="223">
        <v>159139.58999999997</v>
      </c>
      <c r="N40" s="224">
        <v>0.7</v>
      </c>
      <c r="O40" s="225">
        <v>0</v>
      </c>
      <c r="P40" s="225">
        <v>0</v>
      </c>
      <c r="Q40" s="225">
        <v>0</v>
      </c>
      <c r="R40" s="226">
        <v>0</v>
      </c>
      <c r="S40" s="226">
        <v>371325</v>
      </c>
      <c r="T40" s="239"/>
      <c r="U40" s="239"/>
      <c r="V40" s="239"/>
      <c r="W40" s="239"/>
      <c r="X40" s="239"/>
      <c r="Y40" s="258" t="b">
        <f t="shared" si="4"/>
        <v>1</v>
      </c>
      <c r="Z40" s="363">
        <f t="shared" si="5"/>
        <v>0.7</v>
      </c>
      <c r="AA40" s="258" t="b">
        <f t="shared" si="6"/>
        <v>1</v>
      </c>
      <c r="AB40" s="258" t="b">
        <f t="shared" si="7"/>
        <v>1</v>
      </c>
    </row>
    <row r="41" spans="1:28" s="258" customFormat="1" ht="22.5" x14ac:dyDescent="0.25">
      <c r="A41" s="188">
        <v>39</v>
      </c>
      <c r="B41" s="199" t="s">
        <v>436</v>
      </c>
      <c r="C41" s="247" t="s">
        <v>77</v>
      </c>
      <c r="D41" s="203" t="s">
        <v>102</v>
      </c>
      <c r="E41" s="219">
        <v>2604133</v>
      </c>
      <c r="F41" s="254" t="s">
        <v>55</v>
      </c>
      <c r="G41" s="220" t="s">
        <v>437</v>
      </c>
      <c r="H41" s="198" t="s">
        <v>47</v>
      </c>
      <c r="I41" s="243">
        <v>0.252</v>
      </c>
      <c r="J41" s="200" t="s">
        <v>211</v>
      </c>
      <c r="K41" s="221">
        <v>896328.46</v>
      </c>
      <c r="L41" s="222">
        <v>627429</v>
      </c>
      <c r="M41" s="223">
        <v>268899.45999999996</v>
      </c>
      <c r="N41" s="224">
        <v>0.7</v>
      </c>
      <c r="O41" s="225">
        <v>0</v>
      </c>
      <c r="P41" s="225">
        <v>0</v>
      </c>
      <c r="Q41" s="225">
        <v>0</v>
      </c>
      <c r="R41" s="226">
        <v>0</v>
      </c>
      <c r="S41" s="226">
        <v>627429</v>
      </c>
      <c r="T41" s="239"/>
      <c r="U41" s="239"/>
      <c r="V41" s="239"/>
      <c r="W41" s="239"/>
      <c r="X41" s="239"/>
      <c r="Y41" s="258" t="b">
        <f t="shared" si="4"/>
        <v>1</v>
      </c>
      <c r="Z41" s="363">
        <f t="shared" si="5"/>
        <v>0.7</v>
      </c>
      <c r="AA41" s="258" t="b">
        <f t="shared" si="6"/>
        <v>1</v>
      </c>
      <c r="AB41" s="258" t="b">
        <f t="shared" si="7"/>
        <v>1</v>
      </c>
    </row>
    <row r="42" spans="1:28" s="258" customFormat="1" ht="22.5" x14ac:dyDescent="0.25">
      <c r="A42" s="188">
        <v>40</v>
      </c>
      <c r="B42" s="199" t="s">
        <v>438</v>
      </c>
      <c r="C42" s="247" t="s">
        <v>77</v>
      </c>
      <c r="D42" s="203" t="s">
        <v>127</v>
      </c>
      <c r="E42" s="219">
        <v>2605072</v>
      </c>
      <c r="F42" s="254" t="s">
        <v>60</v>
      </c>
      <c r="G42" s="220" t="s">
        <v>439</v>
      </c>
      <c r="H42" s="198" t="s">
        <v>47</v>
      </c>
      <c r="I42" s="243">
        <v>0.24</v>
      </c>
      <c r="J42" s="200" t="s">
        <v>217</v>
      </c>
      <c r="K42" s="221">
        <v>328829.90999999997</v>
      </c>
      <c r="L42" s="222">
        <v>230180</v>
      </c>
      <c r="M42" s="223">
        <v>98649.909999999974</v>
      </c>
      <c r="N42" s="224">
        <v>0.7</v>
      </c>
      <c r="O42" s="225">
        <v>0</v>
      </c>
      <c r="P42" s="225">
        <v>0</v>
      </c>
      <c r="Q42" s="225">
        <v>0</v>
      </c>
      <c r="R42" s="226">
        <v>0</v>
      </c>
      <c r="S42" s="226">
        <v>230180</v>
      </c>
      <c r="T42" s="239"/>
      <c r="U42" s="239"/>
      <c r="V42" s="239"/>
      <c r="W42" s="239"/>
      <c r="X42" s="239"/>
      <c r="Y42" s="258" t="b">
        <f t="shared" si="4"/>
        <v>1</v>
      </c>
      <c r="Z42" s="363">
        <f t="shared" si="5"/>
        <v>0.7</v>
      </c>
      <c r="AA42" s="258" t="b">
        <f t="shared" si="6"/>
        <v>1</v>
      </c>
      <c r="AB42" s="258" t="b">
        <f t="shared" si="7"/>
        <v>1</v>
      </c>
    </row>
    <row r="43" spans="1:28" s="258" customFormat="1" ht="22.5" x14ac:dyDescent="0.25">
      <c r="A43" s="188">
        <v>41</v>
      </c>
      <c r="B43" s="199" t="s">
        <v>440</v>
      </c>
      <c r="C43" s="247" t="s">
        <v>77</v>
      </c>
      <c r="D43" s="203" t="s">
        <v>155</v>
      </c>
      <c r="E43" s="219">
        <v>2601013</v>
      </c>
      <c r="F43" s="254" t="s">
        <v>51</v>
      </c>
      <c r="G43" s="220" t="s">
        <v>441</v>
      </c>
      <c r="H43" s="198" t="s">
        <v>47</v>
      </c>
      <c r="I43" s="243">
        <v>0.11600000000000001</v>
      </c>
      <c r="J43" s="200" t="s">
        <v>167</v>
      </c>
      <c r="K43" s="221">
        <v>608706.18000000005</v>
      </c>
      <c r="L43" s="222">
        <v>426094</v>
      </c>
      <c r="M43" s="223">
        <v>182612.18000000005</v>
      </c>
      <c r="N43" s="224">
        <v>0.7</v>
      </c>
      <c r="O43" s="225">
        <v>0</v>
      </c>
      <c r="P43" s="225">
        <v>0</v>
      </c>
      <c r="Q43" s="225">
        <v>0</v>
      </c>
      <c r="R43" s="226">
        <v>0</v>
      </c>
      <c r="S43" s="226">
        <v>426094</v>
      </c>
      <c r="T43" s="239"/>
      <c r="U43" s="239"/>
      <c r="V43" s="239"/>
      <c r="W43" s="239"/>
      <c r="X43" s="239"/>
      <c r="Y43" s="258" t="b">
        <f t="shared" si="4"/>
        <v>1</v>
      </c>
      <c r="Z43" s="363">
        <f t="shared" si="5"/>
        <v>0.7</v>
      </c>
      <c r="AA43" s="258" t="b">
        <f t="shared" si="6"/>
        <v>1</v>
      </c>
      <c r="AB43" s="258" t="b">
        <f t="shared" si="7"/>
        <v>1</v>
      </c>
    </row>
    <row r="44" spans="1:28" s="258" customFormat="1" ht="22.5" x14ac:dyDescent="0.25">
      <c r="A44" s="188">
        <v>42</v>
      </c>
      <c r="B44" s="199" t="s">
        <v>442</v>
      </c>
      <c r="C44" s="247" t="s">
        <v>77</v>
      </c>
      <c r="D44" s="203" t="s">
        <v>84</v>
      </c>
      <c r="E44" s="219">
        <v>2604182</v>
      </c>
      <c r="F44" s="254" t="s">
        <v>55</v>
      </c>
      <c r="G44" s="220" t="s">
        <v>443</v>
      </c>
      <c r="H44" s="198" t="s">
        <v>46</v>
      </c>
      <c r="I44" s="243">
        <v>1.7769999999999999</v>
      </c>
      <c r="J44" s="200" t="s">
        <v>214</v>
      </c>
      <c r="K44" s="221">
        <v>1592581.6</v>
      </c>
      <c r="L44" s="222">
        <v>1114807</v>
      </c>
      <c r="M44" s="223">
        <v>477774.60000000009</v>
      </c>
      <c r="N44" s="224">
        <v>0.7</v>
      </c>
      <c r="O44" s="225">
        <v>0</v>
      </c>
      <c r="P44" s="225">
        <v>0</v>
      </c>
      <c r="Q44" s="225">
        <v>0</v>
      </c>
      <c r="R44" s="226">
        <v>0</v>
      </c>
      <c r="S44" s="226">
        <v>1114807</v>
      </c>
      <c r="T44" s="239"/>
      <c r="U44" s="239"/>
      <c r="V44" s="239"/>
      <c r="W44" s="239"/>
      <c r="X44" s="239"/>
      <c r="Y44" s="258" t="b">
        <f t="shared" si="4"/>
        <v>1</v>
      </c>
      <c r="Z44" s="363">
        <f t="shared" si="5"/>
        <v>0.7</v>
      </c>
      <c r="AA44" s="258" t="b">
        <f t="shared" si="6"/>
        <v>1</v>
      </c>
      <c r="AB44" s="258" t="b">
        <f t="shared" si="7"/>
        <v>1</v>
      </c>
    </row>
    <row r="45" spans="1:28" s="258" customFormat="1" ht="33.75" x14ac:dyDescent="0.25">
      <c r="A45" s="188">
        <v>43</v>
      </c>
      <c r="B45" s="199" t="s">
        <v>423</v>
      </c>
      <c r="C45" s="247" t="s">
        <v>77</v>
      </c>
      <c r="D45" s="203" t="s">
        <v>74</v>
      </c>
      <c r="E45" s="219">
        <v>2611042</v>
      </c>
      <c r="F45" s="254" t="s">
        <v>75</v>
      </c>
      <c r="G45" s="220" t="s">
        <v>424</v>
      </c>
      <c r="H45" s="198" t="s">
        <v>47</v>
      </c>
      <c r="I45" s="243">
        <v>1.31</v>
      </c>
      <c r="J45" s="200" t="s">
        <v>280</v>
      </c>
      <c r="K45" s="221">
        <v>3142640.34</v>
      </c>
      <c r="L45" s="222">
        <v>2199848</v>
      </c>
      <c r="M45" s="223">
        <v>942792.33999999985</v>
      </c>
      <c r="N45" s="224">
        <v>0.7</v>
      </c>
      <c r="O45" s="225">
        <v>0</v>
      </c>
      <c r="P45" s="225">
        <v>0</v>
      </c>
      <c r="Q45" s="225">
        <v>0</v>
      </c>
      <c r="R45" s="226">
        <v>0</v>
      </c>
      <c r="S45" s="226">
        <v>2199848</v>
      </c>
      <c r="T45" s="239"/>
      <c r="U45" s="239"/>
      <c r="V45" s="239"/>
      <c r="W45" s="239"/>
      <c r="X45" s="239"/>
      <c r="Y45" s="258" t="b">
        <f t="shared" si="4"/>
        <v>1</v>
      </c>
      <c r="Z45" s="363">
        <f t="shared" si="5"/>
        <v>0.7</v>
      </c>
      <c r="AA45" s="258" t="b">
        <f t="shared" si="6"/>
        <v>1</v>
      </c>
      <c r="AB45" s="258" t="b">
        <f t="shared" si="7"/>
        <v>1</v>
      </c>
    </row>
    <row r="46" spans="1:28" s="258" customFormat="1" ht="22.5" x14ac:dyDescent="0.25">
      <c r="A46" s="188">
        <v>44</v>
      </c>
      <c r="B46" s="199" t="s">
        <v>444</v>
      </c>
      <c r="C46" s="247" t="s">
        <v>77</v>
      </c>
      <c r="D46" s="203" t="s">
        <v>239</v>
      </c>
      <c r="E46" s="219">
        <v>2606012</v>
      </c>
      <c r="F46" s="254" t="s">
        <v>85</v>
      </c>
      <c r="G46" s="220" t="s">
        <v>445</v>
      </c>
      <c r="H46" s="198" t="s">
        <v>46</v>
      </c>
      <c r="I46" s="243">
        <v>0.874</v>
      </c>
      <c r="J46" s="200" t="s">
        <v>241</v>
      </c>
      <c r="K46" s="221">
        <v>1006077.24</v>
      </c>
      <c r="L46" s="222">
        <v>603646</v>
      </c>
      <c r="M46" s="223">
        <v>402431.24</v>
      </c>
      <c r="N46" s="224">
        <v>0.6</v>
      </c>
      <c r="O46" s="225">
        <v>0</v>
      </c>
      <c r="P46" s="225">
        <v>0</v>
      </c>
      <c r="Q46" s="225">
        <v>0</v>
      </c>
      <c r="R46" s="226">
        <v>0</v>
      </c>
      <c r="S46" s="226">
        <v>603646</v>
      </c>
      <c r="T46" s="239"/>
      <c r="U46" s="239"/>
      <c r="V46" s="239"/>
      <c r="W46" s="239"/>
      <c r="X46" s="239"/>
      <c r="Y46" s="258" t="b">
        <f t="shared" si="4"/>
        <v>1</v>
      </c>
      <c r="Z46" s="363">
        <f t="shared" si="5"/>
        <v>0.6</v>
      </c>
      <c r="AA46" s="258" t="b">
        <f t="shared" si="6"/>
        <v>1</v>
      </c>
      <c r="AB46" s="258" t="b">
        <f t="shared" si="7"/>
        <v>1</v>
      </c>
    </row>
    <row r="47" spans="1:28" s="258" customFormat="1" ht="22.5" x14ac:dyDescent="0.25">
      <c r="A47" s="188">
        <v>45</v>
      </c>
      <c r="B47" s="199" t="s">
        <v>446</v>
      </c>
      <c r="C47" s="247" t="s">
        <v>77</v>
      </c>
      <c r="D47" s="203" t="s">
        <v>210</v>
      </c>
      <c r="E47" s="219">
        <v>2607032</v>
      </c>
      <c r="F47" s="254" t="s">
        <v>53</v>
      </c>
      <c r="G47" s="220" t="s">
        <v>447</v>
      </c>
      <c r="H47" s="198" t="s">
        <v>46</v>
      </c>
      <c r="I47" s="243">
        <v>0.874</v>
      </c>
      <c r="J47" s="200" t="s">
        <v>211</v>
      </c>
      <c r="K47" s="221">
        <v>444828.52</v>
      </c>
      <c r="L47" s="222">
        <v>311379</v>
      </c>
      <c r="M47" s="223">
        <v>133449.52000000002</v>
      </c>
      <c r="N47" s="224">
        <v>0.7</v>
      </c>
      <c r="O47" s="225">
        <v>0</v>
      </c>
      <c r="P47" s="225">
        <v>0</v>
      </c>
      <c r="Q47" s="225">
        <v>0</v>
      </c>
      <c r="R47" s="226">
        <v>0</v>
      </c>
      <c r="S47" s="226">
        <v>311379</v>
      </c>
      <c r="T47" s="239"/>
      <c r="U47" s="239"/>
      <c r="V47" s="239"/>
      <c r="W47" s="239"/>
      <c r="X47" s="239"/>
      <c r="Y47" s="258" t="b">
        <f t="shared" si="4"/>
        <v>1</v>
      </c>
      <c r="Z47" s="363">
        <f t="shared" si="5"/>
        <v>0.7</v>
      </c>
      <c r="AA47" s="258" t="b">
        <f t="shared" si="6"/>
        <v>1</v>
      </c>
      <c r="AB47" s="258" t="b">
        <f t="shared" si="7"/>
        <v>1</v>
      </c>
    </row>
    <row r="48" spans="1:28" s="258" customFormat="1" ht="22.5" x14ac:dyDescent="0.25">
      <c r="A48" s="188">
        <v>46</v>
      </c>
      <c r="B48" s="199" t="s">
        <v>543</v>
      </c>
      <c r="C48" s="247" t="s">
        <v>77</v>
      </c>
      <c r="D48" s="203" t="s">
        <v>111</v>
      </c>
      <c r="E48" s="219">
        <v>2611011</v>
      </c>
      <c r="F48" s="254" t="s">
        <v>75</v>
      </c>
      <c r="G48" s="220" t="s">
        <v>544</v>
      </c>
      <c r="H48" s="198" t="s">
        <v>46</v>
      </c>
      <c r="I48" s="243">
        <v>0.68</v>
      </c>
      <c r="J48" s="200" t="s">
        <v>469</v>
      </c>
      <c r="K48" s="221">
        <v>1190678.6399999999</v>
      </c>
      <c r="L48" s="222">
        <v>833475</v>
      </c>
      <c r="M48" s="223">
        <f>K48-L48</f>
        <v>357203.6399999999</v>
      </c>
      <c r="N48" s="224">
        <v>0.7</v>
      </c>
      <c r="O48" s="225">
        <v>0</v>
      </c>
      <c r="P48" s="225">
        <v>0</v>
      </c>
      <c r="Q48" s="225">
        <v>0</v>
      </c>
      <c r="R48" s="226">
        <v>0</v>
      </c>
      <c r="S48" s="226">
        <f>L48</f>
        <v>833475</v>
      </c>
      <c r="T48" s="239"/>
      <c r="U48" s="239"/>
      <c r="V48" s="239"/>
      <c r="W48" s="239"/>
      <c r="X48" s="239"/>
      <c r="Y48" s="258" t="b">
        <f t="shared" si="4"/>
        <v>1</v>
      </c>
      <c r="Z48" s="363">
        <f t="shared" si="5"/>
        <v>0.7</v>
      </c>
      <c r="AA48" s="258" t="b">
        <f t="shared" si="6"/>
        <v>1</v>
      </c>
      <c r="AB48" s="258" t="b">
        <f t="shared" si="7"/>
        <v>1</v>
      </c>
    </row>
    <row r="49" spans="1:28" s="258" customFormat="1" ht="22.5" x14ac:dyDescent="0.25">
      <c r="A49" s="188">
        <v>47</v>
      </c>
      <c r="B49" s="199" t="s">
        <v>453</v>
      </c>
      <c r="C49" s="247" t="s">
        <v>77</v>
      </c>
      <c r="D49" s="203" t="s">
        <v>84</v>
      </c>
      <c r="E49" s="219">
        <v>2604182</v>
      </c>
      <c r="F49" s="254" t="s">
        <v>55</v>
      </c>
      <c r="G49" s="220" t="s">
        <v>454</v>
      </c>
      <c r="H49" s="198" t="s">
        <v>46</v>
      </c>
      <c r="I49" s="243">
        <v>0.65300000000000002</v>
      </c>
      <c r="J49" s="200" t="s">
        <v>214</v>
      </c>
      <c r="K49" s="221">
        <v>595505.88</v>
      </c>
      <c r="L49" s="222">
        <v>416854</v>
      </c>
      <c r="M49" s="223">
        <v>178651.88</v>
      </c>
      <c r="N49" s="224">
        <v>0.7</v>
      </c>
      <c r="O49" s="225">
        <v>0</v>
      </c>
      <c r="P49" s="225">
        <v>0</v>
      </c>
      <c r="Q49" s="225">
        <v>0</v>
      </c>
      <c r="R49" s="226">
        <v>0</v>
      </c>
      <c r="S49" s="226">
        <v>416854</v>
      </c>
      <c r="T49" s="239"/>
      <c r="U49" s="239"/>
      <c r="V49" s="239"/>
      <c r="W49" s="239"/>
      <c r="X49" s="239"/>
      <c r="Y49" s="258" t="b">
        <f t="shared" si="4"/>
        <v>1</v>
      </c>
      <c r="Z49" s="363">
        <f t="shared" si="5"/>
        <v>0.7</v>
      </c>
      <c r="AA49" s="258" t="b">
        <f t="shared" si="6"/>
        <v>1</v>
      </c>
      <c r="AB49" s="258" t="b">
        <f t="shared" si="7"/>
        <v>1</v>
      </c>
    </row>
    <row r="50" spans="1:28" s="258" customFormat="1" ht="22.5" x14ac:dyDescent="0.25">
      <c r="A50" s="188">
        <v>48</v>
      </c>
      <c r="B50" s="199" t="s">
        <v>455</v>
      </c>
      <c r="C50" s="247" t="s">
        <v>77</v>
      </c>
      <c r="D50" s="203" t="s">
        <v>108</v>
      </c>
      <c r="E50" s="219">
        <v>2612083</v>
      </c>
      <c r="F50" s="254" t="s">
        <v>72</v>
      </c>
      <c r="G50" s="220" t="s">
        <v>456</v>
      </c>
      <c r="H50" s="198" t="s">
        <v>47</v>
      </c>
      <c r="I50" s="243">
        <v>0.28999999999999998</v>
      </c>
      <c r="J50" s="200" t="s">
        <v>194</v>
      </c>
      <c r="K50" s="221">
        <v>166615.22</v>
      </c>
      <c r="L50" s="222">
        <v>99969</v>
      </c>
      <c r="M50" s="223">
        <v>66646.22</v>
      </c>
      <c r="N50" s="224">
        <v>0.6</v>
      </c>
      <c r="O50" s="225">
        <v>0</v>
      </c>
      <c r="P50" s="225">
        <v>0</v>
      </c>
      <c r="Q50" s="225">
        <v>0</v>
      </c>
      <c r="R50" s="226">
        <v>0</v>
      </c>
      <c r="S50" s="226">
        <v>99969</v>
      </c>
      <c r="T50" s="239"/>
      <c r="U50" s="239"/>
      <c r="V50" s="239"/>
      <c r="W50" s="239"/>
      <c r="X50" s="239"/>
      <c r="Y50" s="258" t="b">
        <f t="shared" si="4"/>
        <v>1</v>
      </c>
      <c r="Z50" s="363">
        <f t="shared" si="5"/>
        <v>0.6</v>
      </c>
      <c r="AA50" s="258" t="b">
        <f t="shared" si="6"/>
        <v>1</v>
      </c>
      <c r="AB50" s="258" t="b">
        <f t="shared" si="7"/>
        <v>1</v>
      </c>
    </row>
    <row r="51" spans="1:28" s="258" customFormat="1" ht="22.5" x14ac:dyDescent="0.25">
      <c r="A51" s="188">
        <v>49</v>
      </c>
      <c r="B51" s="199" t="s">
        <v>457</v>
      </c>
      <c r="C51" s="247" t="s">
        <v>77</v>
      </c>
      <c r="D51" s="203" t="s">
        <v>62</v>
      </c>
      <c r="E51" s="219">
        <v>2604142</v>
      </c>
      <c r="F51" s="254" t="s">
        <v>55</v>
      </c>
      <c r="G51" s="220" t="s">
        <v>458</v>
      </c>
      <c r="H51" s="198" t="s">
        <v>47</v>
      </c>
      <c r="I51" s="243">
        <v>0.13300000000000001</v>
      </c>
      <c r="J51" s="200" t="s">
        <v>158</v>
      </c>
      <c r="K51" s="221">
        <v>516686.11</v>
      </c>
      <c r="L51" s="222">
        <v>361680</v>
      </c>
      <c r="M51" s="223">
        <v>155006.10999999999</v>
      </c>
      <c r="N51" s="224">
        <v>0.7</v>
      </c>
      <c r="O51" s="225">
        <v>0</v>
      </c>
      <c r="P51" s="225">
        <v>0</v>
      </c>
      <c r="Q51" s="225">
        <v>0</v>
      </c>
      <c r="R51" s="226">
        <v>0</v>
      </c>
      <c r="S51" s="226">
        <v>361680</v>
      </c>
      <c r="T51" s="239"/>
      <c r="U51" s="239"/>
      <c r="V51" s="239"/>
      <c r="W51" s="239"/>
      <c r="X51" s="239"/>
      <c r="Y51" s="258" t="b">
        <f t="shared" si="4"/>
        <v>1</v>
      </c>
      <c r="Z51" s="363">
        <f t="shared" si="5"/>
        <v>0.7</v>
      </c>
      <c r="AA51" s="258" t="b">
        <f t="shared" si="6"/>
        <v>1</v>
      </c>
      <c r="AB51" s="258" t="b">
        <f t="shared" si="7"/>
        <v>1</v>
      </c>
    </row>
    <row r="52" spans="1:28" s="258" customFormat="1" ht="22.5" x14ac:dyDescent="0.25">
      <c r="A52" s="188">
        <v>50</v>
      </c>
      <c r="B52" s="199" t="s">
        <v>459</v>
      </c>
      <c r="C52" s="247" t="s">
        <v>77</v>
      </c>
      <c r="D52" s="203" t="s">
        <v>108</v>
      </c>
      <c r="E52" s="219">
        <v>2612083</v>
      </c>
      <c r="F52" s="254" t="s">
        <v>72</v>
      </c>
      <c r="G52" s="220" t="s">
        <v>460</v>
      </c>
      <c r="H52" s="198" t="s">
        <v>46</v>
      </c>
      <c r="I52" s="243">
        <v>0.13</v>
      </c>
      <c r="J52" s="200" t="s">
        <v>194</v>
      </c>
      <c r="K52" s="221">
        <v>178169.22</v>
      </c>
      <c r="L52" s="222">
        <v>106901</v>
      </c>
      <c r="M52" s="223">
        <v>71268.22</v>
      </c>
      <c r="N52" s="224">
        <v>0.6</v>
      </c>
      <c r="O52" s="225">
        <v>0</v>
      </c>
      <c r="P52" s="225">
        <v>0</v>
      </c>
      <c r="Q52" s="225">
        <v>0</v>
      </c>
      <c r="R52" s="226">
        <v>0</v>
      </c>
      <c r="S52" s="226">
        <v>106901</v>
      </c>
      <c r="T52" s="239"/>
      <c r="U52" s="239"/>
      <c r="V52" s="239"/>
      <c r="W52" s="239"/>
      <c r="X52" s="239"/>
      <c r="Y52" s="258" t="b">
        <f t="shared" si="4"/>
        <v>1</v>
      </c>
      <c r="Z52" s="363">
        <f t="shared" si="5"/>
        <v>0.6</v>
      </c>
      <c r="AA52" s="258" t="b">
        <f t="shared" si="6"/>
        <v>1</v>
      </c>
      <c r="AB52" s="258" t="b">
        <f t="shared" si="7"/>
        <v>1</v>
      </c>
    </row>
    <row r="53" spans="1:28" s="258" customFormat="1" ht="45" x14ac:dyDescent="0.25">
      <c r="A53" s="188">
        <v>51</v>
      </c>
      <c r="B53" s="199" t="s">
        <v>463</v>
      </c>
      <c r="C53" s="247" t="s">
        <v>77</v>
      </c>
      <c r="D53" s="203" t="s">
        <v>52</v>
      </c>
      <c r="E53" s="219">
        <v>2607011</v>
      </c>
      <c r="F53" s="254" t="s">
        <v>53</v>
      </c>
      <c r="G53" s="220" t="s">
        <v>464</v>
      </c>
      <c r="H53" s="198" t="s">
        <v>43</v>
      </c>
      <c r="I53" s="243">
        <v>0.88900000000000001</v>
      </c>
      <c r="J53" s="200" t="s">
        <v>161</v>
      </c>
      <c r="K53" s="221">
        <v>9874038.7599999998</v>
      </c>
      <c r="L53" s="222">
        <v>6911827</v>
      </c>
      <c r="M53" s="223">
        <v>2962211.76</v>
      </c>
      <c r="N53" s="224">
        <v>0.7</v>
      </c>
      <c r="O53" s="225">
        <v>0</v>
      </c>
      <c r="P53" s="225">
        <v>0</v>
      </c>
      <c r="Q53" s="225">
        <v>0</v>
      </c>
      <c r="R53" s="226">
        <v>0</v>
      </c>
      <c r="S53" s="226">
        <v>6911827</v>
      </c>
      <c r="T53" s="239"/>
      <c r="U53" s="239"/>
      <c r="V53" s="239"/>
      <c r="W53" s="239"/>
      <c r="X53" s="239"/>
      <c r="Y53" s="258" t="b">
        <f t="shared" si="4"/>
        <v>1</v>
      </c>
      <c r="Z53" s="363">
        <f t="shared" si="5"/>
        <v>0.7</v>
      </c>
      <c r="AA53" s="258" t="b">
        <f t="shared" si="6"/>
        <v>1</v>
      </c>
      <c r="AB53" s="258" t="b">
        <f t="shared" si="7"/>
        <v>1</v>
      </c>
    </row>
    <row r="54" spans="1:28" s="258" customFormat="1" ht="33.75" x14ac:dyDescent="0.25">
      <c r="A54" s="188">
        <v>52</v>
      </c>
      <c r="B54" s="199" t="s">
        <v>465</v>
      </c>
      <c r="C54" s="247" t="s">
        <v>77</v>
      </c>
      <c r="D54" s="203" t="s">
        <v>52</v>
      </c>
      <c r="E54" s="219">
        <v>2607011</v>
      </c>
      <c r="F54" s="254" t="s">
        <v>53</v>
      </c>
      <c r="G54" s="220" t="s">
        <v>466</v>
      </c>
      <c r="H54" s="198" t="s">
        <v>47</v>
      </c>
      <c r="I54" s="243">
        <v>0.72399999999999998</v>
      </c>
      <c r="J54" s="200" t="s">
        <v>161</v>
      </c>
      <c r="K54" s="221">
        <v>6676648.0999999996</v>
      </c>
      <c r="L54" s="222">
        <f>4673653</f>
        <v>4673653</v>
      </c>
      <c r="M54" s="223">
        <f>K54-L54</f>
        <v>2002995.0999999996</v>
      </c>
      <c r="N54" s="224">
        <v>0.7</v>
      </c>
      <c r="O54" s="225">
        <v>0</v>
      </c>
      <c r="P54" s="225">
        <v>0</v>
      </c>
      <c r="Q54" s="225">
        <v>0</v>
      </c>
      <c r="R54" s="226">
        <v>0</v>
      </c>
      <c r="S54" s="226">
        <f>L54</f>
        <v>4673653</v>
      </c>
      <c r="T54" s="239"/>
      <c r="U54" s="239"/>
      <c r="V54" s="239"/>
      <c r="W54" s="239"/>
      <c r="X54" s="239"/>
      <c r="Y54" s="258" t="b">
        <f t="shared" si="4"/>
        <v>1</v>
      </c>
      <c r="Z54" s="363">
        <f t="shared" si="5"/>
        <v>0.7</v>
      </c>
      <c r="AA54" s="258" t="b">
        <f t="shared" si="6"/>
        <v>1</v>
      </c>
      <c r="AB54" s="258" t="b">
        <f t="shared" si="7"/>
        <v>1</v>
      </c>
    </row>
    <row r="55" spans="1:28" s="258" customFormat="1" ht="22.5" x14ac:dyDescent="0.25">
      <c r="A55" s="188">
        <v>53</v>
      </c>
      <c r="B55" s="199" t="s">
        <v>569</v>
      </c>
      <c r="C55" s="247" t="s">
        <v>77</v>
      </c>
      <c r="D55" s="203" t="s">
        <v>146</v>
      </c>
      <c r="E55" s="240">
        <v>2607062</v>
      </c>
      <c r="F55" s="257" t="s">
        <v>53</v>
      </c>
      <c r="G55" s="220" t="s">
        <v>570</v>
      </c>
      <c r="H55" s="198" t="s">
        <v>46</v>
      </c>
      <c r="I55" s="243">
        <v>1.1299999999999999</v>
      </c>
      <c r="J55" s="200" t="s">
        <v>264</v>
      </c>
      <c r="K55" s="221">
        <v>1252496.7</v>
      </c>
      <c r="L55" s="222">
        <f>876747</f>
        <v>876747</v>
      </c>
      <c r="M55" s="223">
        <f>K55-L55</f>
        <v>375749.69999999995</v>
      </c>
      <c r="N55" s="224">
        <v>0.7</v>
      </c>
      <c r="O55" s="225">
        <v>0</v>
      </c>
      <c r="P55" s="225">
        <v>0</v>
      </c>
      <c r="Q55" s="225">
        <v>0</v>
      </c>
      <c r="R55" s="226">
        <v>0</v>
      </c>
      <c r="S55" s="226">
        <f>L55</f>
        <v>876747</v>
      </c>
      <c r="T55" s="239"/>
      <c r="U55" s="239"/>
      <c r="V55" s="239"/>
      <c r="W55" s="239"/>
      <c r="X55" s="239"/>
      <c r="Y55" s="258" t="b">
        <f t="shared" si="4"/>
        <v>1</v>
      </c>
      <c r="Z55" s="363">
        <f t="shared" si="5"/>
        <v>0.7</v>
      </c>
      <c r="AA55" s="258" t="b">
        <f t="shared" si="6"/>
        <v>1</v>
      </c>
      <c r="AB55" s="258" t="b">
        <f t="shared" si="7"/>
        <v>1</v>
      </c>
    </row>
    <row r="56" spans="1:28" s="258" customFormat="1" ht="22.5" x14ac:dyDescent="0.25">
      <c r="A56" s="188">
        <v>54</v>
      </c>
      <c r="B56" s="199" t="s">
        <v>581</v>
      </c>
      <c r="C56" s="247" t="s">
        <v>77</v>
      </c>
      <c r="D56" s="203" t="s">
        <v>146</v>
      </c>
      <c r="E56" s="240">
        <v>2607062</v>
      </c>
      <c r="F56" s="257" t="s">
        <v>53</v>
      </c>
      <c r="G56" s="220" t="s">
        <v>582</v>
      </c>
      <c r="H56" s="198" t="s">
        <v>46</v>
      </c>
      <c r="I56" s="282">
        <v>1.125</v>
      </c>
      <c r="J56" s="283" t="s">
        <v>264</v>
      </c>
      <c r="K56" s="221">
        <v>957936.89</v>
      </c>
      <c r="L56" s="222">
        <v>670555</v>
      </c>
      <c r="M56" s="223">
        <f>K56-L56</f>
        <v>287381.89</v>
      </c>
      <c r="N56" s="224">
        <v>0.7</v>
      </c>
      <c r="O56" s="225">
        <v>0</v>
      </c>
      <c r="P56" s="225">
        <v>0</v>
      </c>
      <c r="Q56" s="225">
        <v>0</v>
      </c>
      <c r="R56" s="226">
        <v>0</v>
      </c>
      <c r="S56" s="226">
        <f>L56</f>
        <v>670555</v>
      </c>
      <c r="T56" s="239"/>
      <c r="U56" s="239"/>
      <c r="V56" s="239"/>
      <c r="W56" s="239"/>
      <c r="X56" s="239"/>
      <c r="Y56" s="258" t="b">
        <f t="shared" si="4"/>
        <v>1</v>
      </c>
      <c r="Z56" s="363">
        <f t="shared" si="5"/>
        <v>0.7</v>
      </c>
      <c r="AA56" s="258" t="b">
        <f t="shared" si="6"/>
        <v>1</v>
      </c>
      <c r="AB56" s="258" t="b">
        <f t="shared" si="7"/>
        <v>1</v>
      </c>
    </row>
    <row r="57" spans="1:28" s="258" customFormat="1" ht="22.5" x14ac:dyDescent="0.25">
      <c r="A57" s="188">
        <v>55</v>
      </c>
      <c r="B57" s="199" t="s">
        <v>583</v>
      </c>
      <c r="C57" s="247" t="s">
        <v>77</v>
      </c>
      <c r="D57" s="203" t="s">
        <v>103</v>
      </c>
      <c r="E57" s="219">
        <v>2604082</v>
      </c>
      <c r="F57" s="254" t="s">
        <v>55</v>
      </c>
      <c r="G57" s="220" t="s">
        <v>584</v>
      </c>
      <c r="H57" s="198" t="s">
        <v>46</v>
      </c>
      <c r="I57" s="243">
        <v>0.90200000000000002</v>
      </c>
      <c r="J57" s="200" t="s">
        <v>158</v>
      </c>
      <c r="K57" s="221">
        <v>404432</v>
      </c>
      <c r="L57" s="222">
        <v>283102</v>
      </c>
      <c r="M57" s="223">
        <f>K57-L57</f>
        <v>121330</v>
      </c>
      <c r="N57" s="224">
        <v>0.7</v>
      </c>
      <c r="O57" s="225">
        <v>0</v>
      </c>
      <c r="P57" s="225">
        <v>0</v>
      </c>
      <c r="Q57" s="225">
        <v>0</v>
      </c>
      <c r="R57" s="226">
        <v>0</v>
      </c>
      <c r="S57" s="226">
        <f>L57</f>
        <v>283102</v>
      </c>
      <c r="T57" s="239"/>
      <c r="U57" s="239"/>
      <c r="V57" s="239"/>
      <c r="W57" s="239"/>
      <c r="X57" s="239"/>
      <c r="Y57" s="258" t="b">
        <f t="shared" si="4"/>
        <v>1</v>
      </c>
      <c r="Z57" s="363">
        <f t="shared" si="5"/>
        <v>0.7</v>
      </c>
      <c r="AA57" s="258" t="b">
        <f t="shared" si="6"/>
        <v>1</v>
      </c>
      <c r="AB57" s="258" t="b">
        <f t="shared" si="7"/>
        <v>1</v>
      </c>
    </row>
    <row r="58" spans="1:28" s="258" customFormat="1" ht="22.5" x14ac:dyDescent="0.25">
      <c r="A58" s="331" t="s">
        <v>585</v>
      </c>
      <c r="B58" s="332" t="s">
        <v>586</v>
      </c>
      <c r="C58" s="333" t="s">
        <v>77</v>
      </c>
      <c r="D58" s="307" t="s">
        <v>66</v>
      </c>
      <c r="E58" s="351">
        <v>2608043</v>
      </c>
      <c r="F58" s="352" t="s">
        <v>67</v>
      </c>
      <c r="G58" s="335" t="s">
        <v>587</v>
      </c>
      <c r="H58" s="336" t="s">
        <v>46</v>
      </c>
      <c r="I58" s="310">
        <v>0.626</v>
      </c>
      <c r="J58" s="338" t="s">
        <v>167</v>
      </c>
      <c r="K58" s="339">
        <v>478988.54</v>
      </c>
      <c r="L58" s="344">
        <v>183118</v>
      </c>
      <c r="M58" s="340">
        <v>295870.53999999998</v>
      </c>
      <c r="N58" s="341">
        <v>0.6</v>
      </c>
      <c r="O58" s="342">
        <v>0</v>
      </c>
      <c r="P58" s="342">
        <v>0</v>
      </c>
      <c r="Q58" s="342">
        <v>0</v>
      </c>
      <c r="R58" s="343">
        <v>0</v>
      </c>
      <c r="S58" s="343">
        <v>183118</v>
      </c>
      <c r="T58" s="239"/>
      <c r="U58" s="239"/>
      <c r="V58" s="239"/>
      <c r="W58" s="239"/>
      <c r="X58" s="239"/>
      <c r="Y58" s="258" t="b">
        <f t="shared" si="4"/>
        <v>1</v>
      </c>
      <c r="Z58" s="363">
        <f t="shared" si="5"/>
        <v>0.38229999999999997</v>
      </c>
      <c r="AA58" s="258" t="b">
        <f t="shared" si="6"/>
        <v>0</v>
      </c>
      <c r="AB58" s="258" t="b">
        <f t="shared" si="7"/>
        <v>1</v>
      </c>
    </row>
    <row r="59" spans="1:28" x14ac:dyDescent="0.25">
      <c r="A59" s="457" t="s">
        <v>39</v>
      </c>
      <c r="B59" s="457"/>
      <c r="C59" s="457"/>
      <c r="D59" s="457"/>
      <c r="E59" s="457"/>
      <c r="F59" s="457"/>
      <c r="G59" s="457"/>
      <c r="H59" s="457"/>
      <c r="I59" s="102">
        <f>SUM(I3:I58)</f>
        <v>45.118000000000009</v>
      </c>
      <c r="J59" s="162" t="s">
        <v>14</v>
      </c>
      <c r="K59" s="106">
        <f>SUM(K3:K58)</f>
        <v>172083528.81</v>
      </c>
      <c r="L59" s="106">
        <f>SUM(L3:L58)</f>
        <v>118894228</v>
      </c>
      <c r="M59" s="106">
        <f>SUM(M3:M58)</f>
        <v>53189300.810000002</v>
      </c>
      <c r="N59" s="103" t="s">
        <v>14</v>
      </c>
      <c r="O59" s="179">
        <f t="shared" ref="O59:X59" si="8">SUM(O3:O58)</f>
        <v>0</v>
      </c>
      <c r="P59" s="179">
        <f t="shared" si="8"/>
        <v>0</v>
      </c>
      <c r="Q59" s="179">
        <f t="shared" si="8"/>
        <v>0</v>
      </c>
      <c r="R59" s="179">
        <f t="shared" si="8"/>
        <v>0</v>
      </c>
      <c r="S59" s="179">
        <f t="shared" si="8"/>
        <v>52305462</v>
      </c>
      <c r="T59" s="179">
        <f t="shared" si="8"/>
        <v>26444898</v>
      </c>
      <c r="U59" s="179">
        <f t="shared" si="8"/>
        <v>23053631</v>
      </c>
      <c r="V59" s="179">
        <f t="shared" si="8"/>
        <v>10681398</v>
      </c>
      <c r="W59" s="179">
        <f t="shared" si="8"/>
        <v>6408839</v>
      </c>
      <c r="X59" s="179">
        <f t="shared" si="8"/>
        <v>0</v>
      </c>
      <c r="Y59" s="258" t="b">
        <f t="shared" si="4"/>
        <v>1</v>
      </c>
      <c r="Z59" s="363">
        <f t="shared" si="5"/>
        <v>0.69089999999999996</v>
      </c>
      <c r="AA59" s="258" t="b">
        <f t="shared" si="6"/>
        <v>0</v>
      </c>
      <c r="AB59" s="258" t="b">
        <f t="shared" si="7"/>
        <v>1</v>
      </c>
    </row>
    <row r="60" spans="1:28" x14ac:dyDescent="0.25">
      <c r="A60" s="451" t="s">
        <v>33</v>
      </c>
      <c r="B60" s="452"/>
      <c r="C60" s="452"/>
      <c r="D60" s="452"/>
      <c r="E60" s="452"/>
      <c r="F60" s="452"/>
      <c r="G60" s="452"/>
      <c r="H60" s="453"/>
      <c r="I60" s="102">
        <f>SUMIF($C$3:$C$58,"N",I3:I58)</f>
        <v>33.730999999999987</v>
      </c>
      <c r="J60" s="162" t="s">
        <v>14</v>
      </c>
      <c r="K60" s="106">
        <f>SUMIF($C$3:$C$58,"N",K3:K58)</f>
        <v>66823191.420000017</v>
      </c>
      <c r="L60" s="106">
        <f>SUMIF($C$3:$C$58,"N",L3:L58)</f>
        <v>45211997</v>
      </c>
      <c r="M60" s="106">
        <f>SUMIF($C$3:$C$58,"N",M3:M58)</f>
        <v>21611194.419999998</v>
      </c>
      <c r="N60" s="173" t="s">
        <v>14</v>
      </c>
      <c r="O60" s="106">
        <f t="shared" ref="O60:X60" si="9">SUMIF($C$3:$C$58,"N",O3:O58)</f>
        <v>0</v>
      </c>
      <c r="P60" s="106">
        <f t="shared" si="9"/>
        <v>0</v>
      </c>
      <c r="Q60" s="106">
        <f t="shared" si="9"/>
        <v>0</v>
      </c>
      <c r="R60" s="106">
        <f t="shared" si="9"/>
        <v>0</v>
      </c>
      <c r="S60" s="106">
        <f t="shared" si="9"/>
        <v>45211997</v>
      </c>
      <c r="T60" s="106">
        <f t="shared" si="9"/>
        <v>0</v>
      </c>
      <c r="U60" s="106">
        <f t="shared" si="9"/>
        <v>0</v>
      </c>
      <c r="V60" s="106">
        <f t="shared" si="9"/>
        <v>0</v>
      </c>
      <c r="W60" s="106">
        <f t="shared" si="9"/>
        <v>0</v>
      </c>
      <c r="X60" s="106">
        <f t="shared" si="9"/>
        <v>0</v>
      </c>
      <c r="Y60" s="258" t="b">
        <f t="shared" si="4"/>
        <v>1</v>
      </c>
      <c r="Z60" s="363">
        <f t="shared" si="5"/>
        <v>0.67659999999999998</v>
      </c>
      <c r="AA60" s="258" t="b">
        <f t="shared" si="6"/>
        <v>0</v>
      </c>
      <c r="AB60" s="258" t="b">
        <f t="shared" si="7"/>
        <v>1</v>
      </c>
    </row>
    <row r="61" spans="1:28" x14ac:dyDescent="0.25">
      <c r="A61" s="462" t="s">
        <v>34</v>
      </c>
      <c r="B61" s="462"/>
      <c r="C61" s="462"/>
      <c r="D61" s="462"/>
      <c r="E61" s="462"/>
      <c r="F61" s="462"/>
      <c r="G61" s="462"/>
      <c r="H61" s="462"/>
      <c r="I61" s="104">
        <f>SUMIF($C$3:$C$58,"W",I3:I58)</f>
        <v>11.386999999999997</v>
      </c>
      <c r="J61" s="163" t="s">
        <v>14</v>
      </c>
      <c r="K61" s="100">
        <f>SUMIF($C$3:$C$58,"W",K3:K58)</f>
        <v>105260337.39</v>
      </c>
      <c r="L61" s="100">
        <f>SUMIF($C$3:$C$58,"W",L3:L58)</f>
        <v>73682231</v>
      </c>
      <c r="M61" s="100">
        <f>SUMIF($C$3:$C$58,"W",M3:M58)</f>
        <v>31578106.390000004</v>
      </c>
      <c r="N61" s="174" t="s">
        <v>14</v>
      </c>
      <c r="O61" s="100">
        <f t="shared" ref="O61:X61" si="10">SUMIF($C$3:$C$58,"W",O3:O58)</f>
        <v>0</v>
      </c>
      <c r="P61" s="100">
        <f t="shared" si="10"/>
        <v>0</v>
      </c>
      <c r="Q61" s="100">
        <f t="shared" si="10"/>
        <v>0</v>
      </c>
      <c r="R61" s="100">
        <f t="shared" si="10"/>
        <v>0</v>
      </c>
      <c r="S61" s="100">
        <f t="shared" si="10"/>
        <v>7093465</v>
      </c>
      <c r="T61" s="100">
        <f t="shared" si="10"/>
        <v>26444898</v>
      </c>
      <c r="U61" s="100">
        <f t="shared" si="10"/>
        <v>23053631</v>
      </c>
      <c r="V61" s="100">
        <f t="shared" si="10"/>
        <v>10681398</v>
      </c>
      <c r="W61" s="100">
        <f t="shared" si="10"/>
        <v>6408839</v>
      </c>
      <c r="X61" s="100">
        <f t="shared" si="10"/>
        <v>0</v>
      </c>
      <c r="Y61" s="258" t="b">
        <f t="shared" si="4"/>
        <v>1</v>
      </c>
      <c r="Z61" s="363">
        <f t="shared" si="5"/>
        <v>0.7</v>
      </c>
      <c r="AA61" s="258" t="b">
        <f t="shared" si="6"/>
        <v>0</v>
      </c>
      <c r="AB61" s="258" t="b">
        <f t="shared" si="7"/>
        <v>1</v>
      </c>
    </row>
    <row r="62" spans="1:28" x14ac:dyDescent="0.25">
      <c r="A62" s="180"/>
    </row>
    <row r="63" spans="1:28" x14ac:dyDescent="0.25">
      <c r="A63" s="164" t="s">
        <v>24</v>
      </c>
      <c r="B63" s="181"/>
      <c r="C63" s="165"/>
      <c r="D63" s="165"/>
    </row>
    <row r="64" spans="1:28" x14ac:dyDescent="0.25">
      <c r="A64" s="166" t="s">
        <v>25</v>
      </c>
      <c r="B64" s="181"/>
      <c r="C64" s="165"/>
      <c r="D64" s="165"/>
    </row>
    <row r="65" spans="1:4" x14ac:dyDescent="0.25">
      <c r="A65" s="164" t="s">
        <v>30</v>
      </c>
      <c r="B65" s="181"/>
      <c r="C65" s="165"/>
      <c r="D65" s="165"/>
    </row>
    <row r="66" spans="1:4" x14ac:dyDescent="0.25">
      <c r="A66" s="167" t="s">
        <v>105</v>
      </c>
      <c r="B66" s="181"/>
      <c r="C66" s="165"/>
      <c r="D66" s="165"/>
    </row>
    <row r="67" spans="1:4" hidden="1" x14ac:dyDescent="0.25">
      <c r="A67" s="182"/>
    </row>
  </sheetData>
  <mergeCells count="18">
    <mergeCell ref="O1:X1"/>
    <mergeCell ref="M1:M2"/>
    <mergeCell ref="N1:N2"/>
    <mergeCell ref="A59:H59"/>
    <mergeCell ref="I1:I2"/>
    <mergeCell ref="J1:J2"/>
    <mergeCell ref="K1:K2"/>
    <mergeCell ref="L1:L2"/>
    <mergeCell ref="A1:A2"/>
    <mergeCell ref="B1:B2"/>
    <mergeCell ref="G1:G2"/>
    <mergeCell ref="H1:H2"/>
    <mergeCell ref="A60:H60"/>
    <mergeCell ref="D1:D2"/>
    <mergeCell ref="A61:H61"/>
    <mergeCell ref="E1:E2"/>
    <mergeCell ref="C1:C2"/>
    <mergeCell ref="F1:F2"/>
  </mergeCells>
  <conditionalFormatting sqref="B18:B20 B26:B27 B29:B35 B7:B8 B10:B11 B23:B24 B3 B13:B16 B5 B37:B54">
    <cfRule type="expression" dxfId="51" priority="325">
      <formula>$O3="p"</formula>
    </cfRule>
    <cfRule type="expression" dxfId="50" priority="326">
      <formula>$O3="k"</formula>
    </cfRule>
    <cfRule type="expression" dxfId="49" priority="327">
      <formula>$N3="odrzucenie"</formula>
    </cfRule>
    <cfRule type="expression" dxfId="48" priority="328">
      <formula>$N3="rezygnacja"</formula>
    </cfRule>
  </conditionalFormatting>
  <conditionalFormatting sqref="B12 B22 B28">
    <cfRule type="expression" dxfId="47" priority="177">
      <formula>$P12="p"</formula>
    </cfRule>
    <cfRule type="expression" dxfId="46" priority="178">
      <formula>$P12="k"</formula>
    </cfRule>
    <cfRule type="expression" dxfId="45" priority="179">
      <formula>$N12="odrzucenie"</formula>
    </cfRule>
    <cfRule type="expression" dxfId="44" priority="180">
      <formula>$N12="rezygnacja"</formula>
    </cfRule>
  </conditionalFormatting>
  <conditionalFormatting sqref="B9">
    <cfRule type="expression" dxfId="43" priority="53">
      <formula>$P9="p"</formula>
    </cfRule>
    <cfRule type="expression" dxfId="42" priority="54">
      <formula>$P9="k"</formula>
    </cfRule>
    <cfRule type="expression" dxfId="41" priority="55">
      <formula>$N9="odrzucenie"</formula>
    </cfRule>
    <cfRule type="expression" dxfId="40" priority="56">
      <formula>$N9="rezygnacja"</formula>
    </cfRule>
  </conditionalFormatting>
  <conditionalFormatting sqref="B17">
    <cfRule type="expression" dxfId="39" priority="49">
      <formula>$P17="p"</formula>
    </cfRule>
    <cfRule type="expression" dxfId="38" priority="50">
      <formula>$P17="k"</formula>
    </cfRule>
    <cfRule type="expression" dxfId="37" priority="51">
      <formula>$N17="odrzucenie"</formula>
    </cfRule>
    <cfRule type="expression" dxfId="36" priority="52">
      <formula>$N17="rezygnacja"</formula>
    </cfRule>
  </conditionalFormatting>
  <conditionalFormatting sqref="B21">
    <cfRule type="expression" dxfId="35" priority="45">
      <formula>$P21="p"</formula>
    </cfRule>
    <cfRule type="expression" dxfId="34" priority="46">
      <formula>$P21="k"</formula>
    </cfRule>
    <cfRule type="expression" dxfId="33" priority="47">
      <formula>$N21="odrzucenie"</formula>
    </cfRule>
    <cfRule type="expression" dxfId="32" priority="48">
      <formula>$N21="rezygnacja"</formula>
    </cfRule>
  </conditionalFormatting>
  <conditionalFormatting sqref="B25">
    <cfRule type="expression" dxfId="31" priority="37">
      <formula>$P25="p"</formula>
    </cfRule>
    <cfRule type="expression" dxfId="30" priority="38">
      <formula>$P25="k"</formula>
    </cfRule>
    <cfRule type="expression" dxfId="29" priority="39">
      <formula>$N25="odrzucenie"</formula>
    </cfRule>
    <cfRule type="expression" dxfId="28" priority="40">
      <formula>$N25="rezygnacja"</formula>
    </cfRule>
  </conditionalFormatting>
  <conditionalFormatting sqref="B36">
    <cfRule type="expression" dxfId="27" priority="29">
      <formula>$P36="p"</formula>
    </cfRule>
    <cfRule type="expression" dxfId="26" priority="30">
      <formula>$P36="k"</formula>
    </cfRule>
    <cfRule type="expression" dxfId="25" priority="31">
      <formula>$N36="odrzucenie"</formula>
    </cfRule>
    <cfRule type="expression" dxfId="24" priority="32">
      <formula>$N36="rezygnacja"</formula>
    </cfRule>
  </conditionalFormatting>
  <conditionalFormatting sqref="B6">
    <cfRule type="expression" dxfId="23" priority="337">
      <formula>#REF!="p"</formula>
    </cfRule>
    <cfRule type="expression" dxfId="22" priority="338">
      <formula>#REF!="k"</formula>
    </cfRule>
    <cfRule type="expression" dxfId="21" priority="339">
      <formula>$N6="odrzucenie"</formula>
    </cfRule>
    <cfRule type="expression" dxfId="20" priority="340">
      <formula>$N6="rezygnacja"</formula>
    </cfRule>
  </conditionalFormatting>
  <conditionalFormatting sqref="B4">
    <cfRule type="expression" dxfId="19" priority="17">
      <formula>$O4="p"</formula>
    </cfRule>
    <cfRule type="expression" dxfId="18" priority="18">
      <formula>$O4="k"</formula>
    </cfRule>
    <cfRule type="expression" dxfId="17" priority="19">
      <formula>$N4="odrzucenie"</formula>
    </cfRule>
    <cfRule type="expression" dxfId="16" priority="20">
      <formula>$N4="rezygnacja"</formula>
    </cfRule>
  </conditionalFormatting>
  <conditionalFormatting sqref="B56 B58">
    <cfRule type="expression" dxfId="15" priority="13">
      <formula>$O56="p"</formula>
    </cfRule>
    <cfRule type="expression" dxfId="14" priority="14">
      <formula>$O56="k"</formula>
    </cfRule>
    <cfRule type="expression" dxfId="13" priority="15">
      <formula>$N56="odrzucenie"</formula>
    </cfRule>
    <cfRule type="expression" dxfId="12" priority="16">
      <formula>$N56="rezygnacja"</formula>
    </cfRule>
  </conditionalFormatting>
  <conditionalFormatting sqref="B55">
    <cfRule type="expression" dxfId="11" priority="9">
      <formula>$O55="p"</formula>
    </cfRule>
    <cfRule type="expression" dxfId="10" priority="10">
      <formula>$O55="k"</formula>
    </cfRule>
    <cfRule type="expression" dxfId="9" priority="11">
      <formula>$N55="odrzucenie"</formula>
    </cfRule>
    <cfRule type="expression" dxfId="8" priority="12">
      <formula>$N55="rezygnacja"</formula>
    </cfRule>
  </conditionalFormatting>
  <conditionalFormatting sqref="I56:J56">
    <cfRule type="expression" dxfId="7" priority="5">
      <formula>$Q56="p"</formula>
    </cfRule>
    <cfRule type="expression" dxfId="6" priority="6">
      <formula>$Q56="k"</formula>
    </cfRule>
    <cfRule type="expression" dxfId="5" priority="7">
      <formula>$P56="odrzucenie"</formula>
    </cfRule>
    <cfRule type="expression" dxfId="4" priority="8">
      <formula>$P56="rezygnacja"</formula>
    </cfRule>
  </conditionalFormatting>
  <conditionalFormatting sqref="B57">
    <cfRule type="expression" dxfId="3" priority="1">
      <formula>$O57="p"</formula>
    </cfRule>
    <cfRule type="expression" dxfId="2" priority="2">
      <formula>$O57="k"</formula>
    </cfRule>
    <cfRule type="expression" dxfId="1" priority="3">
      <formula>$N57="odrzucenie"</formula>
    </cfRule>
    <cfRule type="expression" dxfId="0" priority="4">
      <formula>$N57="rezygnacja"</formula>
    </cfRule>
  </conditionalFormatting>
  <dataValidations count="1">
    <dataValidation type="list" allowBlank="1" showInputMessage="1" showErrorMessage="1" sqref="H3:H58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>
    <oddHeader>&amp;LWojewództwo Świętokrzyskie - zadania gminne lista rezerwowa</oddHeader>
    <oddFooter>Strona &amp;P z &amp;N</oddFooter>
  </headerFooter>
  <ignoredErrors>
    <ignoredError sqref="P59 O59:O61 Q59:Q61 T59:X59 R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26 - świętokrzyskie</vt:lpstr>
      <vt:lpstr>pow podst</vt:lpstr>
      <vt:lpstr>gm podst</vt:lpstr>
      <vt:lpstr>pow rez</vt:lpstr>
      <vt:lpstr>gm rez</vt:lpstr>
      <vt:lpstr>'26 - świętokrzyskie'!Obszar_wydruku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Chmura Karolina</cp:lastModifiedBy>
  <cp:lastPrinted>2022-12-06T10:12:33Z</cp:lastPrinted>
  <dcterms:created xsi:type="dcterms:W3CDTF">2019-02-25T10:53:14Z</dcterms:created>
  <dcterms:modified xsi:type="dcterms:W3CDTF">2023-01-30T19:47:39Z</dcterms:modified>
</cp:coreProperties>
</file>