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al.muszynski\Documents\01. Dokumenty NFOŚiGW\08. Rating finansowy\03. Pomoc publiczna\"/>
    </mc:Choice>
  </mc:AlternateContent>
  <bookViews>
    <workbookView xWindow="0" yWindow="0" windowWidth="27375" windowHeight="14475" tabRatio="598" activeTab="1"/>
  </bookViews>
  <sheets>
    <sheet name="Instrukcja" sheetId="18" r:id="rId1"/>
    <sheet name="Dane finansowe" sheetId="14" r:id="rId2"/>
    <sheet name="Wyniki" sheetId="17" r:id="rId3"/>
  </sheets>
  <definedNames>
    <definedName name="_xlnm._FilterDatabase" localSheetId="1" hidden="1">'Dane finansowe'!$B$5:$D$5</definedName>
  </definedNames>
  <calcPr calcId="162913"/>
</workbook>
</file>

<file path=xl/calcChain.xml><?xml version="1.0" encoding="utf-8"?>
<calcChain xmlns="http://schemas.openxmlformats.org/spreadsheetml/2006/main">
  <c r="F67" i="14" l="1"/>
  <c r="G67" i="14"/>
  <c r="E67" i="14"/>
  <c r="D40" i="14"/>
  <c r="D41" i="14"/>
  <c r="F63" i="17" l="1"/>
  <c r="F158" i="17" s="1"/>
  <c r="G63" i="17"/>
  <c r="E63" i="17"/>
  <c r="E158" i="17" s="1"/>
  <c r="D185" i="17"/>
  <c r="D184" i="17"/>
  <c r="D183" i="17"/>
  <c r="D182" i="17"/>
  <c r="D181" i="17"/>
  <c r="G22" i="14"/>
  <c r="F22" i="14" l="1"/>
  <c r="E22" i="14" s="1"/>
  <c r="E58" i="14"/>
  <c r="D262" i="17" l="1"/>
  <c r="D273" i="17" s="1"/>
  <c r="F57" i="17" l="1"/>
  <c r="G57" i="17"/>
  <c r="E57" i="17"/>
  <c r="D57" i="17"/>
  <c r="E77" i="17" l="1"/>
  <c r="D68" i="14"/>
  <c r="D69" i="14"/>
  <c r="D70" i="14"/>
  <c r="D71" i="14"/>
  <c r="D72" i="14"/>
  <c r="D73" i="14"/>
  <c r="D74" i="14"/>
  <c r="D75" i="14"/>
  <c r="D76" i="14"/>
  <c r="D67" i="14"/>
  <c r="F275" i="17"/>
  <c r="G275" i="17" s="1"/>
  <c r="F58" i="14"/>
  <c r="F185" i="17" s="1"/>
  <c r="G58" i="14"/>
  <c r="G185" i="17" s="1"/>
  <c r="E185" i="17"/>
  <c r="D44" i="17"/>
  <c r="D43" i="17"/>
  <c r="B44" i="17"/>
  <c r="B43" i="17"/>
  <c r="G273" i="17" l="1"/>
  <c r="G274" i="17" s="1"/>
  <c r="G96" i="17" s="1"/>
  <c r="D64" i="14"/>
  <c r="D63" i="14"/>
  <c r="D62" i="14"/>
  <c r="D61" i="14"/>
  <c r="D60" i="14"/>
  <c r="D59" i="14"/>
  <c r="D58" i="14"/>
  <c r="D57" i="14"/>
  <c r="D56" i="14"/>
  <c r="D55" i="14"/>
  <c r="D54" i="14"/>
  <c r="D51" i="14"/>
  <c r="D50" i="14"/>
  <c r="D49" i="14"/>
  <c r="D48" i="14"/>
  <c r="D47" i="14"/>
  <c r="D46" i="14"/>
  <c r="D45" i="14"/>
  <c r="D42" i="14"/>
  <c r="D39" i="14"/>
  <c r="D38" i="14"/>
  <c r="D37" i="14"/>
  <c r="D36" i="14"/>
  <c r="D35" i="14"/>
  <c r="D34" i="14"/>
  <c r="D33" i="14"/>
  <c r="D24" i="14"/>
  <c r="D25" i="14"/>
  <c r="D26" i="14"/>
  <c r="D27" i="14"/>
  <c r="D28" i="14"/>
  <c r="D29" i="14"/>
  <c r="D30" i="14"/>
  <c r="D23" i="14"/>
  <c r="E69" i="14"/>
  <c r="F273" i="17" l="1"/>
  <c r="F274" i="17" s="1"/>
  <c r="G276" i="17"/>
  <c r="F56" i="17"/>
  <c r="F276" i="17" l="1"/>
  <c r="E273" i="17"/>
  <c r="E274" i="17" s="1"/>
  <c r="F96" i="17" l="1"/>
  <c r="E276" i="17"/>
  <c r="G66" i="14"/>
  <c r="F66" i="14" s="1"/>
  <c r="E66" i="14" s="1"/>
  <c r="G53" i="14"/>
  <c r="F53" i="14" s="1"/>
  <c r="E53" i="14" s="1"/>
  <c r="G44" i="14"/>
  <c r="F44" i="14" s="1"/>
  <c r="G32" i="14"/>
  <c r="F32" i="14" s="1"/>
  <c r="E32" i="14" s="1"/>
  <c r="E96" i="17" l="1"/>
  <c r="E44" i="14"/>
  <c r="E56" i="17"/>
  <c r="G268" i="17" l="1"/>
  <c r="F268" i="17"/>
  <c r="E268" i="17"/>
  <c r="G267" i="17"/>
  <c r="F267" i="17"/>
  <c r="E267" i="17"/>
  <c r="G265" i="17"/>
  <c r="F265" i="17"/>
  <c r="E265" i="17"/>
  <c r="G264" i="17"/>
  <c r="F264" i="17"/>
  <c r="E264" i="17"/>
  <c r="G263" i="17"/>
  <c r="F263" i="17"/>
  <c r="E263" i="17"/>
  <c r="D180" i="17"/>
  <c r="C262" i="17"/>
  <c r="B262" i="17"/>
  <c r="C260" i="17"/>
  <c r="C246" i="17"/>
  <c r="C231" i="17"/>
  <c r="L221" i="17"/>
  <c r="K221" i="17"/>
  <c r="J221" i="17"/>
  <c r="L220" i="17"/>
  <c r="K220" i="17"/>
  <c r="J220" i="17"/>
  <c r="B218" i="17"/>
  <c r="I218" i="17" s="1"/>
  <c r="C217" i="17"/>
  <c r="L207" i="17"/>
  <c r="K207" i="17"/>
  <c r="J207" i="17"/>
  <c r="L206" i="17"/>
  <c r="K206" i="17"/>
  <c r="J206" i="17"/>
  <c r="B204" i="17"/>
  <c r="I204" i="17" s="1"/>
  <c r="C203" i="17"/>
  <c r="L193" i="17"/>
  <c r="K193" i="17"/>
  <c r="J193" i="17"/>
  <c r="L192" i="17"/>
  <c r="K192" i="17"/>
  <c r="J192" i="17"/>
  <c r="B190" i="17"/>
  <c r="I190" i="17" s="1"/>
  <c r="C189" i="17"/>
  <c r="G184" i="17"/>
  <c r="F184" i="17"/>
  <c r="E184" i="17"/>
  <c r="G183" i="17"/>
  <c r="F183" i="17"/>
  <c r="E183" i="17"/>
  <c r="G182" i="17"/>
  <c r="F182" i="17"/>
  <c r="E182" i="17"/>
  <c r="G181" i="17"/>
  <c r="G266" i="17" s="1"/>
  <c r="F181" i="17"/>
  <c r="F266" i="17" s="1"/>
  <c r="E181" i="17"/>
  <c r="E266" i="17" s="1"/>
  <c r="C178" i="17"/>
  <c r="F168" i="17"/>
  <c r="G168" i="17" s="1"/>
  <c r="F167" i="17"/>
  <c r="G167" i="17" s="1"/>
  <c r="C163" i="17"/>
  <c r="C149" i="17"/>
  <c r="F139" i="17"/>
  <c r="G139" i="17" s="1"/>
  <c r="F138" i="17"/>
  <c r="G138" i="17" s="1"/>
  <c r="C134" i="17"/>
  <c r="F128" i="17"/>
  <c r="G128" i="17" s="1"/>
  <c r="F127" i="17"/>
  <c r="G127" i="17" s="1"/>
  <c r="F125" i="17"/>
  <c r="G125" i="17" s="1"/>
  <c r="F124" i="17"/>
  <c r="G124" i="17" s="1"/>
  <c r="C120" i="17"/>
  <c r="C105" i="17"/>
  <c r="C91" i="17"/>
  <c r="B261" i="17"/>
  <c r="B88" i="17"/>
  <c r="C87" i="17"/>
  <c r="B87" i="17"/>
  <c r="G69" i="17"/>
  <c r="G242" i="17" s="1"/>
  <c r="F69" i="17"/>
  <c r="F242" i="17" s="1"/>
  <c r="E69" i="17"/>
  <c r="E241" i="17" s="1"/>
  <c r="E242" i="17" s="1"/>
  <c r="B232" i="17"/>
  <c r="B86" i="17"/>
  <c r="G68" i="17"/>
  <c r="F68" i="17"/>
  <c r="E68" i="17"/>
  <c r="G67" i="17"/>
  <c r="F67" i="17"/>
  <c r="E67" i="17"/>
  <c r="G66" i="17"/>
  <c r="F66" i="17"/>
  <c r="E66" i="17"/>
  <c r="C85" i="17"/>
  <c r="B85" i="17"/>
  <c r="C84" i="17"/>
  <c r="B84" i="17"/>
  <c r="C83" i="17"/>
  <c r="B83" i="17"/>
  <c r="G62" i="17"/>
  <c r="F62" i="17"/>
  <c r="E62" i="17"/>
  <c r="E144" i="17" s="1"/>
  <c r="E145" i="17" s="1"/>
  <c r="B135" i="17"/>
  <c r="B82" i="17"/>
  <c r="G61" i="17"/>
  <c r="F61" i="17"/>
  <c r="E61" i="17"/>
  <c r="B121" i="17"/>
  <c r="B81" i="17"/>
  <c r="G60" i="17"/>
  <c r="F60" i="17"/>
  <c r="E60" i="17"/>
  <c r="E115" i="17" s="1"/>
  <c r="E116" i="17" s="1"/>
  <c r="C80" i="17"/>
  <c r="B80" i="17"/>
  <c r="G59" i="17"/>
  <c r="F59" i="17"/>
  <c r="E59" i="17"/>
  <c r="C79" i="17"/>
  <c r="B79" i="17"/>
  <c r="G58" i="17"/>
  <c r="F58" i="17"/>
  <c r="E58" i="17"/>
  <c r="C78" i="17"/>
  <c r="B78" i="17"/>
  <c r="C77" i="17"/>
  <c r="B77" i="17"/>
  <c r="G56" i="17"/>
  <c r="G136" i="17" s="1"/>
  <c r="G269" i="17" l="1"/>
  <c r="G71" i="17" s="1"/>
  <c r="E269" i="17"/>
  <c r="E71" i="17" s="1"/>
  <c r="F269" i="17"/>
  <c r="F71" i="17" s="1"/>
  <c r="E78" i="17"/>
  <c r="I8" i="17" s="1"/>
  <c r="I4" i="17"/>
  <c r="E100" i="17"/>
  <c r="E101" i="17" s="1"/>
  <c r="E70" i="17"/>
  <c r="J194" i="17"/>
  <c r="J208" i="17"/>
  <c r="J222" i="17"/>
  <c r="L194" i="17"/>
  <c r="K194" i="17"/>
  <c r="L208" i="17"/>
  <c r="K222" i="17"/>
  <c r="K208" i="17"/>
  <c r="L222" i="17"/>
  <c r="G70" i="17"/>
  <c r="C81" i="17"/>
  <c r="B92" i="17"/>
  <c r="G93" i="17"/>
  <c r="G100" i="17"/>
  <c r="G101" i="17" s="1"/>
  <c r="E129" i="17"/>
  <c r="E130" i="17" s="1"/>
  <c r="F144" i="17"/>
  <c r="F145" i="17" s="1"/>
  <c r="B150" i="17"/>
  <c r="G151" i="17"/>
  <c r="G158" i="17"/>
  <c r="G159" i="17" s="1"/>
  <c r="G191" i="17"/>
  <c r="L191" i="17"/>
  <c r="G198" i="17"/>
  <c r="G199" i="17" s="1"/>
  <c r="G205" i="17"/>
  <c r="L205" i="17"/>
  <c r="G212" i="17"/>
  <c r="G213" i="17" s="1"/>
  <c r="G219" i="17"/>
  <c r="L219" i="17"/>
  <c r="G226" i="17"/>
  <c r="G227" i="17" s="1"/>
  <c r="G262" i="17"/>
  <c r="F70" i="17"/>
  <c r="C82" i="17"/>
  <c r="C86" i="17"/>
  <c r="F100" i="17"/>
  <c r="F101" i="17" s="1"/>
  <c r="B106" i="17"/>
  <c r="G107" i="17"/>
  <c r="G115" i="17"/>
  <c r="G116" i="17" s="1"/>
  <c r="F159" i="17"/>
  <c r="B164" i="17"/>
  <c r="G165" i="17"/>
  <c r="G180" i="17"/>
  <c r="F198" i="17"/>
  <c r="F199" i="17" s="1"/>
  <c r="F212" i="17"/>
  <c r="F213" i="17" s="1"/>
  <c r="F226" i="17"/>
  <c r="F227" i="17" s="1"/>
  <c r="G233" i="17"/>
  <c r="G241" i="17"/>
  <c r="F115" i="17"/>
  <c r="F116" i="17" s="1"/>
  <c r="G122" i="17"/>
  <c r="G129" i="17"/>
  <c r="G130" i="17" s="1"/>
  <c r="E159" i="17"/>
  <c r="B179" i="17"/>
  <c r="E198" i="17"/>
  <c r="E199" i="17" s="1"/>
  <c r="E212" i="17"/>
  <c r="E213" i="17" s="1"/>
  <c r="E226" i="17"/>
  <c r="E227" i="17" s="1"/>
  <c r="F241" i="17"/>
  <c r="B247" i="17"/>
  <c r="G248" i="17"/>
  <c r="C88" i="17"/>
  <c r="F129" i="17"/>
  <c r="F130" i="17" s="1"/>
  <c r="G144" i="17"/>
  <c r="G145" i="17" s="1"/>
  <c r="E146" i="17" l="1"/>
  <c r="G255" i="17"/>
  <c r="G256" i="17" s="1"/>
  <c r="E102" i="17"/>
  <c r="E79" i="17" s="1"/>
  <c r="I12" i="17" s="1"/>
  <c r="E117" i="17"/>
  <c r="E131" i="17"/>
  <c r="E160" i="17"/>
  <c r="E83" i="17" s="1"/>
  <c r="E243" i="17"/>
  <c r="E228" i="17"/>
  <c r="E214" i="17"/>
  <c r="E200" i="17"/>
  <c r="E87" i="17"/>
  <c r="I36" i="17" s="1"/>
  <c r="F255" i="17"/>
  <c r="F256" i="17" s="1"/>
  <c r="F248" i="17"/>
  <c r="F122" i="17"/>
  <c r="F233" i="17"/>
  <c r="F180" i="17"/>
  <c r="F165" i="17"/>
  <c r="F107" i="17"/>
  <c r="F262" i="17"/>
  <c r="K219" i="17"/>
  <c r="F219" i="17"/>
  <c r="K205" i="17"/>
  <c r="F205" i="17"/>
  <c r="K191" i="17"/>
  <c r="F191" i="17"/>
  <c r="F151" i="17"/>
  <c r="F93" i="17"/>
  <c r="F136" i="17"/>
  <c r="E255" i="17"/>
  <c r="E256" i="17" s="1"/>
  <c r="E257" i="17" l="1"/>
  <c r="E88" i="17" s="1"/>
  <c r="I38" i="17" s="1"/>
  <c r="E85" i="17"/>
  <c r="I30" i="17" s="1"/>
  <c r="E86" i="17"/>
  <c r="I33" i="17" s="1"/>
  <c r="I25" i="17"/>
  <c r="E80" i="17"/>
  <c r="I16" i="17" s="1"/>
  <c r="E82" i="17"/>
  <c r="I22" i="17" s="1"/>
  <c r="E81" i="17"/>
  <c r="I19" i="17" s="1"/>
  <c r="E233" i="17"/>
  <c r="E180" i="17"/>
  <c r="E165" i="17"/>
  <c r="E107" i="17"/>
  <c r="E262" i="17"/>
  <c r="J219" i="17"/>
  <c r="E219" i="17"/>
  <c r="J205" i="17"/>
  <c r="E205" i="17"/>
  <c r="J191" i="17"/>
  <c r="E191" i="17"/>
  <c r="E151" i="17"/>
  <c r="E93" i="17"/>
  <c r="E136" i="17"/>
  <c r="E248" i="17"/>
  <c r="E122" i="17"/>
  <c r="F186" i="17" l="1"/>
  <c r="E186" i="17"/>
  <c r="E64" i="17" s="1"/>
  <c r="E173" i="17" s="1"/>
  <c r="E174" i="17" s="1"/>
  <c r="G186" i="17"/>
  <c r="G64" i="17" l="1"/>
  <c r="F64" i="17"/>
  <c r="G74" i="14"/>
  <c r="F74" i="14"/>
  <c r="F173" i="17" l="1"/>
  <c r="F174" i="17" s="1"/>
  <c r="G173" i="17"/>
  <c r="G174" i="17"/>
  <c r="E71" i="14"/>
  <c r="F71" i="14"/>
  <c r="G71" i="14"/>
  <c r="E74" i="14"/>
  <c r="F76" i="14"/>
  <c r="G76" i="14"/>
  <c r="F69" i="14"/>
  <c r="G69" i="14"/>
  <c r="E68" i="14"/>
  <c r="F68" i="14"/>
  <c r="G68" i="14"/>
  <c r="E70" i="14"/>
  <c r="F70" i="14"/>
  <c r="G70" i="14"/>
  <c r="E72" i="14"/>
  <c r="F72" i="14"/>
  <c r="G72" i="14"/>
  <c r="E73" i="14"/>
  <c r="F73" i="14"/>
  <c r="G73" i="14"/>
  <c r="E75" i="14"/>
  <c r="F75" i="14"/>
  <c r="G75" i="14"/>
  <c r="E175" i="17" l="1"/>
  <c r="E84" i="17" s="1"/>
  <c r="I27" i="17" s="1"/>
  <c r="I41" i="17" s="1"/>
  <c r="D11" i="14" s="1"/>
  <c r="E11" i="14" l="1"/>
  <c r="G11" i="14" s="1"/>
  <c r="H42" i="17"/>
  <c r="F11" i="14" s="1"/>
  <c r="B11" i="14" s="1"/>
</calcChain>
</file>

<file path=xl/sharedStrings.xml><?xml version="1.0" encoding="utf-8"?>
<sst xmlns="http://schemas.openxmlformats.org/spreadsheetml/2006/main" count="736" uniqueCount="266">
  <si>
    <t>TAK/NIE</t>
  </si>
  <si>
    <t>Jedn./Lata</t>
  </si>
  <si>
    <t>pkt.</t>
  </si>
  <si>
    <t>Przedział wartości wskaźnika</t>
  </si>
  <si>
    <t xml:space="preserve"> - wartość minimalna</t>
  </si>
  <si>
    <t>liczba</t>
  </si>
  <si>
    <t xml:space="preserve"> - wartość maksymalna</t>
  </si>
  <si>
    <t>Przedział punktowy</t>
  </si>
  <si>
    <t>Wartość wskaźnika</t>
  </si>
  <si>
    <t xml:space="preserve"> - pomiędzy 1,0 - 2,0 (liniowo)</t>
  </si>
  <si>
    <t>* W przypadku braku wydatków finansowych wskaźnik WPOD przyjmuje wartość 2,0</t>
  </si>
  <si>
    <t>Ilość punktów</t>
  </si>
  <si>
    <t>Wartość graniczna funkcji wynosi 0.</t>
  </si>
  <si>
    <t>W &lt; 0 – przedsiębiorstwo bardzo słabe, duże zagrożenie upadłością,</t>
  </si>
  <si>
    <t>0 &lt; W &lt; 1 – przedsiębiorstwo słabe, obarczone ryzykiem upadłości,</t>
  </si>
  <si>
    <t>1 &lt; W &lt; 2 – przedsiębiorstwo dobre,</t>
  </si>
  <si>
    <t xml:space="preserve">      W &gt; 2 – przedsiębiorstwo bardzo dobre.</t>
  </si>
  <si>
    <r>
      <t>X</t>
    </r>
    <r>
      <rPr>
        <b/>
        <vertAlign val="sub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(zysk netto+amortyzacja)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</si>
  <si>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aktywa ogółem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</si>
  <si>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 xml:space="preserve">3 </t>
    </r>
    <r>
      <rPr>
        <b/>
        <sz val="10"/>
        <rFont val="Times New Roman"/>
        <family val="1"/>
        <charset val="238"/>
      </rPr>
      <t xml:space="preserve">= </t>
    </r>
    <r>
      <rPr>
        <sz val="10"/>
        <rFont val="Times New Roman"/>
        <family val="1"/>
        <charset val="238"/>
      </rPr>
      <t>EBIT / aktywa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</si>
  <si>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4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EBIT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</si>
  <si>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5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zapasy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</si>
  <si>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6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przychody ze sprzedaży ogółem / aktywa ogółem</t>
    </r>
  </si>
  <si>
    <t>Kryterium</t>
  </si>
  <si>
    <t>Klasyfikacja punktowa</t>
  </si>
  <si>
    <t>Punktacja</t>
  </si>
  <si>
    <t>Punkty</t>
  </si>
  <si>
    <t xml:space="preserve"> - pomiędzy 0,8 - 1,1 (liniowo)</t>
  </si>
  <si>
    <t>0-10</t>
  </si>
  <si>
    <t xml:space="preserve"> - poniżej 1,0</t>
  </si>
  <si>
    <t>Suma punktów:</t>
  </si>
  <si>
    <t>Kategoria bieżącej sytuacji finansowej</t>
  </si>
  <si>
    <t>Przepływy pieniężne netto z działalności operacyjnej</t>
  </si>
  <si>
    <t>Wpływy z działalności finansowej</t>
  </si>
  <si>
    <t>Wydatki z działalności finansowej</t>
  </si>
  <si>
    <t>dni</t>
  </si>
  <si>
    <t>12.</t>
  </si>
  <si>
    <t>Średnia z ilości punktów</t>
  </si>
  <si>
    <t>Wartość funkcji dyskryminacyjnej W - model prof. E. Mączyńskiej</t>
  </si>
  <si>
    <t>Przepływy pieniężne netto z dzialałności inwestycyjnej (-)</t>
  </si>
  <si>
    <t>Wartość wskaźnika WPOD</t>
  </si>
  <si>
    <t>Wynik</t>
  </si>
  <si>
    <t xml:space="preserve"> - w ostatnim  roku powyżej roku poprzedniego</t>
  </si>
  <si>
    <t xml:space="preserve"> - brak danych za 3 lata (działalność prowadzona jest krócej)</t>
  </si>
  <si>
    <t xml:space="preserve"> - pozostałe przypadki</t>
  </si>
  <si>
    <t xml:space="preserve"> - pomiędzy 0,0% - 5,0% (liniowo)</t>
  </si>
  <si>
    <t xml:space="preserve"> - poniżej 0,0%</t>
  </si>
  <si>
    <t xml:space="preserve"> - we wszystkich okresach dodatnia i w ostatnim roku wzrosła</t>
  </si>
  <si>
    <t xml:space="preserve"> - we wszystkich okresach dodatnia i w ostatnim roku zmalała</t>
  </si>
  <si>
    <t xml:space="preserve"> - we wszystkich lub ostatnich 2 okresach ujemna</t>
  </si>
  <si>
    <t xml:space="preserve"> - pomiędzy 0,0% - 30,0% (liniowo)</t>
  </si>
  <si>
    <t xml:space="preserve"> - pomiędzy 10,0% - 50,0% (liniowo)</t>
  </si>
  <si>
    <t>0-5</t>
  </si>
  <si>
    <t xml:space="preserve"> - "TAK"</t>
  </si>
  <si>
    <t xml:space="preserve"> - "NIE"</t>
  </si>
  <si>
    <t xml:space="preserve"> - pomiędzy 0,0 - 2,0 (liniowo)</t>
  </si>
  <si>
    <t>Bieżąca sytuacja finansowa - Informacja pomocnicza - Interpretacja wyników</t>
  </si>
  <si>
    <t xml:space="preserve"> - poniżej 0,0</t>
  </si>
  <si>
    <t>Przepływy pieniężne netto razem (A.+/-B.+/-C.)</t>
  </si>
  <si>
    <t>Zysk/strata z działalności operacyjnej EBIT</t>
  </si>
  <si>
    <t>Zysk/strata netto</t>
  </si>
  <si>
    <t>Koszty finansowe</t>
  </si>
  <si>
    <t>Koszty działalności operacyjnej, w tym:</t>
  </si>
  <si>
    <t>Aktywa obrotowe = Zapasy + Należności krótkoterm + Inwestycje krótkoterm + Krótkoterm rozl. Miedzyokres.</t>
  </si>
  <si>
    <t>Suma aktywów = Aktywa trwałe + Aktywa obrotowe</t>
  </si>
  <si>
    <t>CF finansowy = Wpływy finansowe - Wydatki finansowe</t>
  </si>
  <si>
    <t>Suma pasywów = Suma aktywów</t>
  </si>
  <si>
    <t>Środki pieniężne na koniec okrsu n-1 = Środki pieniężne na początek okresu n</t>
  </si>
  <si>
    <t>Suma pasywów = Kapitał własny + Zobowiązania i rezerwy</t>
  </si>
  <si>
    <t>CF ogólny = CF operacyjny + CF inwestycyjny + CF finansowy</t>
  </si>
  <si>
    <t>CF na koniec okresu = CF ogólny + Środki na początek okresu</t>
  </si>
  <si>
    <t>CF na koniec okresu = Aktywa. Inwestycje krótkoterminowe</t>
  </si>
  <si>
    <t>Zobowiązania i rezerwy na zobow = Rezerwy + Zobow. Długoterm. + Zobow. Krótkoterm. + Rozliczenia międzyokres.</t>
  </si>
  <si>
    <t>* W przypadku braku wydatków finansowych wskaźnik WPOD przyjmuje wartość 1,2</t>
  </si>
  <si>
    <t>liczba*</t>
  </si>
  <si>
    <t xml:space="preserve"> - pomiędzy 0,0 - 0,67 (liniowo)</t>
  </si>
  <si>
    <t xml:space="preserve"> - 0,8 i poniżej</t>
  </si>
  <si>
    <t xml:space="preserve"> - 10,0% i poniżej</t>
  </si>
  <si>
    <t xml:space="preserve"> - poniżej 15/30 dni (zapasy/należności, zobowiązania)</t>
  </si>
  <si>
    <t xml:space="preserve"> - powyżej 60/90 dni (zapasy/należności, zobowiązania)</t>
  </si>
  <si>
    <t>Wskaźnik rotacji zapasów</t>
  </si>
  <si>
    <t>Wskaźnik rotacji należności</t>
  </si>
  <si>
    <t>Wskaźnik rotacji zobowiązań krótkoterminowych</t>
  </si>
  <si>
    <t>Środki pieniężne netto z działalności operacyjnej (+/-)</t>
  </si>
  <si>
    <t>Przepływy pieniężne netto z działalności inwestycyjnej (+/-)</t>
  </si>
  <si>
    <t>Przepływy pieniężne netto z działalności finansowej (+/-)</t>
  </si>
  <si>
    <t>Wpływy finansowe (+)</t>
  </si>
  <si>
    <t>Wydatki finansowe  (+) (2.1+2.2+2.3)</t>
  </si>
  <si>
    <t>Spłaty rat kredytów/pożyczek (+)</t>
  </si>
  <si>
    <t>Spłata odsetek od kredytów/pożyczek (+)</t>
  </si>
  <si>
    <t>Inne wydatki finansowe (np. dywidendy) (+)</t>
  </si>
  <si>
    <t xml:space="preserve"> - pomiędzy 15-30 / 30- 90 dni (zapasy/należności, zobowiązania) (liniowo)</t>
  </si>
  <si>
    <t>9.1</t>
  </si>
  <si>
    <t>9.2</t>
  </si>
  <si>
    <t>9.3</t>
  </si>
  <si>
    <t>Jednostka</t>
  </si>
  <si>
    <t>Metoda</t>
  </si>
  <si>
    <t>Kryterium nr 3</t>
  </si>
  <si>
    <t>Kryterium nr 1</t>
  </si>
  <si>
    <t>Kryterium nr 2</t>
  </si>
  <si>
    <t>Kryterium nr 4</t>
  </si>
  <si>
    <t>Kryterium nr 5</t>
  </si>
  <si>
    <t>Kryterium nr 6</t>
  </si>
  <si>
    <t>Kryterium nr 7</t>
  </si>
  <si>
    <t>Kryterium nr 8</t>
  </si>
  <si>
    <t>Kryterium nr 9</t>
  </si>
  <si>
    <t>Kryterium nr 10</t>
  </si>
  <si>
    <t>Kryterium nr 11</t>
  </si>
  <si>
    <t>Kryterium nr 12</t>
  </si>
  <si>
    <t>Kryterium nr 9.1</t>
  </si>
  <si>
    <t>Kryterium nr 9.2</t>
  </si>
  <si>
    <t>Kryterium nr 9.3</t>
  </si>
  <si>
    <t>Nr Kryterium</t>
  </si>
  <si>
    <t>Analiza ilościowa - wskaźniki finansowe</t>
  </si>
  <si>
    <t>Przychody</t>
  </si>
  <si>
    <t>Należności</t>
  </si>
  <si>
    <t>Wskaźnik (krotność)</t>
  </si>
  <si>
    <t>Zobowiązania</t>
  </si>
  <si>
    <t>Zapasy</t>
  </si>
  <si>
    <t>Obliczenia łańcuchowe</t>
  </si>
  <si>
    <t>Średnia z wprowadzonych okresów</t>
  </si>
  <si>
    <t>Wartość z ostatniego roku</t>
  </si>
  <si>
    <t>Średnia ze średniej z trzech wskaźników rotacji</t>
  </si>
  <si>
    <t>2.1</t>
  </si>
  <si>
    <t>2.2</t>
  </si>
  <si>
    <t>Kategoria</t>
  </si>
  <si>
    <t>2.3</t>
  </si>
  <si>
    <t>Kategoria bieżącej sytuacji finansowej:</t>
  </si>
  <si>
    <t>Punktacja bieżącej sytuacji finansowej:</t>
  </si>
  <si>
    <t>Aktywa obrotowe</t>
  </si>
  <si>
    <t>Należności krótkoterminowe</t>
  </si>
  <si>
    <t>Inwestycje krótkoterminowe, w tym:</t>
  </si>
  <si>
    <t xml:space="preserve"> - środki pieniężne</t>
  </si>
  <si>
    <t>Krótkoterminowe rozl. międzyokresowe</t>
  </si>
  <si>
    <t>Rezerwy na zobowiazania</t>
  </si>
  <si>
    <t>Zobowiazania długoterminowe</t>
  </si>
  <si>
    <t>Zobowiązania krótkoterminowe</t>
  </si>
  <si>
    <t>Rozliczenia międzyokresowe</t>
  </si>
  <si>
    <t>Zobowiązania i rezerwy na zobowiązania</t>
  </si>
  <si>
    <t xml:space="preserve"> - amortyzacja</t>
  </si>
  <si>
    <t>Rachunek przepływów środków pieniężnych</t>
  </si>
  <si>
    <t>Weryfikacja danych finansowych</t>
  </si>
  <si>
    <t>Kapitał (fundusz) własny, w tym:</t>
  </si>
  <si>
    <t>Rating</t>
  </si>
  <si>
    <t>Lp.</t>
  </si>
  <si>
    <t>76-100 pkt.</t>
  </si>
  <si>
    <t>60-75 pkt.</t>
  </si>
  <si>
    <t>50-59 pkt.</t>
  </si>
  <si>
    <t>33-49 pkt.</t>
  </si>
  <si>
    <t>0-32 pkt.</t>
  </si>
  <si>
    <t>1.</t>
  </si>
  <si>
    <t>2.</t>
  </si>
  <si>
    <t>3.</t>
  </si>
  <si>
    <t>4.</t>
  </si>
  <si>
    <t>5.</t>
  </si>
  <si>
    <t xml:space="preserve"> - pomiędzy 0,75 - 1,1 (liniowo)</t>
  </si>
  <si>
    <t xml:space="preserve"> - poniżej 0,75</t>
  </si>
  <si>
    <t>6.</t>
  </si>
  <si>
    <t>Wyszczególnienie</t>
  </si>
  <si>
    <t>Bieżąca sytuacja finansowa - Wysoka</t>
  </si>
  <si>
    <t>Bieżąca sytuacja finansowa - Dobra</t>
  </si>
  <si>
    <t>Bieżąca sytuacja finansowa - Zadowalająca</t>
  </si>
  <si>
    <t>Bieżąca sytuacja finansowa - Niska</t>
  </si>
  <si>
    <t>Bieżąca sytuacja finansowa - Zła / trudności finansowe</t>
  </si>
  <si>
    <t>Rachunek zysków i strat</t>
  </si>
  <si>
    <t>A.</t>
  </si>
  <si>
    <t>Przychody netto ze sprzedaży i zrównane z nimi</t>
  </si>
  <si>
    <t>B.</t>
  </si>
  <si>
    <t>7.</t>
  </si>
  <si>
    <t>8.</t>
  </si>
  <si>
    <t>C.</t>
  </si>
  <si>
    <t>Zysk/strata ze sprzedaży (A-B)</t>
  </si>
  <si>
    <t>D.</t>
  </si>
  <si>
    <t xml:space="preserve"> </t>
  </si>
  <si>
    <t>F.</t>
  </si>
  <si>
    <t>G.</t>
  </si>
  <si>
    <t>H.</t>
  </si>
  <si>
    <t>L.</t>
  </si>
  <si>
    <t>Podatek dochodowy</t>
  </si>
  <si>
    <t>N.</t>
  </si>
  <si>
    <t>Bilans - Aktywa</t>
  </si>
  <si>
    <t>Aktywa trwałe</t>
  </si>
  <si>
    <t>Bilans - Pasywa</t>
  </si>
  <si>
    <t>9.</t>
  </si>
  <si>
    <t>Suma Pasywów (A+B)</t>
  </si>
  <si>
    <t>Środki pieniężne na początek okresu</t>
  </si>
  <si>
    <t>Środki pieniężne na koniec okresu (F+/-D)</t>
  </si>
  <si>
    <t>Wskaźniki finansowe</t>
  </si>
  <si>
    <t>%</t>
  </si>
  <si>
    <t>10.</t>
  </si>
  <si>
    <t>11.</t>
  </si>
  <si>
    <t>Premia za ryzyko</t>
  </si>
  <si>
    <t>Dane uzupełniające do oceny punktowej wskaźnika rentowności kapitału</t>
  </si>
  <si>
    <t>Dynamika sprzedaży. Formuła: zmiana przychodów ze sprzedaży rok do roku</t>
  </si>
  <si>
    <t>Rentowność sprzedaży - wskaźnik rentowności sprzedaży. Formuła: wynik na sprzedaży / sprzedaż ogółem</t>
  </si>
  <si>
    <t>Rentowność kapitału - wskaźnik ROE. Formuła: wynik netto / kapitały własne</t>
  </si>
  <si>
    <t>Płynność finansowa - wskaźnik płynności finansowej II stopnia: Formuła: (aktywa bieżące - zapasy) / zobowiązania bieżące</t>
  </si>
  <si>
    <t>Pokrycie zadłużenia - wskaźnik pokrycia obsługi długu z gotówki operacyjnej. Formuła: CF operacyjny / zadłużenie (zobowiązania ogółem)</t>
  </si>
  <si>
    <t>Wypłacalność - wskaźnik pokrycia aktywów kapitałami własnymi. Formuła: kapitał własny / aktywa ogółem</t>
  </si>
  <si>
    <t>Poziom zadłużenia - wskaźnik ogólnego zadłużenia. Formuła: (zobowiązania + rezerwy na zobowiązania) / aktywa ogółem</t>
  </si>
  <si>
    <t>Pokrycie zadłużenia - wskaźnik pokrycia obsługi długu z przepływów pieniężnych WPOD. Formuła: (CF operacyjny + CF inwestycyjny + CF finansowy (wpływy) + saldo środków na początek okresu) / CF finansowy (wydatki)</t>
  </si>
  <si>
    <t>Sprawność działalnia - wskaźniki rotacji (zapasów, należności i zobowiązań). Formuła: (stan zapasów, należności, zobowiązań x liczba dni) / przychody netto ze sprzedaży</t>
  </si>
  <si>
    <t>Pokrycie aktywów stałych: kapitał własny / aktywa trwałe</t>
  </si>
  <si>
    <t>Efekt dźwigni finansowej: ROE &gt; (wynik netto + koszty odsetek + podatek dochodowy) / aktywa ogółem</t>
  </si>
  <si>
    <t>Analiza dyskryminacyjna - model prof. E. Mączyńskiej</t>
  </si>
  <si>
    <t>Propozycja
oprocentowania</t>
  </si>
  <si>
    <t>Wynik oceny</t>
  </si>
  <si>
    <t>CCC</t>
  </si>
  <si>
    <t>BBB</t>
  </si>
  <si>
    <t>BB</t>
  </si>
  <si>
    <t>B</t>
  </si>
  <si>
    <t>AAA-A</t>
  </si>
  <si>
    <t>Jedn. / Lata</t>
  </si>
  <si>
    <t>Marża w punktach bazowych*)</t>
  </si>
  <si>
    <t>*) Komunikat Komisji w sprawie zmiany metody ustalania stóp referencyjnych i dyskontowych (2008/C 14/02)</t>
  </si>
  <si>
    <t>Źródło: http://www.bankier.pl/kredyty-hipoteczne/stopy-procentowe/wibor</t>
  </si>
  <si>
    <t>Rok złożenia wniosku</t>
  </si>
  <si>
    <t xml:space="preserve"> - 5,0% i powyżej </t>
  </si>
  <si>
    <t xml:space="preserve"> - 1,1 i powyżej </t>
  </si>
  <si>
    <t xml:space="preserve"> - 30,0% i powyżej </t>
  </si>
  <si>
    <t xml:space="preserve"> - 50,0% i powyżej </t>
  </si>
  <si>
    <t xml:space="preserve"> - 0,67 i powyżej </t>
  </si>
  <si>
    <t xml:space="preserve"> - 2,0 i powyżej </t>
  </si>
  <si>
    <t xml:space="preserve"> - rośnie z roku na rok</t>
  </si>
  <si>
    <t>Dane na dzień</t>
  </si>
  <si>
    <t xml:space="preserve"> - w przypadku, gdy zarówno kapitał własny jak i wynik netto są ujemne</t>
  </si>
  <si>
    <t xml:space="preserve">*) Za przedsięwzięcie realizowane w formule „project finance” uznaje się przedsięwzięcie realizowane przez:
     - podmiot utworzony specjalnie w celu realizacji przedsięwzięcia, który nie rozpoczął jeszcze prowadzenia działalności operacyjnej,
     - podmiot prowadzący obecnie działalność gospodarczą, ale w innej dziedzinie niż charakter przedsięwzięcia zgłoszonego we wniosku o dofinansowanie (np.
     - podmiot prowadzący działalność szkoleniową zamierza budować farmę wiatrową) - szczególnie w przypadku kiedy skala prowadzonej dotychczasowej 
       działalności podmiotu nie gwarantuje ew. zwrotu środków w przypadku niepowodzenia realizacji przedsięwzięcia,
     - podmiot prowadzący działalność gospodarczą krócej niż rok.
</t>
  </si>
  <si>
    <r>
      <rPr>
        <b/>
        <u/>
        <sz val="10"/>
        <color rgb="FFFF0000"/>
        <rFont val="Arial"/>
        <family val="2"/>
        <charset val="238"/>
      </rPr>
      <t>UWAGA: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Beneficjentom realizującym projekty w formule „project finance”*), przyznawany jest rating na poziomie „Zły / trudności finansowe (CCC i poniżej)”. Ocena bieżącej sytuacji finansowej nie jest w tym wypadku przeprowadzana. 
Rating na poziomie „Zły / trudności finansowe (CCC i poniżej)” przyznawany jest również Beneficjentom posiadającym historię kredytową, jednak prowadzącym działalność w rozmiarze znacznie niższym niż rozmiar działalności, która będzie prowadzona w wyniku realizacji projektu. Dotyczy to Beneficjentów którzy w okresie objętym analizą uzyskują roczną nadwyżkę finansową rozumianą jako suma zysku netto i amortyzacji niższą niż planowana, uśredniona roczna rata kapitałowa pożyczki z NFOŚiGW o przyznanie której występuje Beneficjent.
Rating uzyskany w trakcie oceny bieżącej sytuacji finansowej jest podstawą do ustalenia oprocentowania przy którym pożyczka nie będzie stanowić pomocy publicznej.
</t>
    </r>
  </si>
  <si>
    <r>
      <rPr>
        <b/>
        <sz val="10"/>
        <rFont val="Arial"/>
        <family val="2"/>
        <charset val="238"/>
      </rPr>
      <t xml:space="preserve">
1. Informacja dotycząca sposobu wypełniania pól liczbowych.</t>
    </r>
    <r>
      <rPr>
        <sz val="10"/>
        <rFont val="Arial"/>
        <family val="2"/>
        <charset val="238"/>
      </rPr>
      <t xml:space="preserve">
    Arkusz rozróżnia wartości zerowe i puste pola. W przypadku braku danych finansowych za dany okres należy poszczególne pozycje pozostawić puste lub
    wprowadzone już dane usunąć (np.: klawiszem ,,DEL” lub wbudowanym przyciskiem ,,Wyczyść dane finansowe”).
    W przypadku, gdy wartość pozycji jest równa zero (,,0”) należy wpisać tę wartość w odpowiednią pozycję. 
</t>
    </r>
    <r>
      <rPr>
        <b/>
        <sz val="10"/>
        <rFont val="Arial"/>
        <family val="2"/>
        <charset val="238"/>
      </rPr>
      <t xml:space="preserve">2. Informacja uzupełniająca dotycząca sposobu prezentacji danych w arkuszu ,,Dane finansowe”, w tabelach:
   ,,Rachunek zysków i strat”,
   ,,Bilans — Aktywa”,
   ,,Bilans — Pasywa”.
   "Rachunek przepływów środków pieniężnych"
</t>
    </r>
    <r>
      <rPr>
        <sz val="10"/>
        <rFont val="Arial"/>
        <family val="2"/>
        <charset val="238"/>
      </rPr>
      <t xml:space="preserve">Wartości poszczególnych pozycji w wyżej wymienionych tabelach należy wpisywać zgodnie z danymi zawartymi w sprawozdaniach finansowych. 
</t>
    </r>
    <r>
      <rPr>
        <b/>
        <sz val="10"/>
        <rFont val="Arial"/>
        <family val="2"/>
        <charset val="238"/>
      </rPr>
      <t xml:space="preserve">3. Informacja uzupełniająca dotycząca sposobu prezentacji danych w arkuszu ,,Dane finansowe” w tabeli ,,Rachunek przepływów pieniężnych”. </t>
    </r>
    <r>
      <rPr>
        <sz val="10"/>
        <rFont val="Arial"/>
        <family val="2"/>
        <charset val="238"/>
      </rPr>
      <t xml:space="preserve">
    Dane z "Rachunku przepływów pieniężnych" mają wpływ na rating dlatego też zaleca się, aby tabelę wypełniły również podmioty, które zgodnie z ustawą
    o rachunkowości nie mają obowiązku sporządzania tego sprawozdania.
</t>
    </r>
    <r>
      <rPr>
        <b/>
        <sz val="10"/>
        <rFont val="Arial"/>
        <family val="2"/>
        <charset val="238"/>
      </rPr>
      <t>Pozycja A. Przepływy pieniężne netto z działalności operacyjnej.</t>
    </r>
    <r>
      <rPr>
        <sz val="10"/>
        <rFont val="Arial"/>
        <family val="2"/>
        <charset val="238"/>
      </rPr>
      <t xml:space="preserve">
    Dodatnie przepływy (wpływy pieniężne) należy wpisywać ze znakiem ,,+“. 
    Ujemne przepływy (wydatki pieniężne) należy wpisywać ze znakiem ,,-“. 
</t>
    </r>
    <r>
      <rPr>
        <b/>
        <sz val="10"/>
        <rFont val="Arial"/>
        <family val="2"/>
        <charset val="238"/>
      </rPr>
      <t>Pozycja B. Przepływy pieniężne netto z działalności inwestycyjnej.</t>
    </r>
    <r>
      <rPr>
        <sz val="10"/>
        <rFont val="Arial"/>
        <family val="2"/>
        <charset val="238"/>
      </rPr>
      <t xml:space="preserve">
    Dodatnie przepływy (wpływy pieniężne) należy wpisywać ze znakiem ,,+“.
    Ujemne przepływy (wydatki pieniężne) należy wpisywać ze znakiem ,,-“.
</t>
    </r>
    <r>
      <rPr>
        <b/>
        <sz val="10"/>
        <rFont val="Arial"/>
        <family val="2"/>
        <charset val="238"/>
      </rPr>
      <t>Pozycja C. Przepływy pieniężne netto z działalności finansowej.</t>
    </r>
    <r>
      <rPr>
        <sz val="10"/>
        <rFont val="Arial"/>
        <family val="2"/>
        <charset val="238"/>
      </rPr>
      <t xml:space="preserve">
    Wpływy z działalności finansowej (pozycja C.1.) należy wpisywać ze znakiem ,,+“.
    Wydatki z działalności finansowej (pozycje C.2.1 – C.2.3.) należy wpisywać ze znakiem ,,+“. 
    Wartość w pozycji C.2. stanowi wynik sumowania poszczególnych wydatków finansowych wymienionych w pozycjach od C.2. 1. do C.2.3. 
Wartości poszczególnych pozycji w wyżej wymienionych tabelach należy wpisywać zgodnie z danymi zawartymi w sprawozdaniach finansowych. 
</t>
    </r>
  </si>
  <si>
    <t>WIBOR 1R</t>
  </si>
  <si>
    <t xml:space="preserve">* Proszę wstawić aktualną stopę bazową: http://ec.europa.eu/competition/state_aid/legislation/reference_rates.html </t>
  </si>
  <si>
    <t>Wysokość stopy bazowej*</t>
  </si>
  <si>
    <t>Proszę wybrać jednostkę sprawozdań finansowych</t>
  </si>
  <si>
    <t>Nazwa Beneficjenta:</t>
  </si>
  <si>
    <t>Adres Beneficjenta:</t>
  </si>
  <si>
    <t>zł</t>
  </si>
  <si>
    <t>tys. zł</t>
  </si>
  <si>
    <t>Spółka XYZ Sp. z o.o.</t>
  </si>
  <si>
    <t>00-001 Warszawa, ul. Warszawska 1/11</t>
  </si>
  <si>
    <t xml:space="preserve">Nazwa Programu priorytowego/Komentarz </t>
  </si>
  <si>
    <t>Program Priorytetowy x.x.x</t>
  </si>
  <si>
    <r>
      <t xml:space="preserve">Przychody ze sprzedaży
</t>
    </r>
    <r>
      <rPr>
        <i/>
        <sz val="10"/>
        <rFont val="Times New Roman"/>
        <family val="1"/>
        <charset val="238"/>
      </rPr>
      <t>Formuła: zmiana przychodów ze sprzedaży</t>
    </r>
  </si>
  <si>
    <r>
      <t xml:space="preserve">Rentowność sprzedaży - wskaźnik rentowności sprzedaży
</t>
    </r>
    <r>
      <rPr>
        <i/>
        <sz val="10"/>
        <rFont val="Times New Roman"/>
        <family val="1"/>
        <charset val="238"/>
      </rPr>
      <t>Formuła: wynik na sprzedaży / sprzedaż ogółem</t>
    </r>
  </si>
  <si>
    <r>
      <t xml:space="preserve">Rentowność kapitału - wskaźnik ROE
</t>
    </r>
    <r>
      <rPr>
        <i/>
        <sz val="10"/>
        <rFont val="Times New Roman"/>
        <family val="1"/>
        <charset val="238"/>
      </rPr>
      <t>Formuła: wynik netto / kapitały własne</t>
    </r>
  </si>
  <si>
    <r>
      <t xml:space="preserve">Płynność finansowa - wskaźnik płynności finansowej II stopnia
</t>
    </r>
    <r>
      <rPr>
        <i/>
        <sz val="10"/>
        <rFont val="Times New Roman"/>
        <family val="1"/>
        <charset val="238"/>
      </rPr>
      <t>Formuła: (aktywa bieżące - zapasy) / zobowiązania bieżące</t>
    </r>
  </si>
  <si>
    <r>
      <t xml:space="preserve">Pokrycie zadłużenia - wskaźnik pokrycia obsługi długu z gotówki operacyjnej
</t>
    </r>
    <r>
      <rPr>
        <i/>
        <sz val="10"/>
        <rFont val="Times New Roman"/>
        <family val="1"/>
        <charset val="238"/>
      </rPr>
      <t>Formuła: CF operacyjny / zadłużenie (zobowiązania ogółem)</t>
    </r>
  </si>
  <si>
    <r>
      <t xml:space="preserve">Wypłacalność - wskaźnik pokrycia aktywów kapitałami własnymi
</t>
    </r>
    <r>
      <rPr>
        <i/>
        <sz val="10"/>
        <rFont val="Times New Roman"/>
        <family val="1"/>
        <charset val="238"/>
      </rPr>
      <t>Formuła: kapitał własny / aktywa ogółem</t>
    </r>
  </si>
  <si>
    <r>
      <t xml:space="preserve">Poziom zadłużenia - wskaźnik ogólnego zadłużenia
</t>
    </r>
    <r>
      <rPr>
        <i/>
        <sz val="10"/>
        <rFont val="Times New Roman"/>
        <family val="1"/>
        <charset val="238"/>
      </rPr>
      <t>Formuła: (zobowiązania + rezerwy na zobowiązania) / aktywa ogółem</t>
    </r>
  </si>
  <si>
    <r>
      <t xml:space="preserve">Pokrycie zadłużenia - wskaźnik pokrycia obsługi długu z przepływów pieniężnych WPOD
</t>
    </r>
    <r>
      <rPr>
        <i/>
        <sz val="10"/>
        <rFont val="Times New Roman"/>
        <family val="1"/>
        <charset val="238"/>
      </rPr>
      <t>Formuła: (CF operacyjny + CF inwestycyjny + CF finansowy (wpływy) + saldo środków na początek okresu) / CF finansowy (wydatki)</t>
    </r>
  </si>
  <si>
    <r>
      <t xml:space="preserve">Sprawność działalnia - wskaźniki rotacji (zapasów, należności i zobowiązań)
</t>
    </r>
    <r>
      <rPr>
        <i/>
        <sz val="10"/>
        <rFont val="Times New Roman"/>
        <family val="1"/>
        <charset val="238"/>
      </rPr>
      <t>Formuła: (stan zapasów, należności, zobowiązań x liczba dni) / przychody netto ze sprzedaży</t>
    </r>
  </si>
  <si>
    <r>
      <t xml:space="preserve">Pokrycie aktywów stałych
</t>
    </r>
    <r>
      <rPr>
        <i/>
        <sz val="10"/>
        <rFont val="Times New Roman"/>
        <family val="1"/>
        <charset val="238"/>
      </rPr>
      <t>Formuła: kapitał własny / aktywa trwałe</t>
    </r>
  </si>
  <si>
    <r>
      <t xml:space="preserve">Efekt dźwigni finansowej
</t>
    </r>
    <r>
      <rPr>
        <i/>
        <sz val="10"/>
        <rFont val="Times New Roman"/>
        <family val="1"/>
        <charset val="238"/>
      </rPr>
      <t>Formuła: ROE &gt; (wynik netto + koszty odsetek + podatek dochodowy) / aktywa ogółem</t>
    </r>
  </si>
  <si>
    <r>
      <t xml:space="preserve">Analiza dyskryminacyjna - model prof. E. Mączyńskiej
</t>
    </r>
    <r>
      <rPr>
        <i/>
        <sz val="10"/>
        <rFont val="Times New Roman"/>
        <family val="1"/>
        <charset val="238"/>
      </rPr>
      <t>Formuła: W= 1,5 x ((zysk netto+amortyzacja) / zobowiązania ogółem) + 0,08 x (aktywa ogółem / zobowiązania ogółem) + 10 x (EBIT / aktywa ogółem) + 5 x (EBIT / przychody ze sprzedaży ogółem) + 0,3 x (zapasy / przychody ze sprzedaży ogółem) + 0,1 x (przychody ze sprzedaży ogółem / aktywa ogółem)</t>
    </r>
  </si>
  <si>
    <t>Razem - Wartość maksymalna ROE</t>
  </si>
  <si>
    <t>Wartość</t>
  </si>
  <si>
    <t>Jedn.</t>
  </si>
  <si>
    <t>Rok 2019</t>
  </si>
  <si>
    <t>Rok 2020</t>
  </si>
  <si>
    <t>Rok 2021</t>
  </si>
  <si>
    <t>Należne wpłaty na kapitał (fundusz) podstawowy</t>
  </si>
  <si>
    <t>Udziały (akcje) własne</t>
  </si>
  <si>
    <t>Suma aktywów (A+B+C+D)</t>
  </si>
  <si>
    <t>1-10</t>
  </si>
  <si>
    <t>1-5</t>
  </si>
  <si>
    <t>Rok 2022</t>
  </si>
  <si>
    <t xml:space="preserve"> - wartość minimalna (robocza)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</si>
</sst>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z_ł_-;\-* #,##0.00\ _z_ł_-;_-* &quot;-&quot;??\ _z_ł_-;_-@_-"/>
    <numFmt numFmtId="165" formatCode="0.0%"/>
    <numFmt numFmtId="166" formatCode="#,##0.0"/>
    <numFmt numFmtId="167" formatCode="_-* #,##0&quot;грн.&quot;_-;_-* #,##0&quot;грн.&quot;\-;_-* &quot;-&quot;&quot;грн.&quot;_-;_-@_-"/>
    <numFmt numFmtId="168" formatCode="_-* #,##0_г_р_н_._-;_-* #,##0_г_р_н_.\-;_-* &quot;-&quot;_г_р_н_._-;_-@_-"/>
    <numFmt numFmtId="169" formatCode="_-* #,##0.00&quot;грн.&quot;_-;_-* #,##0.00&quot;грн.&quot;\-;_-* &quot;-&quot;??&quot;грн.&quot;_-;_-@_-"/>
    <numFmt numFmtId="170" formatCode="_-* #,##0.00_г_р_н_._-;_-* #,##0.00_г_р_н_.\-;_-* &quot;-&quot;??_г_р_н_._-;_-@_-"/>
    <numFmt numFmtId="171" formatCode="#,##0.00;&quot;-&quot;#,##0.00"/>
    <numFmt numFmtId="172" formatCode="0.0000%"/>
  </numFmts>
  <fonts count="43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sz val="11"/>
      <color indexed="17"/>
      <name val="Czcionka tekstu podstawowego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sz val="10"/>
      <color indexed="18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Fill="0" applyBorder="0" applyAlignment="0" applyProtection="0"/>
    <xf numFmtId="0" fontId="10" fillId="4" borderId="0" applyNumberFormat="0" applyBorder="0" applyAlignment="0" applyProtection="0"/>
    <xf numFmtId="164" fontId="1" fillId="0" borderId="0" applyFont="0" applyFill="0" applyBorder="0" applyAlignment="0" applyProtection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20" borderId="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8">
      <alignment horizontal="center"/>
    </xf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1" applyNumberFormat="0" applyFont="0" applyAlignment="0" applyProtection="0"/>
    <xf numFmtId="0" fontId="30" fillId="3" borderId="0" applyNumberFormat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</cellStyleXfs>
  <cellXfs count="313">
    <xf numFmtId="0" fontId="0" fillId="0" borderId="0" xfId="0"/>
    <xf numFmtId="0" fontId="32" fillId="26" borderId="0" xfId="51" applyFont="1" applyFill="1" applyBorder="1" applyAlignment="1" applyProtection="1">
      <alignment vertical="center"/>
    </xf>
    <xf numFmtId="0" fontId="32" fillId="26" borderId="0" xfId="51" applyFont="1" applyFill="1" applyBorder="1" applyAlignment="1" applyProtection="1">
      <alignment horizontal="center" vertical="center"/>
    </xf>
    <xf numFmtId="0" fontId="2" fillId="25" borderId="21" xfId="51" applyFont="1" applyFill="1" applyBorder="1" applyAlignment="1" applyProtection="1">
      <alignment horizontal="center" vertical="center"/>
    </xf>
    <xf numFmtId="0" fontId="32" fillId="25" borderId="12" xfId="51" applyFont="1" applyFill="1" applyBorder="1" applyAlignment="1" applyProtection="1">
      <alignment horizontal="center" vertical="center"/>
    </xf>
    <xf numFmtId="0" fontId="32" fillId="26" borderId="0" xfId="51" applyFont="1" applyFill="1" applyAlignment="1" applyProtection="1">
      <alignment vertical="center"/>
    </xf>
    <xf numFmtId="0" fontId="0" fillId="29" borderId="0" xfId="0" applyFill="1"/>
    <xf numFmtId="0" fontId="0" fillId="28" borderId="16" xfId="0" applyFill="1" applyBorder="1"/>
    <xf numFmtId="0" fontId="0" fillId="28" borderId="22" xfId="0" applyFill="1" applyBorder="1"/>
    <xf numFmtId="0" fontId="0" fillId="28" borderId="17" xfId="0" applyFill="1" applyBorder="1"/>
    <xf numFmtId="10" fontId="32" fillId="26" borderId="0" xfId="55" applyNumberFormat="1" applyFont="1" applyFill="1" applyAlignment="1" applyProtection="1">
      <alignment vertical="center"/>
    </xf>
    <xf numFmtId="0" fontId="32" fillId="26" borderId="0" xfId="51" applyFont="1" applyFill="1" applyAlignment="1" applyProtection="1">
      <alignment horizontal="center" vertical="center"/>
    </xf>
    <xf numFmtId="0" fontId="32" fillId="26" borderId="0" xfId="51" applyFont="1" applyFill="1" applyAlignment="1" applyProtection="1">
      <alignment vertical="center" wrapText="1"/>
    </xf>
    <xf numFmtId="0" fontId="2" fillId="25" borderId="12" xfId="51" applyFont="1" applyFill="1" applyBorder="1" applyAlignment="1" applyProtection="1">
      <alignment horizontal="center" vertical="center"/>
    </xf>
    <xf numFmtId="0" fontId="32" fillId="25" borderId="0" xfId="51" applyFont="1" applyFill="1" applyBorder="1" applyAlignment="1" applyProtection="1">
      <alignment horizontal="center" vertical="center" wrapText="1"/>
    </xf>
    <xf numFmtId="0" fontId="32" fillId="25" borderId="24" xfId="51" applyFont="1" applyFill="1" applyBorder="1" applyAlignment="1" applyProtection="1">
      <alignment horizontal="center" vertical="center" wrapText="1"/>
    </xf>
    <xf numFmtId="16" fontId="32" fillId="25" borderId="0" xfId="51" quotePrefix="1" applyNumberFormat="1" applyFont="1" applyFill="1" applyBorder="1" applyAlignment="1" applyProtection="1">
      <alignment horizontal="center" vertical="center" wrapText="1"/>
    </xf>
    <xf numFmtId="0" fontId="35" fillId="25" borderId="24" xfId="51" applyFont="1" applyFill="1" applyBorder="1" applyAlignment="1" applyProtection="1">
      <alignment horizontal="center" vertical="center" wrapText="1"/>
    </xf>
    <xf numFmtId="0" fontId="32" fillId="25" borderId="20" xfId="51" quotePrefix="1" applyFont="1" applyFill="1" applyBorder="1" applyAlignment="1" applyProtection="1">
      <alignment horizontal="center" vertical="center" wrapText="1"/>
    </xf>
    <xf numFmtId="0" fontId="32" fillId="25" borderId="0" xfId="51" quotePrefix="1" applyFont="1" applyFill="1" applyBorder="1" applyAlignment="1" applyProtection="1">
      <alignment horizontal="center" vertical="center" wrapText="1"/>
    </xf>
    <xf numFmtId="16" fontId="32" fillId="25" borderId="20" xfId="51" quotePrefix="1" applyNumberFormat="1" applyFont="1" applyFill="1" applyBorder="1" applyAlignment="1" applyProtection="1">
      <alignment horizontal="center" vertical="center"/>
    </xf>
    <xf numFmtId="16" fontId="32" fillId="25" borderId="22" xfId="51" quotePrefix="1" applyNumberFormat="1" applyFont="1" applyFill="1" applyBorder="1" applyAlignment="1" applyProtection="1">
      <alignment horizontal="center" vertical="center"/>
    </xf>
    <xf numFmtId="0" fontId="32" fillId="25" borderId="17" xfId="51" applyFont="1" applyFill="1" applyBorder="1" applyAlignment="1" applyProtection="1">
      <alignment horizontal="center" vertical="center"/>
    </xf>
    <xf numFmtId="0" fontId="2" fillId="25" borderId="25" xfId="51" applyFont="1" applyFill="1" applyBorder="1" applyAlignment="1" applyProtection="1">
      <alignment horizontal="center" vertical="center"/>
    </xf>
    <xf numFmtId="1" fontId="2" fillId="25" borderId="21" xfId="51" applyNumberFormat="1" applyFont="1" applyFill="1" applyBorder="1" applyAlignment="1" applyProtection="1">
      <alignment horizontal="center" vertical="center"/>
    </xf>
    <xf numFmtId="0" fontId="2" fillId="25" borderId="17" xfId="51" applyFont="1" applyFill="1" applyBorder="1" applyAlignment="1" applyProtection="1">
      <alignment horizontal="center" vertical="center" wrapText="1"/>
    </xf>
    <xf numFmtId="0" fontId="2" fillId="25" borderId="21" xfId="52" applyFont="1" applyFill="1" applyBorder="1" applyAlignment="1" applyProtection="1">
      <alignment horizontal="center" vertical="center" wrapText="1"/>
    </xf>
    <xf numFmtId="0" fontId="2" fillId="26" borderId="0" xfId="51" applyFont="1" applyFill="1" applyAlignment="1" applyProtection="1">
      <alignment vertical="center"/>
    </xf>
    <xf numFmtId="0" fontId="2" fillId="26" borderId="0" xfId="51" applyFont="1" applyFill="1" applyBorder="1" applyAlignment="1" applyProtection="1">
      <alignment vertical="center"/>
    </xf>
    <xf numFmtId="0" fontId="33" fillId="26" borderId="0" xfId="51" applyFont="1" applyFill="1" applyAlignment="1" applyProtection="1">
      <alignment horizontal="center" vertical="center"/>
    </xf>
    <xf numFmtId="0" fontId="2" fillId="25" borderId="12" xfId="51" applyFont="1" applyFill="1" applyBorder="1" applyAlignment="1" applyProtection="1">
      <alignment horizontal="center" vertical="center" wrapText="1"/>
    </xf>
    <xf numFmtId="0" fontId="2" fillId="26" borderId="0" xfId="51" applyFont="1" applyFill="1" applyAlignment="1" applyProtection="1">
      <alignment horizontal="center" vertical="center"/>
    </xf>
    <xf numFmtId="2" fontId="32" fillId="25" borderId="21" xfId="51" applyNumberFormat="1" applyFont="1" applyFill="1" applyBorder="1" applyAlignment="1" applyProtection="1">
      <alignment horizontal="center" vertical="center"/>
    </xf>
    <xf numFmtId="2" fontId="32" fillId="25" borderId="12" xfId="51" applyNumberFormat="1" applyFont="1" applyFill="1" applyBorder="1" applyAlignment="1" applyProtection="1">
      <alignment horizontal="center" vertical="center"/>
    </xf>
    <xf numFmtId="0" fontId="33" fillId="26" borderId="0" xfId="51" applyFont="1" applyFill="1" applyBorder="1" applyAlignment="1" applyProtection="1">
      <alignment horizontal="center" vertical="center" wrapText="1"/>
    </xf>
    <xf numFmtId="0" fontId="33" fillId="26" borderId="0" xfId="51" applyFont="1" applyFill="1" applyBorder="1" applyAlignment="1" applyProtection="1">
      <alignment horizontal="left" vertical="center" wrapText="1"/>
    </xf>
    <xf numFmtId="1" fontId="32" fillId="25" borderId="12" xfId="51" applyNumberFormat="1" applyFont="1" applyFill="1" applyBorder="1" applyAlignment="1" applyProtection="1">
      <alignment horizontal="center" vertical="center"/>
    </xf>
    <xf numFmtId="0" fontId="2" fillId="24" borderId="12" xfId="51" applyFont="1" applyFill="1" applyBorder="1" applyAlignment="1" applyProtection="1">
      <alignment horizontal="left" vertical="center" indent="1"/>
    </xf>
    <xf numFmtId="0" fontId="2" fillId="25" borderId="20" xfId="51" applyFont="1" applyFill="1" applyBorder="1" applyAlignment="1" applyProtection="1">
      <alignment horizontal="center" vertical="center"/>
    </xf>
    <xf numFmtId="10" fontId="32" fillId="25" borderId="14" xfId="55" applyNumberFormat="1" applyFont="1" applyFill="1" applyBorder="1" applyAlignment="1" applyProtection="1">
      <alignment horizontal="center" vertical="center"/>
    </xf>
    <xf numFmtId="0" fontId="32" fillId="25" borderId="14" xfId="51" applyFont="1" applyFill="1" applyBorder="1" applyAlignment="1" applyProtection="1">
      <alignment vertical="center"/>
    </xf>
    <xf numFmtId="0" fontId="32" fillId="25" borderId="15" xfId="51" applyFont="1" applyFill="1" applyBorder="1" applyAlignment="1" applyProtection="1">
      <alignment vertical="center"/>
    </xf>
    <xf numFmtId="10" fontId="32" fillId="25" borderId="26" xfId="55" applyNumberFormat="1" applyFont="1" applyFill="1" applyBorder="1" applyAlignment="1" applyProtection="1">
      <alignment horizontal="center" vertical="center"/>
    </xf>
    <xf numFmtId="10" fontId="32" fillId="25" borderId="19" xfId="55" applyNumberFormat="1" applyFont="1" applyFill="1" applyBorder="1" applyAlignment="1" applyProtection="1">
      <alignment horizontal="center" vertical="center"/>
    </xf>
    <xf numFmtId="3" fontId="32" fillId="25" borderId="26" xfId="55" applyNumberFormat="1" applyFont="1" applyFill="1" applyBorder="1" applyAlignment="1" applyProtection="1">
      <alignment horizontal="center" vertical="center"/>
    </xf>
    <xf numFmtId="3" fontId="32" fillId="25" borderId="12" xfId="55" applyNumberFormat="1" applyFont="1" applyFill="1" applyBorder="1" applyAlignment="1" applyProtection="1">
      <alignment horizontal="center" vertical="center"/>
    </xf>
    <xf numFmtId="3" fontId="32" fillId="25" borderId="12" xfId="51" applyNumberFormat="1" applyFont="1" applyFill="1" applyBorder="1" applyAlignment="1" applyProtection="1">
      <alignment horizontal="center" vertical="center"/>
    </xf>
    <xf numFmtId="3" fontId="2" fillId="25" borderId="12" xfId="55" applyNumberFormat="1" applyFont="1" applyFill="1" applyBorder="1" applyAlignment="1" applyProtection="1">
      <alignment horizontal="center" vertical="center"/>
    </xf>
    <xf numFmtId="0" fontId="2" fillId="26" borderId="0" xfId="51" applyFont="1" applyFill="1" applyBorder="1" applyAlignment="1" applyProtection="1">
      <alignment horizontal="center" vertical="center"/>
    </xf>
    <xf numFmtId="3" fontId="2" fillId="26" borderId="0" xfId="55" applyNumberFormat="1" applyFont="1" applyFill="1" applyBorder="1" applyAlignment="1" applyProtection="1">
      <alignment horizontal="center" vertical="center"/>
    </xf>
    <xf numFmtId="0" fontId="32" fillId="26" borderId="0" xfId="51" applyFont="1" applyFill="1" applyBorder="1" applyAlignment="1" applyProtection="1">
      <alignment horizontal="center" vertical="center" wrapText="1"/>
    </xf>
    <xf numFmtId="0" fontId="32" fillId="26" borderId="0" xfId="51" applyFont="1" applyFill="1" applyBorder="1" applyAlignment="1" applyProtection="1">
      <alignment vertical="center" wrapText="1"/>
    </xf>
    <xf numFmtId="4" fontId="32" fillId="26" borderId="0" xfId="51" applyNumberFormat="1" applyFont="1" applyFill="1" applyBorder="1" applyAlignment="1" applyProtection="1">
      <alignment vertical="center"/>
    </xf>
    <xf numFmtId="0" fontId="33" fillId="27" borderId="18" xfId="51" applyFont="1" applyFill="1" applyBorder="1" applyAlignment="1" applyProtection="1">
      <alignment horizontal="left" vertical="center"/>
    </xf>
    <xf numFmtId="0" fontId="33" fillId="27" borderId="18" xfId="51" applyFont="1" applyFill="1" applyBorder="1" applyAlignment="1" applyProtection="1">
      <alignment vertical="center" wrapText="1"/>
    </xf>
    <xf numFmtId="0" fontId="2" fillId="25" borderId="12" xfId="51" applyNumberFormat="1" applyFont="1" applyFill="1" applyBorder="1" applyAlignment="1" applyProtection="1">
      <alignment horizontal="center" vertical="center" wrapText="1"/>
    </xf>
    <xf numFmtId="0" fontId="2" fillId="25" borderId="21" xfId="51" applyNumberFormat="1" applyFont="1" applyFill="1" applyBorder="1" applyAlignment="1" applyProtection="1">
      <alignment horizontal="center" vertical="center"/>
    </xf>
    <xf numFmtId="0" fontId="2" fillId="25" borderId="20" xfId="51" applyNumberFormat="1" applyFont="1" applyFill="1" applyBorder="1" applyAlignment="1" applyProtection="1">
      <alignment horizontal="center" vertical="center"/>
    </xf>
    <xf numFmtId="0" fontId="2" fillId="26" borderId="0" xfId="51" applyNumberFormat="1" applyFont="1" applyFill="1" applyAlignment="1" applyProtection="1">
      <alignment horizontal="center" vertical="center"/>
    </xf>
    <xf numFmtId="0" fontId="2" fillId="25" borderId="12" xfId="51" applyNumberFormat="1" applyFont="1" applyFill="1" applyBorder="1" applyAlignment="1" applyProtection="1">
      <alignment horizontal="center" vertical="center"/>
    </xf>
    <xf numFmtId="1" fontId="32" fillId="26" borderId="0" xfId="51" applyNumberFormat="1" applyFont="1" applyFill="1" applyAlignment="1" applyProtection="1">
      <alignment vertical="center"/>
    </xf>
    <xf numFmtId="2" fontId="2" fillId="25" borderId="12" xfId="51" applyNumberFormat="1" applyFont="1" applyFill="1" applyBorder="1" applyAlignment="1" applyProtection="1">
      <alignment horizontal="center" vertical="center"/>
    </xf>
    <xf numFmtId="0" fontId="0" fillId="28" borderId="22" xfId="0" applyFill="1" applyBorder="1" applyAlignment="1">
      <alignment vertical="center"/>
    </xf>
    <xf numFmtId="0" fontId="1" fillId="28" borderId="2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2" fillId="25" borderId="0" xfId="51" quotePrefix="1" applyNumberFormat="1" applyFont="1" applyFill="1" applyBorder="1" applyAlignment="1" applyProtection="1">
      <alignment horizontal="center" vertical="center" wrapText="1"/>
    </xf>
    <xf numFmtId="0" fontId="33" fillId="26" borderId="0" xfId="53" applyFont="1" applyFill="1" applyAlignment="1" applyProtection="1">
      <alignment vertical="center"/>
    </xf>
    <xf numFmtId="0" fontId="33" fillId="0" borderId="0" xfId="0" applyFont="1" applyFill="1" applyAlignment="1" applyProtection="1">
      <alignment vertical="center"/>
    </xf>
    <xf numFmtId="0" fontId="32" fillId="25" borderId="21" xfId="51" applyFont="1" applyFill="1" applyBorder="1" applyAlignment="1" applyProtection="1">
      <alignment horizontal="center" vertical="center" wrapText="1"/>
    </xf>
    <xf numFmtId="0" fontId="32" fillId="25" borderId="13" xfId="51" applyFont="1" applyFill="1" applyBorder="1" applyAlignment="1" applyProtection="1">
      <alignment horizontal="center" vertical="center"/>
    </xf>
    <xf numFmtId="0" fontId="32" fillId="25" borderId="21" xfId="51" applyFont="1" applyFill="1" applyBorder="1" applyAlignment="1" applyProtection="1">
      <alignment horizontal="center" vertical="center"/>
    </xf>
    <xf numFmtId="0" fontId="32" fillId="25" borderId="13" xfId="51" applyFont="1" applyFill="1" applyBorder="1" applyAlignment="1" applyProtection="1">
      <alignment horizontal="center" vertical="center" wrapText="1"/>
    </xf>
    <xf numFmtId="0" fontId="32" fillId="25" borderId="23" xfId="51" applyFont="1" applyFill="1" applyBorder="1" applyAlignment="1" applyProtection="1">
      <alignment horizontal="left" vertical="center" wrapText="1" indent="1"/>
    </xf>
    <xf numFmtId="0" fontId="32" fillId="25" borderId="23" xfId="51" applyFont="1" applyFill="1" applyBorder="1" applyAlignment="1" applyProtection="1">
      <alignment horizontal="center" vertical="center"/>
    </xf>
    <xf numFmtId="0" fontId="32" fillId="25" borderId="16" xfId="51" applyFont="1" applyFill="1" applyBorder="1" applyAlignment="1" applyProtection="1">
      <alignment horizontal="center" vertical="center"/>
    </xf>
    <xf numFmtId="0" fontId="32" fillId="25" borderId="12" xfId="51" applyFont="1" applyFill="1" applyBorder="1" applyAlignment="1" applyProtection="1">
      <alignment horizontal="center" vertical="center" wrapText="1"/>
    </xf>
    <xf numFmtId="0" fontId="32" fillId="26" borderId="0" xfId="0" applyFont="1" applyFill="1" applyAlignment="1" applyProtection="1">
      <alignment vertical="center"/>
    </xf>
    <xf numFmtId="0" fontId="2" fillId="33" borderId="12" xfId="51" applyFont="1" applyFill="1" applyBorder="1" applyAlignment="1" applyProtection="1">
      <alignment horizontal="center" vertical="center"/>
    </xf>
    <xf numFmtId="0" fontId="2" fillId="26" borderId="0" xfId="0" applyFont="1" applyFill="1" applyAlignment="1" applyProtection="1">
      <alignment vertical="center"/>
    </xf>
    <xf numFmtId="0" fontId="39" fillId="26" borderId="0" xfId="0" applyFont="1" applyFill="1" applyBorder="1" applyAlignment="1" applyProtection="1">
      <alignment horizontal="center" vertical="center"/>
    </xf>
    <xf numFmtId="0" fontId="39" fillId="26" borderId="0" xfId="0" applyFont="1" applyFill="1" applyBorder="1" applyAlignment="1" applyProtection="1">
      <alignment horizontal="center" vertical="center" wrapText="1"/>
    </xf>
    <xf numFmtId="0" fontId="33" fillId="26" borderId="0" xfId="0" applyFont="1" applyFill="1" applyBorder="1" applyAlignment="1" applyProtection="1">
      <alignment horizontal="center" vertical="center" wrapText="1"/>
    </xf>
    <xf numFmtId="0" fontId="32" fillId="0" borderId="0" xfId="51" applyFont="1" applyFill="1" applyBorder="1" applyAlignment="1" applyProtection="1">
      <alignment vertical="center"/>
    </xf>
    <xf numFmtId="0" fontId="2" fillId="33" borderId="12" xfId="52" applyFont="1" applyFill="1" applyBorder="1" applyAlignment="1" applyProtection="1">
      <alignment horizontal="center" vertical="center"/>
    </xf>
    <xf numFmtId="0" fontId="2" fillId="33" borderId="23" xfId="51" applyFont="1" applyFill="1" applyBorder="1" applyAlignment="1" applyProtection="1">
      <alignment horizontal="left" vertical="center" indent="1"/>
    </xf>
    <xf numFmtId="0" fontId="2" fillId="33" borderId="14" xfId="51" applyFont="1" applyFill="1" applyBorder="1" applyAlignment="1" applyProtection="1">
      <alignment horizontal="left" vertical="center" indent="1"/>
    </xf>
    <xf numFmtId="0" fontId="2" fillId="33" borderId="14" xfId="51" applyFont="1" applyFill="1" applyBorder="1" applyAlignment="1" applyProtection="1">
      <alignment vertical="center"/>
    </xf>
    <xf numFmtId="0" fontId="2" fillId="33" borderId="15" xfId="51" applyFont="1" applyFill="1" applyBorder="1" applyAlignment="1" applyProtection="1">
      <alignment vertical="center"/>
    </xf>
    <xf numFmtId="0" fontId="2" fillId="33" borderId="14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left" vertical="center" indent="1"/>
    </xf>
    <xf numFmtId="0" fontId="32" fillId="25" borderId="12" xfId="51" applyFont="1" applyFill="1" applyBorder="1" applyAlignment="1" applyProtection="1">
      <alignment horizontal="left" vertical="center" wrapText="1" indent="1"/>
    </xf>
    <xf numFmtId="0" fontId="32" fillId="25" borderId="12" xfId="51" applyFont="1" applyFill="1" applyBorder="1" applyAlignment="1" applyProtection="1">
      <alignment horizontal="left" vertical="center" indent="1"/>
    </xf>
    <xf numFmtId="0" fontId="2" fillId="25" borderId="12" xfId="51" applyFont="1" applyFill="1" applyBorder="1" applyAlignment="1" applyProtection="1">
      <alignment horizontal="left" vertical="center" indent="1"/>
    </xf>
    <xf numFmtId="0" fontId="32" fillId="26" borderId="0" xfId="51" applyFont="1" applyFill="1" applyAlignment="1" applyProtection="1">
      <alignment horizontal="left" vertical="center" indent="1"/>
    </xf>
    <xf numFmtId="0" fontId="2" fillId="25" borderId="12" xfId="51" applyFont="1" applyFill="1" applyBorder="1" applyAlignment="1" applyProtection="1">
      <alignment horizontal="left" vertical="center" wrapText="1" indent="1"/>
    </xf>
    <xf numFmtId="0" fontId="2" fillId="33" borderId="12" xfId="51" applyFont="1" applyFill="1" applyBorder="1" applyAlignment="1" applyProtection="1">
      <alignment horizontal="center" vertical="center" wrapText="1"/>
    </xf>
    <xf numFmtId="0" fontId="2" fillId="33" borderId="13" xfId="53" applyFont="1" applyFill="1" applyBorder="1" applyAlignment="1" applyProtection="1">
      <alignment horizontal="center" vertical="center" wrapText="1"/>
    </xf>
    <xf numFmtId="0" fontId="32" fillId="26" borderId="0" xfId="53" applyNumberFormat="1" applyFont="1" applyFill="1" applyAlignment="1" applyProtection="1">
      <alignment horizontal="center" vertical="center"/>
    </xf>
    <xf numFmtId="0" fontId="32" fillId="26" borderId="0" xfId="53" applyFont="1" applyFill="1" applyAlignment="1" applyProtection="1">
      <alignment vertical="center" wrapText="1"/>
    </xf>
    <xf numFmtId="0" fontId="32" fillId="26" borderId="0" xfId="53" applyFont="1" applyFill="1" applyAlignment="1" applyProtection="1">
      <alignment vertical="center"/>
    </xf>
    <xf numFmtId="10" fontId="2" fillId="31" borderId="12" xfId="55" applyNumberFormat="1" applyFont="1" applyFill="1" applyBorder="1" applyAlignment="1" applyProtection="1">
      <alignment horizontal="center" vertical="center"/>
      <protection locked="0"/>
    </xf>
    <xf numFmtId="0" fontId="40" fillId="26" borderId="0" xfId="53" applyFont="1" applyFill="1" applyBorder="1" applyAlignment="1" applyProtection="1">
      <alignment vertical="center"/>
    </xf>
    <xf numFmtId="0" fontId="2" fillId="32" borderId="12" xfId="51" applyFont="1" applyFill="1" applyBorder="1" applyAlignment="1" applyProtection="1">
      <alignment horizontal="center" vertical="center"/>
      <protection locked="0"/>
    </xf>
    <xf numFmtId="0" fontId="41" fillId="26" borderId="0" xfId="53" applyFont="1" applyFill="1" applyAlignment="1" applyProtection="1">
      <alignment vertical="center"/>
    </xf>
    <xf numFmtId="0" fontId="2" fillId="33" borderId="12" xfId="0" applyFont="1" applyFill="1" applyBorder="1" applyAlignment="1" applyProtection="1">
      <alignment horizontal="center" vertical="center" wrapText="1"/>
    </xf>
    <xf numFmtId="0" fontId="2" fillId="33" borderId="12" xfId="0" applyFont="1" applyFill="1" applyBorder="1" applyAlignment="1" applyProtection="1">
      <alignment horizontal="center" vertical="center"/>
    </xf>
    <xf numFmtId="1" fontId="2" fillId="28" borderId="12" xfId="0" applyNumberFormat="1" applyFont="1" applyFill="1" applyBorder="1" applyAlignment="1" applyProtection="1">
      <alignment horizontal="center" vertical="center" wrapText="1"/>
    </xf>
    <xf numFmtId="0" fontId="2" fillId="28" borderId="12" xfId="0" applyFont="1" applyFill="1" applyBorder="1" applyAlignment="1" applyProtection="1">
      <alignment horizontal="center" vertical="center" wrapText="1"/>
    </xf>
    <xf numFmtId="10" fontId="2" fillId="34" borderId="12" xfId="55" applyNumberFormat="1" applyFont="1" applyFill="1" applyBorder="1" applyAlignment="1" applyProtection="1">
      <alignment horizontal="center" vertical="center" wrapText="1"/>
    </xf>
    <xf numFmtId="0" fontId="33" fillId="26" borderId="0" xfId="0" applyFont="1" applyFill="1" applyBorder="1" applyAlignment="1" applyProtection="1">
      <alignment vertical="center"/>
    </xf>
    <xf numFmtId="0" fontId="32" fillId="26" borderId="0" xfId="0" applyFont="1" applyFill="1" applyAlignment="1" applyProtection="1">
      <alignment horizontal="center" vertical="center"/>
    </xf>
    <xf numFmtId="0" fontId="2" fillId="28" borderId="12" xfId="51" applyFont="1" applyFill="1" applyBorder="1" applyAlignment="1" applyProtection="1">
      <alignment horizontal="center" vertical="center" wrapText="1"/>
    </xf>
    <xf numFmtId="0" fontId="42" fillId="26" borderId="0" xfId="53" applyFont="1" applyFill="1" applyAlignment="1" applyProtection="1">
      <alignment vertical="center"/>
    </xf>
    <xf numFmtId="0" fontId="2" fillId="33" borderId="12" xfId="53" applyNumberFormat="1" applyFont="1" applyFill="1" applyBorder="1" applyAlignment="1" applyProtection="1">
      <alignment horizontal="center" vertical="center" wrapText="1"/>
    </xf>
    <xf numFmtId="0" fontId="2" fillId="33" borderId="23" xfId="53" applyFont="1" applyFill="1" applyBorder="1" applyAlignment="1" applyProtection="1">
      <alignment horizontal="center" vertical="center" wrapText="1"/>
    </xf>
    <xf numFmtId="0" fontId="2" fillId="33" borderId="12" xfId="53" applyFont="1" applyFill="1" applyBorder="1" applyAlignment="1" applyProtection="1">
      <alignment horizontal="center" vertical="center" wrapText="1"/>
    </xf>
    <xf numFmtId="0" fontId="2" fillId="33" borderId="12" xfId="53" applyFont="1" applyFill="1" applyBorder="1" applyAlignment="1" applyProtection="1">
      <alignment horizontal="center" vertical="center"/>
    </xf>
    <xf numFmtId="0" fontId="2" fillId="26" borderId="0" xfId="53" applyFont="1" applyFill="1" applyAlignment="1" applyProtection="1">
      <alignment vertical="center"/>
    </xf>
    <xf numFmtId="166" fontId="2" fillId="28" borderId="21" xfId="53" applyNumberFormat="1" applyFont="1" applyFill="1" applyBorder="1" applyAlignment="1" applyProtection="1">
      <alignment horizontal="center" vertical="center"/>
    </xf>
    <xf numFmtId="166" fontId="2" fillId="28" borderId="23" xfId="53" applyNumberFormat="1" applyFont="1" applyFill="1" applyBorder="1" applyAlignment="1" applyProtection="1">
      <alignment horizontal="left" vertical="center" wrapText="1" indent="1"/>
    </xf>
    <xf numFmtId="166" fontId="2" fillId="31" borderId="12" xfId="51" applyNumberFormat="1" applyFont="1" applyFill="1" applyBorder="1" applyAlignment="1" applyProtection="1">
      <alignment vertical="center"/>
      <protection locked="0"/>
    </xf>
    <xf numFmtId="166" fontId="2" fillId="26" borderId="0" xfId="53" applyNumberFormat="1" applyFont="1" applyFill="1" applyAlignment="1" applyProtection="1">
      <alignment vertical="center"/>
    </xf>
    <xf numFmtId="166" fontId="2" fillId="28" borderId="12" xfId="53" applyNumberFormat="1" applyFont="1" applyFill="1" applyBorder="1" applyAlignment="1" applyProtection="1">
      <alignment horizontal="center" vertical="center"/>
    </xf>
    <xf numFmtId="166" fontId="32" fillId="28" borderId="12" xfId="53" applyNumberFormat="1" applyFont="1" applyFill="1" applyBorder="1" applyAlignment="1" applyProtection="1">
      <alignment horizontal="center" vertical="center"/>
    </xf>
    <xf numFmtId="166" fontId="32" fillId="28" borderId="23" xfId="53" applyNumberFormat="1" applyFont="1" applyFill="1" applyBorder="1" applyAlignment="1" applyProtection="1">
      <alignment horizontal="left" vertical="center" wrapText="1" indent="1"/>
    </xf>
    <xf numFmtId="166" fontId="32" fillId="28" borderId="21" xfId="53" applyNumberFormat="1" applyFont="1" applyFill="1" applyBorder="1" applyAlignment="1" applyProtection="1">
      <alignment horizontal="center" vertical="center"/>
    </xf>
    <xf numFmtId="166" fontId="32" fillId="31" borderId="12" xfId="51" applyNumberFormat="1" applyFont="1" applyFill="1" applyBorder="1" applyAlignment="1" applyProtection="1">
      <alignment vertical="center"/>
      <protection locked="0"/>
    </xf>
    <xf numFmtId="166" fontId="32" fillId="26" borderId="0" xfId="53" applyNumberFormat="1" applyFont="1" applyFill="1" applyAlignment="1" applyProtection="1">
      <alignment vertical="center"/>
    </xf>
    <xf numFmtId="0" fontId="2" fillId="33" borderId="13" xfId="53" applyNumberFormat="1" applyFont="1" applyFill="1" applyBorder="1" applyAlignment="1" applyProtection="1">
      <alignment horizontal="center" vertical="center" wrapText="1"/>
    </xf>
    <xf numFmtId="0" fontId="2" fillId="33" borderId="16" xfId="53" applyFont="1" applyFill="1" applyBorder="1" applyAlignment="1" applyProtection="1">
      <alignment horizontal="center" vertical="center" wrapText="1"/>
    </xf>
    <xf numFmtId="0" fontId="2" fillId="28" borderId="12" xfId="53" applyNumberFormat="1" applyFont="1" applyFill="1" applyBorder="1" applyAlignment="1" applyProtection="1">
      <alignment horizontal="center" vertical="center"/>
    </xf>
    <xf numFmtId="0" fontId="2" fillId="28" borderId="12" xfId="53" applyFont="1" applyFill="1" applyBorder="1" applyAlignment="1" applyProtection="1">
      <alignment horizontal="left" vertical="center" wrapText="1" indent="1"/>
    </xf>
    <xf numFmtId="0" fontId="2" fillId="26" borderId="0" xfId="53" applyFont="1" applyFill="1" applyBorder="1" applyAlignment="1" applyProtection="1">
      <alignment vertical="center"/>
    </xf>
    <xf numFmtId="0" fontId="32" fillId="28" borderId="12" xfId="53" applyNumberFormat="1" applyFont="1" applyFill="1" applyBorder="1" applyAlignment="1" applyProtection="1">
      <alignment horizontal="center" vertical="center"/>
    </xf>
    <xf numFmtId="0" fontId="32" fillId="28" borderId="12" xfId="53" applyFont="1" applyFill="1" applyBorder="1" applyAlignment="1" applyProtection="1">
      <alignment horizontal="left" vertical="center" wrapText="1" indent="1"/>
    </xf>
    <xf numFmtId="0" fontId="32" fillId="26" borderId="0" xfId="53" applyFont="1" applyFill="1" applyBorder="1" applyAlignment="1" applyProtection="1">
      <alignment vertical="center"/>
    </xf>
    <xf numFmtId="166" fontId="32" fillId="31" borderId="12" xfId="53" applyNumberFormat="1" applyFont="1" applyFill="1" applyBorder="1" applyAlignment="1" applyProtection="1">
      <alignment vertical="center"/>
      <protection locked="0"/>
    </xf>
    <xf numFmtId="166" fontId="2" fillId="28" borderId="12" xfId="53" applyNumberFormat="1" applyFont="1" applyFill="1" applyBorder="1" applyAlignment="1" applyProtection="1">
      <alignment horizontal="left" vertical="center" wrapText="1" indent="1"/>
    </xf>
    <xf numFmtId="166" fontId="2" fillId="26" borderId="0" xfId="53" applyNumberFormat="1" applyFont="1" applyFill="1" applyBorder="1" applyAlignment="1" applyProtection="1">
      <alignment vertical="center"/>
    </xf>
    <xf numFmtId="166" fontId="32" fillId="28" borderId="12" xfId="53" applyNumberFormat="1" applyFont="1" applyFill="1" applyBorder="1" applyAlignment="1" applyProtection="1">
      <alignment horizontal="left" vertical="center" wrapText="1" indent="1"/>
    </xf>
    <xf numFmtId="166" fontId="32" fillId="26" borderId="0" xfId="53" applyNumberFormat="1" applyFont="1" applyFill="1" applyBorder="1" applyAlignment="1" applyProtection="1">
      <alignment vertical="center"/>
    </xf>
    <xf numFmtId="166" fontId="2" fillId="31" borderId="12" xfId="53" applyNumberFormat="1" applyFont="1" applyFill="1" applyBorder="1" applyAlignment="1" applyProtection="1">
      <alignment vertical="center"/>
      <protection locked="0"/>
    </xf>
    <xf numFmtId="166" fontId="2" fillId="25" borderId="21" xfId="53" applyNumberFormat="1" applyFont="1" applyFill="1" applyBorder="1" applyAlignment="1" applyProtection="1">
      <alignment horizontal="center" vertical="center" wrapText="1"/>
    </xf>
    <xf numFmtId="166" fontId="2" fillId="25" borderId="17" xfId="53" applyNumberFormat="1" applyFont="1" applyFill="1" applyBorder="1" applyAlignment="1" applyProtection="1">
      <alignment horizontal="left" vertical="center" wrapText="1" indent="1"/>
    </xf>
    <xf numFmtId="166" fontId="2" fillId="25" borderId="21" xfId="53" applyNumberFormat="1" applyFont="1" applyFill="1" applyBorder="1" applyAlignment="1" applyProtection="1">
      <alignment horizontal="center" vertical="center"/>
    </xf>
    <xf numFmtId="166" fontId="2" fillId="25" borderId="12" xfId="53" applyNumberFormat="1" applyFont="1" applyFill="1" applyBorder="1" applyAlignment="1" applyProtection="1">
      <alignment horizontal="center" vertical="center" wrapText="1"/>
    </xf>
    <xf numFmtId="166" fontId="2" fillId="25" borderId="23" xfId="53" applyNumberFormat="1" applyFont="1" applyFill="1" applyBorder="1" applyAlignment="1" applyProtection="1">
      <alignment horizontal="left" vertical="center" wrapText="1" indent="1"/>
    </xf>
    <xf numFmtId="166" fontId="32" fillId="25" borderId="12" xfId="53" applyNumberFormat="1" applyFont="1" applyFill="1" applyBorder="1" applyAlignment="1" applyProtection="1">
      <alignment horizontal="center" vertical="center" wrapText="1"/>
    </xf>
    <xf numFmtId="166" fontId="32" fillId="25" borderId="23" xfId="53" applyNumberFormat="1" applyFont="1" applyFill="1" applyBorder="1" applyAlignment="1" applyProtection="1">
      <alignment horizontal="left" vertical="center" wrapText="1" indent="1"/>
    </xf>
    <xf numFmtId="166" fontId="32" fillId="25" borderId="21" xfId="53" applyNumberFormat="1" applyFont="1" applyFill="1" applyBorder="1" applyAlignment="1" applyProtection="1">
      <alignment horizontal="center" vertical="center"/>
    </xf>
    <xf numFmtId="166" fontId="32" fillId="28" borderId="12" xfId="51" applyNumberFormat="1" applyFont="1" applyFill="1" applyBorder="1" applyAlignment="1" applyProtection="1">
      <alignment vertical="center"/>
    </xf>
    <xf numFmtId="0" fontId="2" fillId="33" borderId="12" xfId="53" applyNumberFormat="1" applyFont="1" applyFill="1" applyBorder="1" applyAlignment="1" applyProtection="1">
      <alignment horizontal="center" vertical="center"/>
    </xf>
    <xf numFmtId="0" fontId="2" fillId="26" borderId="0" xfId="53" applyFont="1" applyFill="1" applyAlignment="1" applyProtection="1">
      <alignment horizontal="center" vertical="center"/>
    </xf>
    <xf numFmtId="166" fontId="32" fillId="25" borderId="12" xfId="53" applyNumberFormat="1" applyFont="1" applyFill="1" applyBorder="1" applyAlignment="1" applyProtection="1">
      <alignment horizontal="center" vertical="center"/>
    </xf>
    <xf numFmtId="166" fontId="32" fillId="25" borderId="12" xfId="53" applyNumberFormat="1" applyFont="1" applyFill="1" applyBorder="1" applyAlignment="1" applyProtection="1">
      <alignment vertical="center"/>
    </xf>
    <xf numFmtId="0" fontId="41" fillId="26" borderId="0" xfId="53" applyNumberFormat="1" applyFont="1" applyFill="1" applyAlignment="1" applyProtection="1">
      <alignment horizontal="center" vertical="center"/>
    </xf>
    <xf numFmtId="166" fontId="41" fillId="26" borderId="0" xfId="53" applyNumberFormat="1" applyFont="1" applyFill="1" applyAlignment="1" applyProtection="1">
      <alignment horizontal="center" vertical="center"/>
    </xf>
    <xf numFmtId="166" fontId="32" fillId="25" borderId="31" xfId="53" applyNumberFormat="1" applyFont="1" applyFill="1" applyBorder="1" applyAlignment="1" applyProtection="1">
      <alignment vertical="center"/>
    </xf>
    <xf numFmtId="0" fontId="32" fillId="25" borderId="23" xfId="51" applyFont="1" applyFill="1" applyBorder="1" applyAlignment="1" applyProtection="1">
      <alignment horizontal="center" vertical="center"/>
    </xf>
    <xf numFmtId="0" fontId="1" fillId="28" borderId="0" xfId="0" applyFont="1" applyFill="1" applyBorder="1" applyAlignment="1" applyProtection="1">
      <alignment horizontal="left" vertical="center" wrapText="1"/>
    </xf>
    <xf numFmtId="0" fontId="0" fillId="28" borderId="0" xfId="0" applyFill="1" applyBorder="1" applyAlignment="1" applyProtection="1">
      <alignment horizontal="left" vertical="center"/>
    </xf>
    <xf numFmtId="0" fontId="0" fillId="28" borderId="27" xfId="0" applyFill="1" applyBorder="1" applyAlignment="1" applyProtection="1">
      <alignment horizontal="left" vertical="center"/>
    </xf>
    <xf numFmtId="0" fontId="1" fillId="28" borderId="24" xfId="0" applyFont="1" applyFill="1" applyBorder="1" applyAlignment="1">
      <alignment horizontal="left" wrapText="1"/>
    </xf>
    <xf numFmtId="0" fontId="1" fillId="28" borderId="26" xfId="0" applyFont="1" applyFill="1" applyBorder="1" applyAlignment="1">
      <alignment horizontal="left" wrapText="1"/>
    </xf>
    <xf numFmtId="0" fontId="1" fillId="28" borderId="18" xfId="0" applyFont="1" applyFill="1" applyBorder="1" applyAlignment="1">
      <alignment horizontal="left" vertical="center" wrapText="1"/>
    </xf>
    <xf numFmtId="0" fontId="1" fillId="28" borderId="19" xfId="0" applyFont="1" applyFill="1" applyBorder="1" applyAlignment="1">
      <alignment horizontal="left" vertical="center" wrapText="1"/>
    </xf>
    <xf numFmtId="0" fontId="1" fillId="28" borderId="0" xfId="0" applyFont="1" applyFill="1" applyBorder="1" applyAlignment="1">
      <alignment horizontal="left" vertical="center" wrapText="1"/>
    </xf>
    <xf numFmtId="0" fontId="1" fillId="28" borderId="27" xfId="0" applyFont="1" applyFill="1" applyBorder="1" applyAlignment="1">
      <alignment horizontal="left" vertical="center" wrapText="1"/>
    </xf>
    <xf numFmtId="0" fontId="2" fillId="28" borderId="23" xfId="51" applyFont="1" applyFill="1" applyBorder="1" applyAlignment="1" applyProtection="1">
      <alignment horizontal="left" vertical="center" wrapText="1" indent="1"/>
    </xf>
    <xf numFmtId="0" fontId="2" fillId="28" borderId="14" xfId="51" applyFont="1" applyFill="1" applyBorder="1" applyAlignment="1" applyProtection="1">
      <alignment horizontal="left" vertical="center" wrapText="1" indent="1"/>
    </xf>
    <xf numFmtId="0" fontId="2" fillId="33" borderId="12" xfId="52" applyFont="1" applyFill="1" applyBorder="1" applyAlignment="1">
      <alignment horizontal="center" vertical="center" wrapText="1"/>
    </xf>
    <xf numFmtId="0" fontId="2" fillId="28" borderId="23" xfId="51" applyFont="1" applyFill="1" applyBorder="1" applyAlignment="1">
      <alignment horizontal="left" vertical="center" wrapText="1" indent="1"/>
    </xf>
    <xf numFmtId="0" fontId="2" fillId="28" borderId="15" xfId="51" applyFont="1" applyFill="1" applyBorder="1" applyAlignment="1">
      <alignment horizontal="left" vertical="center" wrapText="1" indent="1"/>
    </xf>
    <xf numFmtId="0" fontId="2" fillId="28" borderId="12" xfId="51" applyFont="1" applyFill="1" applyBorder="1" applyAlignment="1">
      <alignment horizontal="left" vertical="center" wrapText="1" indent="1"/>
    </xf>
    <xf numFmtId="0" fontId="2" fillId="28" borderId="23" xfId="51" applyFont="1" applyFill="1" applyBorder="1" applyAlignment="1" applyProtection="1">
      <alignment horizontal="left" vertical="center" indent="1"/>
    </xf>
    <xf numFmtId="0" fontId="2" fillId="28" borderId="15" xfId="51" applyFont="1" applyFill="1" applyBorder="1" applyAlignment="1" applyProtection="1">
      <alignment horizontal="left" vertical="center" indent="1"/>
    </xf>
    <xf numFmtId="0" fontId="2" fillId="28" borderId="15" xfId="51" applyFont="1" applyFill="1" applyBorder="1" applyAlignment="1" applyProtection="1">
      <alignment horizontal="left" vertical="center" wrapText="1" indent="1"/>
    </xf>
    <xf numFmtId="0" fontId="2" fillId="28" borderId="23" xfId="0" applyFont="1" applyFill="1" applyBorder="1" applyAlignment="1" applyProtection="1">
      <alignment horizontal="left" vertical="center" wrapText="1" indent="1"/>
    </xf>
    <xf numFmtId="0" fontId="2" fillId="28" borderId="15" xfId="0" applyFont="1" applyFill="1" applyBorder="1" applyAlignment="1" applyProtection="1">
      <alignment horizontal="left" vertical="center" wrapText="1" indent="1"/>
    </xf>
    <xf numFmtId="0" fontId="2" fillId="33" borderId="23" xfId="51" applyFont="1" applyFill="1" applyBorder="1" applyAlignment="1" applyProtection="1">
      <alignment horizontal="center" vertical="center"/>
    </xf>
    <xf numFmtId="0" fontId="2" fillId="33" borderId="14" xfId="51" applyFont="1" applyFill="1" applyBorder="1" applyAlignment="1" applyProtection="1">
      <alignment horizontal="center" vertical="center"/>
    </xf>
    <xf numFmtId="0" fontId="2" fillId="28" borderId="12" xfId="0" applyFont="1" applyFill="1" applyBorder="1" applyAlignment="1" applyProtection="1">
      <alignment horizontal="left" vertical="center" wrapText="1" indent="1"/>
    </xf>
    <xf numFmtId="0" fontId="2" fillId="33" borderId="12" xfId="51" applyFont="1" applyFill="1" applyBorder="1" applyAlignment="1" applyProtection="1">
      <alignment horizontal="center" vertical="center" wrapText="1"/>
    </xf>
    <xf numFmtId="0" fontId="2" fillId="33" borderId="13" xfId="51" applyFont="1" applyFill="1" applyBorder="1" applyAlignment="1" applyProtection="1">
      <alignment horizontal="center" vertical="center"/>
    </xf>
    <xf numFmtId="0" fontId="2" fillId="33" borderId="20" xfId="51" applyFont="1" applyFill="1" applyBorder="1" applyAlignment="1" applyProtection="1">
      <alignment horizontal="center" vertical="center"/>
    </xf>
    <xf numFmtId="0" fontId="2" fillId="33" borderId="21" xfId="51" applyFont="1" applyFill="1" applyBorder="1" applyAlignment="1" applyProtection="1">
      <alignment horizontal="center" vertical="center"/>
    </xf>
    <xf numFmtId="0" fontId="2" fillId="33" borderId="13" xfId="53" applyFont="1" applyFill="1" applyBorder="1" applyAlignment="1" applyProtection="1">
      <alignment horizontal="center" vertical="center" wrapText="1"/>
    </xf>
    <xf numFmtId="0" fontId="2" fillId="33" borderId="20" xfId="53" applyFont="1" applyFill="1" applyBorder="1" applyAlignment="1" applyProtection="1">
      <alignment horizontal="center" vertical="center" wrapText="1"/>
    </xf>
    <xf numFmtId="0" fontId="2" fillId="33" borderId="21" xfId="53" applyFont="1" applyFill="1" applyBorder="1" applyAlignment="1" applyProtection="1">
      <alignment horizontal="center" vertical="center" wrapText="1"/>
    </xf>
    <xf numFmtId="0" fontId="2" fillId="33" borderId="13" xfId="51" applyFont="1" applyFill="1" applyBorder="1" applyAlignment="1" applyProtection="1">
      <alignment horizontal="center" vertical="center" wrapText="1"/>
    </xf>
    <xf numFmtId="0" fontId="2" fillId="33" borderId="20" xfId="51" applyFont="1" applyFill="1" applyBorder="1" applyAlignment="1" applyProtection="1">
      <alignment horizontal="center" vertical="center" wrapText="1"/>
    </xf>
    <xf numFmtId="0" fontId="2" fillId="33" borderId="21" xfId="51" applyFont="1" applyFill="1" applyBorder="1" applyAlignment="1" applyProtection="1">
      <alignment horizontal="center" vertical="center" wrapText="1"/>
    </xf>
    <xf numFmtId="0" fontId="32" fillId="25" borderId="28" xfId="51" applyFont="1" applyFill="1" applyBorder="1" applyAlignment="1" applyProtection="1">
      <alignment horizontal="center" vertical="center"/>
    </xf>
    <xf numFmtId="0" fontId="32" fillId="25" borderId="29" xfId="51" applyFont="1" applyFill="1" applyBorder="1" applyAlignment="1" applyProtection="1">
      <alignment horizontal="center" vertical="center"/>
    </xf>
    <xf numFmtId="0" fontId="32" fillId="25" borderId="30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center" vertical="center"/>
    </xf>
    <xf numFmtId="0" fontId="32" fillId="25" borderId="20" xfId="51" applyFont="1" applyFill="1" applyBorder="1" applyAlignment="1" applyProtection="1">
      <alignment horizontal="center" vertical="center" wrapText="1"/>
    </xf>
    <xf numFmtId="0" fontId="32" fillId="25" borderId="21" xfId="51" applyFont="1" applyFill="1" applyBorder="1" applyAlignment="1" applyProtection="1">
      <alignment horizontal="center" vertical="center" wrapText="1"/>
    </xf>
    <xf numFmtId="0" fontId="32" fillId="25" borderId="20" xfId="51" applyFont="1" applyFill="1" applyBorder="1" applyAlignment="1">
      <alignment horizontal="left" vertical="center" wrapText="1" indent="1"/>
    </xf>
    <xf numFmtId="0" fontId="32" fillId="25" borderId="21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 applyProtection="1">
      <alignment vertical="center" wrapText="1"/>
    </xf>
    <xf numFmtId="0" fontId="32" fillId="25" borderId="18" xfId="51" applyFont="1" applyFill="1" applyBorder="1" applyAlignment="1" applyProtection="1">
      <alignment vertical="center" wrapText="1"/>
    </xf>
    <xf numFmtId="0" fontId="32" fillId="25" borderId="19" xfId="51" applyFont="1" applyFill="1" applyBorder="1" applyAlignment="1" applyProtection="1">
      <alignment vertical="center" wrapText="1"/>
    </xf>
    <xf numFmtId="0" fontId="32" fillId="25" borderId="13" xfId="51" applyFont="1" applyFill="1" applyBorder="1" applyAlignment="1" applyProtection="1">
      <alignment horizontal="center" vertical="center"/>
    </xf>
    <xf numFmtId="0" fontId="32" fillId="25" borderId="20" xfId="51" applyFont="1" applyFill="1" applyBorder="1" applyAlignment="1" applyProtection="1">
      <alignment horizontal="center" vertical="center"/>
    </xf>
    <xf numFmtId="0" fontId="32" fillId="25" borderId="21" xfId="51" applyFont="1" applyFill="1" applyBorder="1" applyAlignment="1" applyProtection="1">
      <alignment horizontal="center" vertical="center"/>
    </xf>
    <xf numFmtId="0" fontId="32" fillId="25" borderId="22" xfId="51" applyFont="1" applyFill="1" applyBorder="1" applyAlignment="1" applyProtection="1">
      <alignment vertical="center" wrapText="1"/>
    </xf>
    <xf numFmtId="0" fontId="32" fillId="25" borderId="0" xfId="51" applyFont="1" applyFill="1" applyBorder="1" applyAlignment="1" applyProtection="1">
      <alignment vertical="center" wrapText="1"/>
    </xf>
    <xf numFmtId="0" fontId="32" fillId="25" borderId="27" xfId="51" applyFont="1" applyFill="1" applyBorder="1" applyAlignment="1" applyProtection="1">
      <alignment vertical="center" wrapText="1"/>
    </xf>
    <xf numFmtId="0" fontId="32" fillId="25" borderId="17" xfId="51" applyFont="1" applyFill="1" applyBorder="1" applyAlignment="1" applyProtection="1">
      <alignment vertical="center" wrapText="1"/>
    </xf>
    <xf numFmtId="0" fontId="32" fillId="25" borderId="24" xfId="51" applyFont="1" applyFill="1" applyBorder="1" applyAlignment="1" applyProtection="1">
      <alignment vertical="center" wrapText="1"/>
    </xf>
    <xf numFmtId="0" fontId="32" fillId="25" borderId="26" xfId="51" applyFont="1" applyFill="1" applyBorder="1" applyAlignment="1" applyProtection="1">
      <alignment vertical="center" wrapText="1"/>
    </xf>
    <xf numFmtId="0" fontId="32" fillId="25" borderId="13" xfId="51" applyFont="1" applyFill="1" applyBorder="1" applyAlignment="1" applyProtection="1">
      <alignment horizontal="center" vertical="center" wrapText="1"/>
    </xf>
    <xf numFmtId="0" fontId="32" fillId="25" borderId="13" xfId="51" applyFont="1" applyFill="1" applyBorder="1" applyAlignment="1">
      <alignment horizontal="left" vertical="center" wrapText="1" indent="1"/>
    </xf>
    <xf numFmtId="1" fontId="32" fillId="25" borderId="13" xfId="51" applyNumberFormat="1" applyFont="1" applyFill="1" applyBorder="1" applyAlignment="1" applyProtection="1">
      <alignment horizontal="center" vertical="center"/>
    </xf>
    <xf numFmtId="0" fontId="32" fillId="25" borderId="22" xfId="51" applyFont="1" applyFill="1" applyBorder="1" applyAlignment="1" applyProtection="1">
      <alignment horizontal="left" vertical="center" wrapText="1"/>
    </xf>
    <xf numFmtId="0" fontId="32" fillId="25" borderId="0" xfId="51" applyFont="1" applyFill="1" applyBorder="1" applyAlignment="1" applyProtection="1">
      <alignment horizontal="left" vertical="center" wrapText="1"/>
    </xf>
    <xf numFmtId="0" fontId="32" fillId="25" borderId="27" xfId="51" applyFont="1" applyFill="1" applyBorder="1" applyAlignment="1" applyProtection="1">
      <alignment horizontal="left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 applyProtection="1">
      <alignment vertical="center"/>
    </xf>
    <xf numFmtId="0" fontId="32" fillId="25" borderId="18" xfId="51" applyFont="1" applyFill="1" applyBorder="1" applyAlignment="1" applyProtection="1">
      <alignment vertical="center"/>
    </xf>
    <xf numFmtId="0" fontId="32" fillId="25" borderId="19" xfId="51" applyFont="1" applyFill="1" applyBorder="1" applyAlignment="1" applyProtection="1">
      <alignment vertical="center"/>
    </xf>
    <xf numFmtId="0" fontId="32" fillId="25" borderId="22" xfId="51" applyFont="1" applyFill="1" applyBorder="1" applyAlignment="1" applyProtection="1">
      <alignment vertical="center"/>
    </xf>
    <xf numFmtId="0" fontId="32" fillId="25" borderId="0" xfId="51" applyFont="1" applyFill="1" applyBorder="1" applyAlignment="1" applyProtection="1">
      <alignment vertical="center"/>
    </xf>
    <xf numFmtId="0" fontId="32" fillId="25" borderId="27" xfId="51" applyFont="1" applyFill="1" applyBorder="1" applyAlignment="1" applyProtection="1">
      <alignment vertical="center"/>
    </xf>
    <xf numFmtId="0" fontId="32" fillId="25" borderId="17" xfId="51" applyFont="1" applyFill="1" applyBorder="1" applyAlignment="1" applyProtection="1">
      <alignment vertical="center"/>
    </xf>
    <xf numFmtId="0" fontId="32" fillId="25" borderId="24" xfId="51" applyFont="1" applyFill="1" applyBorder="1" applyAlignment="1" applyProtection="1">
      <alignment vertical="center"/>
    </xf>
    <xf numFmtId="0" fontId="32" fillId="25" borderId="26" xfId="51" applyFont="1" applyFill="1" applyBorder="1" applyAlignment="1" applyProtection="1">
      <alignment vertical="center"/>
    </xf>
    <xf numFmtId="0" fontId="32" fillId="25" borderId="13" xfId="52" applyFont="1" applyFill="1" applyBorder="1" applyAlignment="1">
      <alignment horizontal="left" vertical="center" wrapText="1" indent="1"/>
    </xf>
    <xf numFmtId="0" fontId="32" fillId="25" borderId="20" xfId="52" applyFont="1" applyFill="1" applyBorder="1" applyAlignment="1">
      <alignment horizontal="left" vertical="center" wrapText="1" indent="1"/>
    </xf>
    <xf numFmtId="0" fontId="32" fillId="25" borderId="16" xfId="52" applyFont="1" applyFill="1" applyBorder="1" applyAlignment="1" applyProtection="1">
      <alignment vertical="center" wrapText="1"/>
    </xf>
    <xf numFmtId="0" fontId="32" fillId="25" borderId="18" xfId="52" applyFont="1" applyFill="1" applyBorder="1" applyAlignment="1" applyProtection="1">
      <alignment vertical="center" wrapText="1"/>
    </xf>
    <xf numFmtId="0" fontId="32" fillId="25" borderId="19" xfId="52" applyFont="1" applyFill="1" applyBorder="1" applyAlignment="1" applyProtection="1">
      <alignment vertical="center" wrapText="1"/>
    </xf>
    <xf numFmtId="0" fontId="32" fillId="25" borderId="23" xfId="51" applyFont="1" applyFill="1" applyBorder="1" applyAlignment="1" applyProtection="1">
      <alignment horizontal="center" vertical="center"/>
    </xf>
    <xf numFmtId="0" fontId="32" fillId="25" borderId="16" xfId="51" applyFont="1" applyFill="1" applyBorder="1" applyAlignment="1" applyProtection="1">
      <alignment horizontal="center" vertical="center"/>
    </xf>
    <xf numFmtId="0" fontId="32" fillId="25" borderId="17" xfId="52" applyFont="1" applyFill="1" applyBorder="1" applyAlignment="1" applyProtection="1">
      <alignment vertical="center" wrapText="1"/>
    </xf>
    <xf numFmtId="0" fontId="32" fillId="25" borderId="24" xfId="52" applyFont="1" applyFill="1" applyBorder="1" applyAlignment="1" applyProtection="1">
      <alignment vertical="center" wrapText="1"/>
    </xf>
    <xf numFmtId="0" fontId="32" fillId="25" borderId="26" xfId="52" applyFont="1" applyFill="1" applyBorder="1" applyAlignment="1" applyProtection="1">
      <alignment vertical="center" wrapText="1"/>
    </xf>
    <xf numFmtId="0" fontId="32" fillId="25" borderId="20" xfId="51" applyFont="1" applyFill="1" applyBorder="1" applyAlignment="1">
      <alignment horizontal="left" vertical="center" indent="1"/>
    </xf>
    <xf numFmtId="0" fontId="32" fillId="25" borderId="21" xfId="51" applyFont="1" applyFill="1" applyBorder="1" applyAlignment="1">
      <alignment horizontal="left" vertical="center" indent="1"/>
    </xf>
    <xf numFmtId="0" fontId="2" fillId="25" borderId="23" xfId="51" applyFont="1" applyFill="1" applyBorder="1" applyAlignment="1" applyProtection="1">
      <alignment horizontal="left" vertical="center" indent="1"/>
    </xf>
    <xf numFmtId="0" fontId="2" fillId="25" borderId="15" xfId="51" applyFont="1" applyFill="1" applyBorder="1" applyAlignment="1" applyProtection="1">
      <alignment horizontal="left" vertical="center" indent="1"/>
    </xf>
    <xf numFmtId="0" fontId="2" fillId="25" borderId="23" xfId="51" applyFont="1" applyFill="1" applyBorder="1" applyAlignment="1" applyProtection="1">
      <alignment horizontal="left" vertical="center" wrapText="1" indent="1"/>
    </xf>
    <xf numFmtId="0" fontId="32" fillId="0" borderId="14" xfId="0" applyFont="1" applyBorder="1" applyProtection="1"/>
    <xf numFmtId="0" fontId="32" fillId="0" borderId="15" xfId="0" applyFont="1" applyBorder="1" applyProtection="1"/>
    <xf numFmtId="0" fontId="2" fillId="25" borderId="14" xfId="51" applyFont="1" applyFill="1" applyBorder="1" applyAlignment="1" applyProtection="1">
      <alignment horizontal="left" vertical="center" indent="1"/>
    </xf>
    <xf numFmtId="0" fontId="2" fillId="25" borderId="23" xfId="51" applyFont="1" applyFill="1" applyBorder="1" applyAlignment="1" applyProtection="1">
      <alignment horizontal="center" vertical="center"/>
    </xf>
    <xf numFmtId="0" fontId="2" fillId="25" borderId="15" xfId="51" applyFont="1" applyFill="1" applyBorder="1" applyAlignment="1" applyProtection="1">
      <alignment horizontal="center" vertical="center"/>
    </xf>
    <xf numFmtId="0" fontId="2" fillId="25" borderId="17" xfId="51" applyFont="1" applyFill="1" applyBorder="1" applyAlignment="1" applyProtection="1">
      <alignment horizontal="left" vertical="center" wrapText="1" indent="1"/>
    </xf>
    <xf numFmtId="0" fontId="2" fillId="25" borderId="24" xfId="51" applyFont="1" applyFill="1" applyBorder="1" applyAlignment="1" applyProtection="1">
      <alignment horizontal="left" vertical="center" wrapText="1" indent="1"/>
    </xf>
    <xf numFmtId="0" fontId="2" fillId="25" borderId="14" xfId="51" applyFont="1" applyFill="1" applyBorder="1" applyAlignment="1" applyProtection="1">
      <alignment horizontal="left" vertical="center" wrapText="1" indent="1"/>
    </xf>
    <xf numFmtId="0" fontId="2" fillId="25" borderId="15" xfId="51" applyFont="1" applyFill="1" applyBorder="1" applyAlignment="1" applyProtection="1">
      <alignment horizontal="left" vertical="center" wrapText="1" indent="1"/>
    </xf>
    <xf numFmtId="0" fontId="32" fillId="25" borderId="12" xfId="51" applyFont="1" applyFill="1" applyBorder="1" applyAlignment="1" applyProtection="1">
      <alignment horizontal="center" vertical="center" wrapText="1"/>
    </xf>
    <xf numFmtId="0" fontId="2" fillId="33" borderId="23" xfId="52" applyFont="1" applyFill="1" applyBorder="1" applyAlignment="1" applyProtection="1">
      <alignment horizontal="center" vertical="center"/>
    </xf>
    <xf numFmtId="0" fontId="2" fillId="33" borderId="14" xfId="52" applyFont="1" applyFill="1" applyBorder="1" applyAlignment="1" applyProtection="1">
      <alignment horizontal="center" vertical="center"/>
    </xf>
    <xf numFmtId="0" fontId="2" fillId="33" borderId="15" xfId="52" applyFont="1" applyFill="1" applyBorder="1" applyAlignment="1" applyProtection="1">
      <alignment horizontal="center" vertical="center"/>
    </xf>
    <xf numFmtId="0" fontId="2" fillId="25" borderId="23" xfId="51" applyFont="1" applyFill="1" applyBorder="1" applyAlignment="1" applyProtection="1">
      <alignment horizontal="center" vertical="center" wrapText="1"/>
    </xf>
    <xf numFmtId="0" fontId="2" fillId="25" borderId="14" xfId="51" applyFont="1" applyFill="1" applyBorder="1" applyAlignment="1" applyProtection="1">
      <alignment horizontal="center" vertical="center" wrapText="1"/>
    </xf>
    <xf numFmtId="0" fontId="2" fillId="25" borderId="15" xfId="51" applyFont="1" applyFill="1" applyBorder="1" applyAlignment="1" applyProtection="1">
      <alignment horizontal="center" vertical="center" wrapText="1"/>
    </xf>
    <xf numFmtId="0" fontId="32" fillId="0" borderId="22" xfId="51" applyFont="1" applyFill="1" applyBorder="1" applyAlignment="1" applyProtection="1">
      <alignment horizontal="left" indent="1"/>
    </xf>
    <xf numFmtId="0" fontId="32" fillId="0" borderId="0" xfId="51" applyFont="1" applyFill="1" applyBorder="1" applyAlignment="1" applyProtection="1">
      <alignment horizontal="left" indent="1"/>
    </xf>
    <xf numFmtId="0" fontId="32" fillId="0" borderId="27" xfId="51" applyFont="1" applyFill="1" applyBorder="1" applyAlignment="1" applyProtection="1">
      <alignment horizontal="left" indent="1"/>
    </xf>
    <xf numFmtId="0" fontId="32" fillId="0" borderId="17" xfId="51" applyFont="1" applyFill="1" applyBorder="1" applyAlignment="1" applyProtection="1">
      <alignment horizontal="left" vertical="center" indent="1"/>
    </xf>
    <xf numFmtId="0" fontId="32" fillId="0" borderId="24" xfId="51" applyFont="1" applyFill="1" applyBorder="1" applyAlignment="1" applyProtection="1">
      <alignment horizontal="left" vertical="center" indent="1"/>
    </xf>
    <xf numFmtId="0" fontId="32" fillId="0" borderId="26" xfId="51" applyFont="1" applyFill="1" applyBorder="1" applyAlignment="1" applyProtection="1">
      <alignment horizontal="left" vertical="center" indent="1"/>
    </xf>
    <xf numFmtId="0" fontId="33" fillId="0" borderId="18" xfId="51" applyFont="1" applyFill="1" applyBorder="1" applyAlignment="1" applyProtection="1">
      <alignment horizontal="left" vertical="center" wrapText="1"/>
    </xf>
    <xf numFmtId="0" fontId="32" fillId="33" borderId="14" xfId="51" applyFont="1" applyFill="1" applyBorder="1" applyAlignment="1" applyProtection="1">
      <alignment horizontal="center" vertical="center"/>
    </xf>
    <xf numFmtId="0" fontId="2" fillId="33" borderId="23" xfId="51" applyFont="1" applyFill="1" applyBorder="1" applyAlignment="1" applyProtection="1">
      <alignment horizontal="center" vertical="center" wrapText="1"/>
    </xf>
    <xf numFmtId="0" fontId="2" fillId="33" borderId="14" xfId="51" applyFont="1" applyFill="1" applyBorder="1" applyAlignment="1" applyProtection="1">
      <alignment horizontal="center" vertical="center" wrapText="1"/>
    </xf>
    <xf numFmtId="0" fontId="32" fillId="0" borderId="16" xfId="51" applyFont="1" applyFill="1" applyBorder="1" applyAlignment="1" applyProtection="1">
      <alignment horizontal="left" vertical="center" indent="1"/>
    </xf>
    <xf numFmtId="0" fontId="32" fillId="0" borderId="18" xfId="51" applyFont="1" applyFill="1" applyBorder="1" applyAlignment="1" applyProtection="1">
      <alignment horizontal="left" vertical="center" indent="1"/>
    </xf>
    <xf numFmtId="0" fontId="32" fillId="0" borderId="19" xfId="51" applyFont="1" applyFill="1" applyBorder="1" applyAlignment="1" applyProtection="1">
      <alignment horizontal="left" vertical="center" indent="1"/>
    </xf>
    <xf numFmtId="0" fontId="2" fillId="33" borderId="12" xfId="51" applyFont="1" applyFill="1" applyBorder="1" applyAlignment="1" applyProtection="1">
      <alignment horizontal="center" vertical="center"/>
    </xf>
    <xf numFmtId="4" fontId="32" fillId="25" borderId="21" xfId="55" applyNumberFormat="1" applyFont="1" applyFill="1" applyBorder="1" applyAlignment="1" applyProtection="1">
      <alignment horizontal="right" vertical="center" indent="1"/>
    </xf>
    <xf numFmtId="4" fontId="32" fillId="25" borderId="13" xfId="55" applyNumberFormat="1" applyFont="1" applyFill="1" applyBorder="1" applyAlignment="1" applyProtection="1">
      <alignment horizontal="right" vertical="center" indent="1"/>
    </xf>
    <xf numFmtId="10" fontId="32" fillId="25" borderId="14" xfId="55" applyNumberFormat="1" applyFont="1" applyFill="1" applyBorder="1" applyAlignment="1" applyProtection="1">
      <alignment horizontal="right" vertical="center" indent="1"/>
    </xf>
    <xf numFmtId="10" fontId="32" fillId="25" borderId="15" xfId="55" applyNumberFormat="1" applyFont="1" applyFill="1" applyBorder="1" applyAlignment="1" applyProtection="1">
      <alignment horizontal="right" vertical="center" indent="1"/>
    </xf>
    <xf numFmtId="3" fontId="32" fillId="25" borderId="21" xfId="55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 applyProtection="1">
      <alignment horizontal="right" vertical="center" indent="1"/>
    </xf>
    <xf numFmtId="4" fontId="32" fillId="25" borderId="12" xfId="55" applyNumberFormat="1" applyFont="1" applyFill="1" applyBorder="1" applyAlignment="1" applyProtection="1">
      <alignment horizontal="right" vertical="center" indent="1"/>
    </xf>
    <xf numFmtId="0" fontId="32" fillId="25" borderId="12" xfId="51" quotePrefix="1" applyFont="1" applyFill="1" applyBorder="1" applyAlignment="1" applyProtection="1">
      <alignment horizontal="right" vertical="center" indent="1"/>
    </xf>
    <xf numFmtId="1" fontId="2" fillId="25" borderId="12" xfId="51" applyNumberFormat="1" applyFont="1" applyFill="1" applyBorder="1" applyAlignment="1" applyProtection="1">
      <alignment horizontal="right" vertical="center" indent="1"/>
    </xf>
    <xf numFmtId="10" fontId="32" fillId="25" borderId="21" xfId="55" applyNumberFormat="1" applyFont="1" applyFill="1" applyBorder="1" applyAlignment="1" applyProtection="1">
      <alignment horizontal="right" vertical="center" indent="1"/>
    </xf>
    <xf numFmtId="10" fontId="32" fillId="25" borderId="13" xfId="55" applyNumberFormat="1" applyFont="1" applyFill="1" applyBorder="1" applyAlignment="1" applyProtection="1">
      <alignment horizontal="right" vertical="center" indent="1"/>
    </xf>
    <xf numFmtId="165" fontId="32" fillId="25" borderId="12" xfId="55" applyNumberFormat="1" applyFont="1" applyFill="1" applyBorder="1" applyAlignment="1" applyProtection="1">
      <alignment horizontal="right" vertical="center" indent="1"/>
    </xf>
    <xf numFmtId="4" fontId="32" fillId="25" borderId="12" xfId="51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 applyProtection="1">
      <alignment horizontal="right" indent="1"/>
    </xf>
    <xf numFmtId="4" fontId="2" fillId="25" borderId="12" xfId="51" applyNumberFormat="1" applyFont="1" applyFill="1" applyBorder="1" applyAlignment="1" applyProtection="1">
      <alignment horizontal="right" vertical="center" indent="1"/>
    </xf>
    <xf numFmtId="0" fontId="2" fillId="26" borderId="0" xfId="51" applyFont="1" applyFill="1" applyAlignment="1" applyProtection="1">
      <alignment horizontal="right" vertical="center" indent="1"/>
    </xf>
    <xf numFmtId="2" fontId="32" fillId="25" borderId="12" xfId="51" applyNumberFormat="1" applyFont="1" applyFill="1" applyBorder="1" applyAlignment="1" applyProtection="1">
      <alignment horizontal="right" vertical="center" indent="1"/>
    </xf>
    <xf numFmtId="2" fontId="2" fillId="25" borderId="12" xfId="51" applyNumberFormat="1" applyFont="1" applyFill="1" applyBorder="1" applyAlignment="1" applyProtection="1">
      <alignment horizontal="right" vertical="center" indent="1"/>
    </xf>
    <xf numFmtId="10" fontId="32" fillId="25" borderId="12" xfId="55" applyNumberFormat="1" applyFont="1" applyFill="1" applyBorder="1" applyAlignment="1" applyProtection="1">
      <alignment horizontal="right" vertical="center" indent="1"/>
    </xf>
    <xf numFmtId="172" fontId="32" fillId="28" borderId="12" xfId="55" applyNumberFormat="1" applyFont="1" applyFill="1" applyBorder="1" applyAlignment="1" applyProtection="1">
      <alignment horizontal="right" vertical="center" indent="1"/>
    </xf>
    <xf numFmtId="14" fontId="32" fillId="28" borderId="12" xfId="51" applyNumberFormat="1" applyFont="1" applyFill="1" applyBorder="1" applyAlignment="1">
      <alignment horizontal="right" vertical="center" indent="1"/>
    </xf>
    <xf numFmtId="0" fontId="32" fillId="25" borderId="15" xfId="51" applyFont="1" applyFill="1" applyBorder="1" applyAlignment="1" applyProtection="1">
      <alignment horizontal="center" vertical="center"/>
    </xf>
    <xf numFmtId="0" fontId="2" fillId="25" borderId="12" xfId="51" applyFont="1" applyFill="1" applyBorder="1" applyAlignment="1" applyProtection="1">
      <alignment horizontal="right" vertical="center" wrapText="1" indent="1"/>
    </xf>
    <xf numFmtId="4" fontId="32" fillId="25" borderId="13" xfId="51" applyNumberFormat="1" applyFont="1" applyFill="1" applyBorder="1" applyAlignment="1" applyProtection="1">
      <alignment horizontal="right" vertical="center" indent="1"/>
    </xf>
    <xf numFmtId="1" fontId="32" fillId="25" borderId="21" xfId="51" applyNumberFormat="1" applyFont="1" applyFill="1" applyBorder="1" applyAlignment="1" applyProtection="1">
      <alignment horizontal="right" vertical="center" indent="1"/>
    </xf>
    <xf numFmtId="1" fontId="32" fillId="25" borderId="12" xfId="51" applyNumberFormat="1" applyFont="1" applyFill="1" applyBorder="1" applyAlignment="1" applyProtection="1">
      <alignment horizontal="right" vertical="center" indent="1"/>
    </xf>
    <xf numFmtId="166" fontId="32" fillId="25" borderId="12" xfId="51" applyNumberFormat="1" applyFont="1" applyFill="1" applyBorder="1" applyAlignment="1" applyProtection="1">
      <alignment horizontal="right" vertical="center" indent="1"/>
    </xf>
    <xf numFmtId="0" fontId="32" fillId="25" borderId="12" xfId="51" applyFont="1" applyFill="1" applyBorder="1" applyAlignment="1">
      <alignment horizontal="left" vertical="center" indent="1"/>
    </xf>
    <xf numFmtId="172" fontId="32" fillId="28" borderId="12" xfId="55" quotePrefix="1" applyNumberFormat="1" applyFont="1" applyFill="1" applyBorder="1" applyAlignment="1" applyProtection="1">
      <alignment horizontal="right" vertical="center" indent="1"/>
    </xf>
    <xf numFmtId="0" fontId="32" fillId="25" borderId="12" xfId="51" applyFont="1" applyFill="1" applyBorder="1" applyAlignment="1">
      <alignment horizontal="left" vertical="center" wrapText="1" indent="1"/>
    </xf>
    <xf numFmtId="3" fontId="32" fillId="25" borderId="26" xfId="55" applyNumberFormat="1" applyFont="1" applyFill="1" applyBorder="1" applyAlignment="1">
      <alignment horizontal="center" vertical="center"/>
    </xf>
    <xf numFmtId="3" fontId="32" fillId="25" borderId="21" xfId="55" applyNumberFormat="1" applyFont="1" applyFill="1" applyBorder="1" applyAlignment="1">
      <alignment horizontal="right" vertical="center" indent="1"/>
    </xf>
    <xf numFmtId="10" fontId="32" fillId="25" borderId="26" xfId="55" applyNumberFormat="1" applyFont="1" applyFill="1" applyBorder="1" applyAlignment="1">
      <alignment horizontal="center" vertical="center"/>
    </xf>
    <xf numFmtId="4" fontId="32" fillId="25" borderId="21" xfId="55" applyNumberFormat="1" applyFont="1" applyFill="1" applyBorder="1" applyAlignment="1">
      <alignment horizontal="right" vertical="center" indent="1"/>
    </xf>
    <xf numFmtId="3" fontId="32" fillId="25" borderId="12" xfId="55" applyNumberFormat="1" applyFont="1" applyFill="1" applyBorder="1" applyAlignment="1">
      <alignment horizontal="center" vertical="center"/>
    </xf>
    <xf numFmtId="3" fontId="32" fillId="25" borderId="12" xfId="51" applyNumberFormat="1" applyFont="1" applyFill="1" applyBorder="1" applyAlignment="1">
      <alignment horizontal="right" vertical="center" indent="1"/>
    </xf>
    <xf numFmtId="4" fontId="32" fillId="25" borderId="13" xfId="55" applyNumberFormat="1" applyFont="1" applyFill="1" applyBorder="1" applyAlignment="1">
      <alignment horizontal="right" vertical="center" indent="1"/>
    </xf>
    <xf numFmtId="0" fontId="2" fillId="30" borderId="12" xfId="0" applyFont="1" applyFill="1" applyBorder="1" applyAlignment="1" applyProtection="1">
      <alignment horizontal="left" vertical="center" wrapText="1" indent="1"/>
      <protection locked="0"/>
    </xf>
  </cellXfs>
  <cellStyles count="7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mma0" xfId="25"/>
    <cellStyle name="Dane wejściowe" xfId="26" builtinId="20" customBuiltin="1"/>
    <cellStyle name="Dane wyjściowe" xfId="27" builtinId="21" customBuiltin="1"/>
    <cellStyle name="Date" xfId="28"/>
    <cellStyle name="Dobry" xfId="29" builtinId="26" customBuiltin="1"/>
    <cellStyle name="Dziesiętny 2" xfId="30"/>
    <cellStyle name="Fixed" xfId="31"/>
    <cellStyle name="HEADING1" xfId="32"/>
    <cellStyle name="HEADING2" xfId="33"/>
    <cellStyle name="Iau?iue_Ecnn1 (2)" xfId="34"/>
    <cellStyle name="Komórka połączona" xfId="35" builtinId="24" customBuiltin="1"/>
    <cellStyle name="Komórka zaznaczona" xfId="36" builtinId="23" customBuiltin="1"/>
    <cellStyle name="Nagłówek 1" xfId="37" builtinId="16" customBuiltin="1"/>
    <cellStyle name="Nagłówek 2" xfId="38" builtinId="17" customBuiltin="1"/>
    <cellStyle name="Nagłówek 3" xfId="39" builtinId="18" customBuiltin="1"/>
    <cellStyle name="Nagłówek 4" xfId="40" builtinId="19" customBuiltin="1"/>
    <cellStyle name="Neutralny" xfId="41" builtinId="28" customBuiltin="1"/>
    <cellStyle name="Normal - Styl1" xfId="42"/>
    <cellStyle name="Normal - Styl2" xfId="43"/>
    <cellStyle name="Normal - Styl3" xfId="44"/>
    <cellStyle name="Normal - Styl4" xfId="45"/>
    <cellStyle name="Normal - Styl5" xfId="46"/>
    <cellStyle name="Normal - Styl6" xfId="47"/>
    <cellStyle name="Normal - Styl7" xfId="48"/>
    <cellStyle name="Normal_~1065031" xfId="49"/>
    <cellStyle name="Normalny" xfId="0" builtinId="0"/>
    <cellStyle name="Normalny 2" xfId="50"/>
    <cellStyle name="Normalny_Analiza ex_post" xfId="51"/>
    <cellStyle name="Normalny_Karta oceny 06" xfId="52"/>
    <cellStyle name="Normalny_Kredyty dopłatowe_Tabele do wniosku" xfId="53"/>
    <cellStyle name="Obliczenia" xfId="54" builtinId="22" customBuiltin="1"/>
    <cellStyle name="Procentowy" xfId="55" builtinId="5"/>
    <cellStyle name="Procentowy 2" xfId="56"/>
    <cellStyle name="STATE" xfId="57"/>
    <cellStyle name="Suma" xfId="58" builtinId="25" customBuiltin="1"/>
    <cellStyle name="Tekst objaśnienia" xfId="59" builtinId="53" customBuiltin="1"/>
    <cellStyle name="Tekst ostrzeżenia" xfId="60" builtinId="11" customBuiltin="1"/>
    <cellStyle name="Total" xfId="61"/>
    <cellStyle name="Tytuł" xfId="62" builtinId="15" customBuiltin="1"/>
    <cellStyle name="Uwaga" xfId="63" builtinId="10" customBuiltin="1"/>
    <cellStyle name="Zły" xfId="64" builtinId="27" customBuiltin="1"/>
    <cellStyle name="Денежный [0]_11" xfId="65"/>
    <cellStyle name="Денежный_11" xfId="66"/>
    <cellStyle name="Обычный_04.OSS" xfId="67"/>
    <cellStyle name="Финансовый [0]_11" xfId="68"/>
    <cellStyle name="Финансовый_11" xfId="69"/>
  </cellStyles>
  <dxfs count="15"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colors>
    <mruColors>
      <color rgb="FFFFFFCC"/>
      <color rgb="FFFFFF99"/>
      <color rgb="FFCCFFCC"/>
      <color rgb="FFC0C0C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246529</xdr:colOff>
      <xdr:row>6</xdr:row>
      <xdr:rowOff>11206</xdr:rowOff>
    </xdr:from>
    <xdr:to>
      <xdr:col>5</xdr:col>
      <xdr:colOff>212912</xdr:colOff>
      <xdr:row>6</xdr:row>
      <xdr:rowOff>313762</xdr:rowOff>
    </xdr:to>
    <xdr:sp macro="" textlink="">
      <xdr:nvSpPr>
        <xdr:cNvPr id="7" name="Oval 35" descr="Przycisk &quot;Wyczyść dane oceny jakościowej&quot; usuwa wszystkie poprzednie wpisy"/>
        <xdr:cNvSpPr>
          <a:spLocks noChangeArrowheads="1"/>
        </xdr:cNvSpPr>
      </xdr:nvSpPr>
      <xdr:spPr bwMode="auto">
        <a:xfrm>
          <a:off x="7126941" y="2039471"/>
          <a:ext cx="1210236" cy="30255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Pole wyboru</a:t>
          </a:r>
        </a:p>
      </xdr:txBody>
    </xdr:sp>
    <xdr:clientData/>
  </xdr:twoCellAnchor>
  <xdr:twoCellAnchor>
    <xdr:from>
      <xdr:col>4</xdr:col>
      <xdr:colOff>268941</xdr:colOff>
      <xdr:row>4</xdr:row>
      <xdr:rowOff>302559</xdr:rowOff>
    </xdr:from>
    <xdr:to>
      <xdr:col>5</xdr:col>
      <xdr:colOff>235324</xdr:colOff>
      <xdr:row>5</xdr:row>
      <xdr:rowOff>291350</xdr:rowOff>
    </xdr:to>
    <xdr:sp macro="" textlink="">
      <xdr:nvSpPr>
        <xdr:cNvPr id="8" name="Oval 35" descr="Przycisk &quot;Wyczyść dane oceny jakościowej&quot; usuwa wszystkie poprzednie wpisy"/>
        <xdr:cNvSpPr>
          <a:spLocks noChangeArrowheads="1"/>
        </xdr:cNvSpPr>
      </xdr:nvSpPr>
      <xdr:spPr bwMode="auto">
        <a:xfrm>
          <a:off x="7149353" y="1703294"/>
          <a:ext cx="1210236" cy="30255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Pole wyboru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41"/>
  <sheetViews>
    <sheetView zoomScale="85" zoomScaleNormal="85" workbookViewId="0">
      <selection activeCell="B39" sqref="B39:P39"/>
    </sheetView>
  </sheetViews>
  <sheetFormatPr defaultColWidth="0" defaultRowHeight="12.75" zeroHeight="1"/>
  <cols>
    <col min="1" max="1" width="2.42578125" style="6" customWidth="1"/>
    <col min="2" max="17" width="9.140625" style="6" customWidth="1"/>
    <col min="18" max="16384" width="9.140625" style="6" hidden="1"/>
  </cols>
  <sheetData>
    <row r="1" spans="1:16" ht="12.75" customHeight="1">
      <c r="A1" s="7"/>
      <c r="B1" s="165" t="s">
        <v>228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>
      <c r="A2" s="8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8"/>
    </row>
    <row r="3" spans="1:16">
      <c r="A3" s="8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6">
      <c r="A4" s="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8"/>
    </row>
    <row r="5" spans="1:16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8"/>
    </row>
    <row r="6" spans="1:16">
      <c r="A6" s="8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8"/>
    </row>
    <row r="7" spans="1:16">
      <c r="A7" s="8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8"/>
    </row>
    <row r="8" spans="1:16">
      <c r="A8" s="8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8"/>
    </row>
    <row r="9" spans="1:16">
      <c r="A9" s="8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/>
    </row>
    <row r="10" spans="1:16">
      <c r="A10" s="8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8"/>
    </row>
    <row r="11" spans="1:16">
      <c r="A11" s="8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8"/>
    </row>
    <row r="12" spans="1:16">
      <c r="A12" s="8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8"/>
    </row>
    <row r="13" spans="1:16">
      <c r="A13" s="8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8"/>
    </row>
    <row r="14" spans="1:16">
      <c r="A14" s="8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</row>
    <row r="15" spans="1:16">
      <c r="A15" s="8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8"/>
    </row>
    <row r="16" spans="1:16">
      <c r="A16" s="8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8"/>
    </row>
    <row r="17" spans="1:16">
      <c r="A17" s="8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8"/>
    </row>
    <row r="18" spans="1:16">
      <c r="A18" s="8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8"/>
    </row>
    <row r="19" spans="1:16">
      <c r="A19" s="8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8"/>
    </row>
    <row r="20" spans="1:16">
      <c r="A20" s="8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8"/>
    </row>
    <row r="21" spans="1:16">
      <c r="A21" s="8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8"/>
    </row>
    <row r="22" spans="1:16">
      <c r="A22" s="8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8"/>
    </row>
    <row r="23" spans="1:16">
      <c r="A23" s="8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8"/>
    </row>
    <row r="24" spans="1:16">
      <c r="A24" s="8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8"/>
    </row>
    <row r="25" spans="1:16">
      <c r="A25" s="8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8"/>
    </row>
    <row r="26" spans="1:16" ht="41.25" customHeight="1">
      <c r="A26" s="8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1:16" ht="26.25" customHeight="1">
      <c r="A27" s="63"/>
      <c r="B27" s="160" t="s">
        <v>227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2"/>
    </row>
    <row r="28" spans="1:16">
      <c r="A28" s="62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2"/>
    </row>
    <row r="29" spans="1:16">
      <c r="A29" s="62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2"/>
    </row>
    <row r="30" spans="1:16">
      <c r="A30" s="62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</row>
    <row r="31" spans="1:16">
      <c r="A31" s="62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2"/>
    </row>
    <row r="32" spans="1:16">
      <c r="A32" s="62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</row>
    <row r="33" spans="1:16">
      <c r="A33" s="62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2"/>
    </row>
    <row r="34" spans="1:16">
      <c r="A34" s="62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2"/>
    </row>
    <row r="35" spans="1:16">
      <c r="A35" s="62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2"/>
    </row>
    <row r="36" spans="1:16">
      <c r="A36" s="62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2"/>
    </row>
    <row r="37" spans="1:16">
      <c r="A37" s="62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2"/>
    </row>
    <row r="38" spans="1:16">
      <c r="A38" s="62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2"/>
    </row>
    <row r="39" spans="1:16" ht="96" customHeight="1">
      <c r="A39" s="9"/>
      <c r="B39" s="163" t="s">
        <v>226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4"/>
    </row>
    <row r="40" spans="1:16"/>
    <row r="41" spans="1:16"/>
  </sheetData>
  <sheetProtection password="CC10" sheet="1" objects="1" scenarios="1" selectLockedCells="1" selectUnlockedCells="1"/>
  <mergeCells count="3">
    <mergeCell ref="B27:P38"/>
    <mergeCell ref="B39:P39"/>
    <mergeCell ref="B1:P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usz10">
    <pageSetUpPr fitToPage="1"/>
  </sheetPr>
  <dimension ref="A1:V1539"/>
  <sheetViews>
    <sheetView showGridLines="0" tabSelected="1" zoomScale="85" zoomScaleNormal="85" zoomScaleSheetLayoutView="100" workbookViewId="0">
      <selection activeCell="D2" sqref="D2:G2"/>
    </sheetView>
  </sheetViews>
  <sheetFormatPr defaultColWidth="0" defaultRowHeight="12.75" zeroHeight="1"/>
  <cols>
    <col min="1" max="1" width="9.140625" style="100" customWidth="1"/>
    <col min="2" max="2" width="4.7109375" style="98" customWidth="1"/>
    <col min="3" max="3" width="70.7109375" style="99" customWidth="1"/>
    <col min="4" max="4" width="18.7109375" style="99" customWidth="1"/>
    <col min="5" max="7" width="18.7109375" style="100" customWidth="1"/>
    <col min="8" max="8" width="10.7109375" style="100" customWidth="1"/>
    <col min="9" max="9" width="9.140625" style="100" hidden="1" customWidth="1"/>
    <col min="10" max="10" width="9.5703125" style="100" hidden="1" customWidth="1"/>
    <col min="11" max="11" width="9.140625" style="100" hidden="1" customWidth="1"/>
    <col min="12" max="22" width="0" style="100" hidden="1" customWidth="1"/>
    <col min="23" max="16384" width="9.140625" style="100" hidden="1"/>
  </cols>
  <sheetData>
    <row r="1" spans="2:21" ht="36" customHeight="1"/>
    <row r="2" spans="2:21" s="76" customFormat="1" ht="24.95" customHeight="1">
      <c r="B2" s="182" t="s">
        <v>233</v>
      </c>
      <c r="C2" s="182"/>
      <c r="D2" s="312" t="s">
        <v>237</v>
      </c>
      <c r="E2" s="312"/>
      <c r="F2" s="312"/>
      <c r="G2" s="312"/>
    </row>
    <row r="3" spans="2:21" s="76" customFormat="1" ht="24.95" customHeight="1">
      <c r="B3" s="182" t="s">
        <v>234</v>
      </c>
      <c r="C3" s="182"/>
      <c r="D3" s="312" t="s">
        <v>238</v>
      </c>
      <c r="E3" s="312"/>
      <c r="F3" s="312"/>
      <c r="G3" s="312"/>
    </row>
    <row r="4" spans="2:21" s="76" customFormat="1" ht="24.95" customHeight="1">
      <c r="B4" s="182" t="s">
        <v>239</v>
      </c>
      <c r="C4" s="182"/>
      <c r="D4" s="312" t="s">
        <v>240</v>
      </c>
      <c r="E4" s="312"/>
      <c r="F4" s="312"/>
      <c r="G4" s="312"/>
    </row>
    <row r="5" spans="2:21" ht="24.95" customHeight="1">
      <c r="B5" s="169" t="s">
        <v>231</v>
      </c>
      <c r="C5" s="177"/>
      <c r="D5" s="101">
        <v>7.6200000000000004E-2</v>
      </c>
      <c r="J5" s="102"/>
    </row>
    <row r="6" spans="2:21" ht="24.95" customHeight="1">
      <c r="B6" s="178" t="s">
        <v>216</v>
      </c>
      <c r="C6" s="179"/>
      <c r="D6" s="103">
        <v>2022</v>
      </c>
      <c r="J6" s="102"/>
    </row>
    <row r="7" spans="2:21" ht="24.95" customHeight="1">
      <c r="B7" s="175" t="s">
        <v>232</v>
      </c>
      <c r="C7" s="176"/>
      <c r="D7" s="103" t="s">
        <v>235</v>
      </c>
      <c r="F7" s="104" t="s">
        <v>236</v>
      </c>
      <c r="J7" s="102"/>
    </row>
    <row r="8" spans="2:21" ht="20.100000000000001" customHeight="1">
      <c r="B8" s="66" t="s">
        <v>230</v>
      </c>
      <c r="C8" s="100"/>
      <c r="D8" s="100"/>
      <c r="J8" s="102"/>
    </row>
    <row r="9" spans="2:21" ht="20.100000000000001" customHeight="1">
      <c r="J9" s="102"/>
    </row>
    <row r="10" spans="2:21" s="76" customFormat="1" ht="45" customHeight="1">
      <c r="B10" s="180" t="s">
        <v>206</v>
      </c>
      <c r="C10" s="181"/>
      <c r="D10" s="105" t="s">
        <v>25</v>
      </c>
      <c r="E10" s="77" t="s">
        <v>143</v>
      </c>
      <c r="F10" s="106" t="s">
        <v>125</v>
      </c>
      <c r="G10" s="96" t="s">
        <v>205</v>
      </c>
      <c r="H10" s="100"/>
      <c r="I10" s="100"/>
      <c r="J10" s="102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2:21" s="76" customFormat="1" ht="30" customHeight="1">
      <c r="B11" s="169" t="str">
        <f>IF(F11="","","Rating bieżącej sytuacji finansowej (podsumowanie wyników oceny)")</f>
        <v/>
      </c>
      <c r="C11" s="170"/>
      <c r="D11" s="107">
        <f>Wyniki!I41</f>
        <v>0</v>
      </c>
      <c r="E11" s="108" t="str">
        <f>IF(Wyniki!I41&gt;75,"AAA-A",IF(Wyniki!I41&gt;59,"BBB",IF(Wyniki!I41&gt;49,"BB",IF(Wyniki!I41&gt;32,"B",IF(Wyniki!I41=0,"","CCC")))))</f>
        <v/>
      </c>
      <c r="F11" s="108" t="str">
        <f>IF(Wyniki!I41=0,"",Wyniki!H42)</f>
        <v/>
      </c>
      <c r="G11" s="109" t="str">
        <f>IF(E11="","",IF('Dane finansowe'!E11="AAA-A",'Dane finansowe'!D5+('Dane finansowe'!F15/10000)*100%,IF('Dane finansowe'!E11="BBB",'Dane finansowe'!D5+('Dane finansowe'!F16/10000)*100%,IF('Dane finansowe'!E11="BB",'Dane finansowe'!D5+('Dane finansowe'!F17/10000)*100%,IF('Dane finansowe'!E11="B",'Dane finansowe'!D5+('Dane finansowe'!F18/10000)*100%,'Dane finansowe'!D5+('Dane finansowe'!F19/10000)*100%)))))</f>
        <v/>
      </c>
      <c r="H11" s="100"/>
      <c r="I11" s="100"/>
      <c r="J11" s="102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</row>
    <row r="12" spans="2:21" s="76" customFormat="1" ht="20.100000000000001" customHeight="1">
      <c r="B12" s="110"/>
      <c r="C12" s="111"/>
      <c r="D12" s="111"/>
      <c r="E12" s="111"/>
      <c r="F12" s="111"/>
      <c r="G12" s="111"/>
      <c r="H12" s="100"/>
      <c r="I12" s="100"/>
      <c r="J12" s="102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2:21" s="76" customFormat="1" ht="20.100000000000001" customHeight="1"/>
    <row r="14" spans="2:21" s="78" customFormat="1" ht="45" customHeight="1">
      <c r="B14" s="171" t="s">
        <v>31</v>
      </c>
      <c r="C14" s="171"/>
      <c r="D14" s="105" t="s">
        <v>25</v>
      </c>
      <c r="E14" s="105" t="s">
        <v>143</v>
      </c>
      <c r="F14" s="105" t="s">
        <v>213</v>
      </c>
    </row>
    <row r="15" spans="2:21" s="76" customFormat="1" ht="20.100000000000001" customHeight="1">
      <c r="B15" s="174" t="s">
        <v>159</v>
      </c>
      <c r="C15" s="174"/>
      <c r="D15" s="112" t="s">
        <v>145</v>
      </c>
      <c r="E15" s="112" t="s">
        <v>211</v>
      </c>
      <c r="F15" s="108">
        <v>60</v>
      </c>
    </row>
    <row r="16" spans="2:21" s="76" customFormat="1" ht="20.100000000000001" customHeight="1">
      <c r="B16" s="172" t="s">
        <v>160</v>
      </c>
      <c r="C16" s="173"/>
      <c r="D16" s="112" t="s">
        <v>146</v>
      </c>
      <c r="E16" s="112" t="s">
        <v>208</v>
      </c>
      <c r="F16" s="108">
        <v>75</v>
      </c>
    </row>
    <row r="17" spans="2:7" s="76" customFormat="1" ht="20.100000000000001" customHeight="1">
      <c r="B17" s="172" t="s">
        <v>161</v>
      </c>
      <c r="C17" s="173"/>
      <c r="D17" s="112" t="s">
        <v>147</v>
      </c>
      <c r="E17" s="112" t="s">
        <v>209</v>
      </c>
      <c r="F17" s="108">
        <v>100</v>
      </c>
    </row>
    <row r="18" spans="2:7" s="76" customFormat="1" ht="20.100000000000001" customHeight="1">
      <c r="B18" s="172" t="s">
        <v>162</v>
      </c>
      <c r="C18" s="173"/>
      <c r="D18" s="112" t="s">
        <v>148</v>
      </c>
      <c r="E18" s="112" t="s">
        <v>210</v>
      </c>
      <c r="F18" s="108">
        <v>220</v>
      </c>
    </row>
    <row r="19" spans="2:7" s="76" customFormat="1" ht="20.100000000000001" customHeight="1">
      <c r="B19" s="172" t="s">
        <v>163</v>
      </c>
      <c r="C19" s="173"/>
      <c r="D19" s="112" t="s">
        <v>149</v>
      </c>
      <c r="E19" s="112" t="s">
        <v>207</v>
      </c>
      <c r="F19" s="108">
        <v>400</v>
      </c>
    </row>
    <row r="20" spans="2:7" s="76" customFormat="1" ht="20.100000000000001" customHeight="1">
      <c r="B20" s="67" t="s">
        <v>214</v>
      </c>
    </row>
    <row r="21" spans="2:7" s="113" customFormat="1" ht="19.5" customHeight="1"/>
    <row r="22" spans="2:7" s="118" customFormat="1" ht="45" customHeight="1">
      <c r="B22" s="114" t="s">
        <v>144</v>
      </c>
      <c r="C22" s="115" t="s">
        <v>164</v>
      </c>
      <c r="D22" s="116" t="s">
        <v>212</v>
      </c>
      <c r="E22" s="117">
        <f>IF($G$22="","",F22-1)</f>
        <v>2019</v>
      </c>
      <c r="F22" s="117">
        <f>IF($G$22="","",G22-1)</f>
        <v>2020</v>
      </c>
      <c r="G22" s="117">
        <f>IF($D$6="","",$D$6-1)</f>
        <v>2021</v>
      </c>
    </row>
    <row r="23" spans="2:7" s="122" customFormat="1" ht="20.100000000000001" customHeight="1">
      <c r="B23" s="119" t="s">
        <v>165</v>
      </c>
      <c r="C23" s="120" t="s">
        <v>166</v>
      </c>
      <c r="D23" s="119" t="str">
        <f t="shared" ref="D23:D30" si="0">IF($D$7="","",$D$7)</f>
        <v>zł</v>
      </c>
      <c r="E23" s="121"/>
      <c r="F23" s="121"/>
      <c r="G23" s="121"/>
    </row>
    <row r="24" spans="2:7" s="122" customFormat="1" ht="20.100000000000001" customHeight="1">
      <c r="B24" s="123" t="s">
        <v>167</v>
      </c>
      <c r="C24" s="120" t="s">
        <v>62</v>
      </c>
      <c r="D24" s="119" t="str">
        <f t="shared" si="0"/>
        <v>zł</v>
      </c>
      <c r="E24" s="121"/>
      <c r="F24" s="121"/>
      <c r="G24" s="121"/>
    </row>
    <row r="25" spans="2:7" s="128" customFormat="1" ht="20.100000000000001" customHeight="1">
      <c r="B25" s="124"/>
      <c r="C25" s="125" t="s">
        <v>139</v>
      </c>
      <c r="D25" s="126" t="str">
        <f t="shared" si="0"/>
        <v>zł</v>
      </c>
      <c r="E25" s="127"/>
      <c r="F25" s="127"/>
      <c r="G25" s="127"/>
    </row>
    <row r="26" spans="2:7" s="122" customFormat="1" ht="20.100000000000001" customHeight="1">
      <c r="B26" s="123" t="s">
        <v>170</v>
      </c>
      <c r="C26" s="120" t="s">
        <v>171</v>
      </c>
      <c r="D26" s="119" t="str">
        <f t="shared" si="0"/>
        <v>zł</v>
      </c>
      <c r="E26" s="121"/>
      <c r="F26" s="121"/>
      <c r="G26" s="121"/>
    </row>
    <row r="27" spans="2:7" s="122" customFormat="1" ht="20.100000000000001" customHeight="1">
      <c r="B27" s="123" t="s">
        <v>174</v>
      </c>
      <c r="C27" s="120" t="s">
        <v>59</v>
      </c>
      <c r="D27" s="119" t="str">
        <f t="shared" si="0"/>
        <v>zł</v>
      </c>
      <c r="E27" s="121"/>
      <c r="F27" s="121"/>
      <c r="G27" s="121"/>
    </row>
    <row r="28" spans="2:7" s="122" customFormat="1" ht="20.100000000000001" customHeight="1">
      <c r="B28" s="123" t="s">
        <v>176</v>
      </c>
      <c r="C28" s="120" t="s">
        <v>61</v>
      </c>
      <c r="D28" s="119" t="str">
        <f t="shared" si="0"/>
        <v>zł</v>
      </c>
      <c r="E28" s="121"/>
      <c r="F28" s="121"/>
      <c r="G28" s="121"/>
    </row>
    <row r="29" spans="2:7" s="122" customFormat="1" ht="20.100000000000001" customHeight="1">
      <c r="B29" s="123" t="s">
        <v>177</v>
      </c>
      <c r="C29" s="120" t="s">
        <v>178</v>
      </c>
      <c r="D29" s="119" t="str">
        <f t="shared" si="0"/>
        <v>zł</v>
      </c>
      <c r="E29" s="121"/>
      <c r="F29" s="121"/>
      <c r="G29" s="121"/>
    </row>
    <row r="30" spans="2:7" s="122" customFormat="1" ht="20.100000000000001" customHeight="1">
      <c r="B30" s="123" t="s">
        <v>179</v>
      </c>
      <c r="C30" s="120" t="s">
        <v>60</v>
      </c>
      <c r="D30" s="119" t="str">
        <f t="shared" si="0"/>
        <v>zł</v>
      </c>
      <c r="E30" s="121"/>
      <c r="F30" s="121"/>
      <c r="G30" s="121"/>
    </row>
    <row r="31" spans="2:7" ht="20.100000000000001" customHeight="1">
      <c r="B31" s="100"/>
      <c r="C31" s="100"/>
      <c r="D31" s="100"/>
    </row>
    <row r="32" spans="2:7" s="118" customFormat="1" ht="45" customHeight="1">
      <c r="B32" s="129" t="s">
        <v>144</v>
      </c>
      <c r="C32" s="130" t="s">
        <v>180</v>
      </c>
      <c r="D32" s="97" t="s">
        <v>212</v>
      </c>
      <c r="E32" s="117">
        <f>IF($G$22="","",F32-1)</f>
        <v>2019</v>
      </c>
      <c r="F32" s="117">
        <f>IF($G$22="","",G32-1)</f>
        <v>2020</v>
      </c>
      <c r="G32" s="117">
        <f>IF($G$22="","",$G$22)</f>
        <v>2021</v>
      </c>
    </row>
    <row r="33" spans="2:7" s="133" customFormat="1" ht="20.100000000000001" customHeight="1">
      <c r="B33" s="131" t="s">
        <v>165</v>
      </c>
      <c r="C33" s="132" t="s">
        <v>181</v>
      </c>
      <c r="D33" s="123" t="str">
        <f t="shared" ref="D33:D42" si="1">IF($D$7="","",$D$7)</f>
        <v>zł</v>
      </c>
      <c r="E33" s="121"/>
      <c r="F33" s="121"/>
      <c r="G33" s="121"/>
    </row>
    <row r="34" spans="2:7" s="133" customFormat="1" ht="20.100000000000001" customHeight="1">
      <c r="B34" s="131" t="s">
        <v>167</v>
      </c>
      <c r="C34" s="132" t="s">
        <v>129</v>
      </c>
      <c r="D34" s="123" t="str">
        <f t="shared" si="1"/>
        <v>zł</v>
      </c>
      <c r="E34" s="121"/>
      <c r="F34" s="121"/>
      <c r="G34" s="121"/>
    </row>
    <row r="35" spans="2:7" s="136" customFormat="1" ht="20.100000000000001" customHeight="1">
      <c r="B35" s="134" t="s">
        <v>150</v>
      </c>
      <c r="C35" s="135" t="s">
        <v>118</v>
      </c>
      <c r="D35" s="124" t="str">
        <f t="shared" si="1"/>
        <v>zł</v>
      </c>
      <c r="E35" s="127"/>
      <c r="F35" s="121"/>
      <c r="G35" s="121"/>
    </row>
    <row r="36" spans="2:7" s="136" customFormat="1" ht="20.100000000000001" customHeight="1">
      <c r="B36" s="134" t="s">
        <v>151</v>
      </c>
      <c r="C36" s="135" t="s">
        <v>130</v>
      </c>
      <c r="D36" s="124" t="str">
        <f t="shared" si="1"/>
        <v>zł</v>
      </c>
      <c r="E36" s="127"/>
      <c r="F36" s="121"/>
      <c r="G36" s="121"/>
    </row>
    <row r="37" spans="2:7" s="136" customFormat="1" ht="20.100000000000001" customHeight="1">
      <c r="B37" s="134" t="s">
        <v>152</v>
      </c>
      <c r="C37" s="135" t="s">
        <v>131</v>
      </c>
      <c r="D37" s="124" t="str">
        <f t="shared" si="1"/>
        <v>zł</v>
      </c>
      <c r="E37" s="137"/>
      <c r="F37" s="121"/>
      <c r="G37" s="121"/>
    </row>
    <row r="38" spans="2:7" s="136" customFormat="1" ht="20.100000000000001" customHeight="1">
      <c r="B38" s="134"/>
      <c r="C38" s="135" t="s">
        <v>132</v>
      </c>
      <c r="D38" s="124" t="str">
        <f t="shared" si="1"/>
        <v>zł</v>
      </c>
      <c r="E38" s="137"/>
      <c r="F38" s="121"/>
      <c r="G38" s="121"/>
    </row>
    <row r="39" spans="2:7" s="136" customFormat="1" ht="20.100000000000001" customHeight="1">
      <c r="B39" s="134" t="s">
        <v>153</v>
      </c>
      <c r="C39" s="135" t="s">
        <v>133</v>
      </c>
      <c r="D39" s="124" t="str">
        <f t="shared" si="1"/>
        <v>zł</v>
      </c>
      <c r="E39" s="137"/>
      <c r="F39" s="137"/>
      <c r="G39" s="137"/>
    </row>
    <row r="40" spans="2:7" s="136" customFormat="1" ht="20.100000000000001" customHeight="1">
      <c r="B40" s="134" t="s">
        <v>170</v>
      </c>
      <c r="C40" s="135" t="s">
        <v>259</v>
      </c>
      <c r="D40" s="124" t="str">
        <f t="shared" si="1"/>
        <v>zł</v>
      </c>
      <c r="E40" s="137"/>
      <c r="F40" s="137"/>
      <c r="G40" s="137"/>
    </row>
    <row r="41" spans="2:7" s="136" customFormat="1" ht="20.100000000000001" customHeight="1">
      <c r="B41" s="134" t="s">
        <v>172</v>
      </c>
      <c r="C41" s="135" t="s">
        <v>260</v>
      </c>
      <c r="D41" s="124" t="str">
        <f t="shared" si="1"/>
        <v>zł</v>
      </c>
      <c r="E41" s="137"/>
      <c r="F41" s="137"/>
      <c r="G41" s="137"/>
    </row>
    <row r="42" spans="2:7" s="133" customFormat="1" ht="20.100000000000001" customHeight="1">
      <c r="B42" s="131"/>
      <c r="C42" s="132" t="s">
        <v>261</v>
      </c>
      <c r="D42" s="123" t="str">
        <f t="shared" si="1"/>
        <v>zł</v>
      </c>
      <c r="E42" s="121"/>
      <c r="F42" s="121"/>
      <c r="G42" s="121"/>
    </row>
    <row r="43" spans="2:7" ht="20.100000000000001" customHeight="1">
      <c r="B43" s="100"/>
      <c r="C43" s="100"/>
      <c r="D43" s="100"/>
    </row>
    <row r="44" spans="2:7" s="118" customFormat="1" ht="45" customHeight="1">
      <c r="B44" s="129" t="s">
        <v>144</v>
      </c>
      <c r="C44" s="130" t="s">
        <v>182</v>
      </c>
      <c r="D44" s="97" t="s">
        <v>212</v>
      </c>
      <c r="E44" s="117">
        <f>IF($G$22="","",F44-1)</f>
        <v>2019</v>
      </c>
      <c r="F44" s="117">
        <f>IF($G$22="","",G44-1)</f>
        <v>2020</v>
      </c>
      <c r="G44" s="117">
        <f>IF($G$22="","",$G$22)</f>
        <v>2021</v>
      </c>
    </row>
    <row r="45" spans="2:7" s="139" customFormat="1" ht="20.100000000000001" customHeight="1">
      <c r="B45" s="123" t="s">
        <v>165</v>
      </c>
      <c r="C45" s="138" t="s">
        <v>142</v>
      </c>
      <c r="D45" s="123" t="str">
        <f t="shared" ref="D45:D51" si="2">IF($D$7="","",$D$7)</f>
        <v>zł</v>
      </c>
      <c r="E45" s="121"/>
      <c r="F45" s="121"/>
      <c r="G45" s="121"/>
    </row>
    <row r="46" spans="2:7" s="139" customFormat="1" ht="20.100000000000001" customHeight="1">
      <c r="B46" s="123" t="s">
        <v>167</v>
      </c>
      <c r="C46" s="138" t="s">
        <v>138</v>
      </c>
      <c r="D46" s="123" t="str">
        <f t="shared" si="2"/>
        <v>zł</v>
      </c>
      <c r="E46" s="121"/>
      <c r="F46" s="121"/>
      <c r="G46" s="121"/>
    </row>
    <row r="47" spans="2:7" s="141" customFormat="1" ht="20.100000000000001" customHeight="1">
      <c r="B47" s="124" t="s">
        <v>150</v>
      </c>
      <c r="C47" s="140" t="s">
        <v>134</v>
      </c>
      <c r="D47" s="124" t="str">
        <f t="shared" si="2"/>
        <v>zł</v>
      </c>
      <c r="E47" s="137"/>
      <c r="F47" s="137"/>
      <c r="G47" s="137"/>
    </row>
    <row r="48" spans="2:7" s="141" customFormat="1" ht="20.100000000000001" customHeight="1">
      <c r="B48" s="124" t="s">
        <v>151</v>
      </c>
      <c r="C48" s="140" t="s">
        <v>135</v>
      </c>
      <c r="D48" s="124" t="str">
        <f t="shared" si="2"/>
        <v>zł</v>
      </c>
      <c r="E48" s="137"/>
      <c r="F48" s="137"/>
      <c r="G48" s="137"/>
    </row>
    <row r="49" spans="2:7" s="141" customFormat="1" ht="20.100000000000001" customHeight="1">
      <c r="B49" s="124" t="s">
        <v>152</v>
      </c>
      <c r="C49" s="140" t="s">
        <v>136</v>
      </c>
      <c r="D49" s="124" t="str">
        <f t="shared" si="2"/>
        <v>zł</v>
      </c>
      <c r="E49" s="127"/>
      <c r="F49" s="127"/>
      <c r="G49" s="127"/>
    </row>
    <row r="50" spans="2:7" s="141" customFormat="1" ht="20.100000000000001" customHeight="1">
      <c r="B50" s="124" t="s">
        <v>153</v>
      </c>
      <c r="C50" s="140" t="s">
        <v>137</v>
      </c>
      <c r="D50" s="124" t="str">
        <f t="shared" si="2"/>
        <v>zł</v>
      </c>
      <c r="E50" s="137"/>
      <c r="F50" s="137"/>
      <c r="G50" s="137"/>
    </row>
    <row r="51" spans="2:7" s="139" customFormat="1" ht="20.100000000000001" customHeight="1">
      <c r="B51" s="123"/>
      <c r="C51" s="138" t="s">
        <v>184</v>
      </c>
      <c r="D51" s="123" t="str">
        <f t="shared" si="2"/>
        <v>zł</v>
      </c>
      <c r="E51" s="142"/>
      <c r="F51" s="142"/>
      <c r="G51" s="142"/>
    </row>
    <row r="52" spans="2:7" s="122" customFormat="1" ht="20.100000000000001" customHeight="1"/>
    <row r="53" spans="2:7" s="118" customFormat="1" ht="45" customHeight="1">
      <c r="B53" s="114" t="s">
        <v>144</v>
      </c>
      <c r="C53" s="116" t="s">
        <v>140</v>
      </c>
      <c r="D53" s="116" t="s">
        <v>212</v>
      </c>
      <c r="E53" s="117">
        <f>IF($G$22="","",F53-1)</f>
        <v>2019</v>
      </c>
      <c r="F53" s="117">
        <f>IF($G$22="","",G53-1)</f>
        <v>2020</v>
      </c>
      <c r="G53" s="117">
        <f>IF($G$22="","",$G$22)</f>
        <v>2021</v>
      </c>
    </row>
    <row r="54" spans="2:7" s="122" customFormat="1" ht="20.100000000000001" customHeight="1">
      <c r="B54" s="143" t="s">
        <v>165</v>
      </c>
      <c r="C54" s="144" t="s">
        <v>83</v>
      </c>
      <c r="D54" s="145" t="str">
        <f t="shared" ref="D54:D64" si="3">IF($D$7="","",$D$7)</f>
        <v>zł</v>
      </c>
      <c r="E54" s="121"/>
      <c r="F54" s="121"/>
      <c r="G54" s="121"/>
    </row>
    <row r="55" spans="2:7" s="122" customFormat="1" ht="20.100000000000001" customHeight="1">
      <c r="B55" s="146" t="s">
        <v>167</v>
      </c>
      <c r="C55" s="147" t="s">
        <v>84</v>
      </c>
      <c r="D55" s="145" t="str">
        <f t="shared" si="3"/>
        <v>zł</v>
      </c>
      <c r="E55" s="121"/>
      <c r="F55" s="121"/>
      <c r="G55" s="121"/>
    </row>
    <row r="56" spans="2:7" s="122" customFormat="1" ht="20.100000000000001" customHeight="1">
      <c r="B56" s="146" t="s">
        <v>170</v>
      </c>
      <c r="C56" s="147" t="s">
        <v>85</v>
      </c>
      <c r="D56" s="145" t="str">
        <f t="shared" si="3"/>
        <v>zł</v>
      </c>
      <c r="E56" s="142"/>
      <c r="F56" s="142"/>
      <c r="G56" s="142"/>
    </row>
    <row r="57" spans="2:7" s="128" customFormat="1" ht="20.100000000000001" customHeight="1">
      <c r="B57" s="148" t="s">
        <v>150</v>
      </c>
      <c r="C57" s="149" t="s">
        <v>86</v>
      </c>
      <c r="D57" s="150" t="str">
        <f t="shared" si="3"/>
        <v>zł</v>
      </c>
      <c r="E57" s="127"/>
      <c r="F57" s="127"/>
      <c r="G57" s="127"/>
    </row>
    <row r="58" spans="2:7" s="128" customFormat="1" ht="20.100000000000001" customHeight="1">
      <c r="B58" s="148" t="s">
        <v>151</v>
      </c>
      <c r="C58" s="149" t="s">
        <v>87</v>
      </c>
      <c r="D58" s="150" t="str">
        <f t="shared" si="3"/>
        <v>zł</v>
      </c>
      <c r="E58" s="151" t="str">
        <f>IF(AND(ISBLANK(E59),ISBLANK(E60),ISBLANK(E61)),"",SUM(E59:E61))</f>
        <v/>
      </c>
      <c r="F58" s="151" t="str">
        <f t="shared" ref="F58:G58" si="4">IF(AND(ISBLANK(F59),ISBLANK(F60),ISBLANK(F61)),"",SUM(F59:F61))</f>
        <v/>
      </c>
      <c r="G58" s="151" t="str">
        <f t="shared" si="4"/>
        <v/>
      </c>
    </row>
    <row r="59" spans="2:7" s="128" customFormat="1" ht="20.100000000000001" customHeight="1">
      <c r="B59" s="148" t="s">
        <v>123</v>
      </c>
      <c r="C59" s="149" t="s">
        <v>88</v>
      </c>
      <c r="D59" s="150" t="str">
        <f t="shared" si="3"/>
        <v>zł</v>
      </c>
      <c r="E59" s="127"/>
      <c r="F59" s="127"/>
      <c r="G59" s="127"/>
    </row>
    <row r="60" spans="2:7" s="128" customFormat="1" ht="20.100000000000001" customHeight="1">
      <c r="B60" s="148" t="s">
        <v>124</v>
      </c>
      <c r="C60" s="149" t="s">
        <v>89</v>
      </c>
      <c r="D60" s="150" t="str">
        <f t="shared" si="3"/>
        <v>zł</v>
      </c>
      <c r="E60" s="127"/>
      <c r="F60" s="127"/>
      <c r="G60" s="127"/>
    </row>
    <row r="61" spans="2:7" s="128" customFormat="1" ht="20.100000000000001" customHeight="1">
      <c r="B61" s="148" t="s">
        <v>126</v>
      </c>
      <c r="C61" s="149" t="s">
        <v>90</v>
      </c>
      <c r="D61" s="150" t="str">
        <f t="shared" si="3"/>
        <v>zł</v>
      </c>
      <c r="E61" s="127"/>
      <c r="F61" s="127"/>
      <c r="G61" s="127"/>
    </row>
    <row r="62" spans="2:7" s="122" customFormat="1" ht="20.100000000000001" customHeight="1">
      <c r="B62" s="146" t="s">
        <v>172</v>
      </c>
      <c r="C62" s="147" t="s">
        <v>58</v>
      </c>
      <c r="D62" s="145" t="str">
        <f t="shared" si="3"/>
        <v>zł</v>
      </c>
      <c r="E62" s="142"/>
      <c r="F62" s="142"/>
      <c r="G62" s="142"/>
    </row>
    <row r="63" spans="2:7" s="122" customFormat="1" ht="20.100000000000001" customHeight="1">
      <c r="B63" s="146" t="s">
        <v>174</v>
      </c>
      <c r="C63" s="147" t="s">
        <v>185</v>
      </c>
      <c r="D63" s="145" t="str">
        <f t="shared" si="3"/>
        <v>zł</v>
      </c>
      <c r="E63" s="121"/>
      <c r="F63" s="121"/>
      <c r="G63" s="121"/>
    </row>
    <row r="64" spans="2:7" s="122" customFormat="1" ht="20.100000000000001" customHeight="1">
      <c r="B64" s="146" t="s">
        <v>175</v>
      </c>
      <c r="C64" s="147" t="s">
        <v>186</v>
      </c>
      <c r="D64" s="145" t="str">
        <f t="shared" si="3"/>
        <v>zł</v>
      </c>
      <c r="E64" s="121"/>
      <c r="F64" s="121"/>
      <c r="G64" s="121"/>
    </row>
    <row r="65" spans="1:9" ht="20.100000000000001" customHeight="1"/>
    <row r="66" spans="1:9" s="153" customFormat="1" ht="45" customHeight="1">
      <c r="B66" s="152" t="s">
        <v>144</v>
      </c>
      <c r="C66" s="115" t="s">
        <v>141</v>
      </c>
      <c r="D66" s="117" t="s">
        <v>1</v>
      </c>
      <c r="E66" s="117">
        <f>IF($G$22="","",F66-1)</f>
        <v>2019</v>
      </c>
      <c r="F66" s="117">
        <f>IF($G$22="","",G66-1)</f>
        <v>2020</v>
      </c>
      <c r="G66" s="117">
        <f>IF($G$22="","",$G$22)</f>
        <v>2021</v>
      </c>
      <c r="H66" s="100"/>
    </row>
    <row r="67" spans="1:9" s="128" customFormat="1" ht="30" customHeight="1">
      <c r="B67" s="154" t="s">
        <v>150</v>
      </c>
      <c r="C67" s="149" t="s">
        <v>64</v>
      </c>
      <c r="D67" s="154" t="str">
        <f t="shared" ref="D67:D76" si="5">IF($D$7="","",$D$7)</f>
        <v>zł</v>
      </c>
      <c r="E67" s="155">
        <f>ROUND(E33+E34+E40+E41-E42,1)</f>
        <v>0</v>
      </c>
      <c r="F67" s="155">
        <f t="shared" ref="F67:G67" si="6">ROUND(F33+F34+F40+F41-F42,1)</f>
        <v>0</v>
      </c>
      <c r="G67" s="155">
        <f t="shared" si="6"/>
        <v>0</v>
      </c>
      <c r="H67" s="100"/>
    </row>
    <row r="68" spans="1:9" s="128" customFormat="1" ht="30" customHeight="1">
      <c r="B68" s="154" t="s">
        <v>151</v>
      </c>
      <c r="C68" s="149" t="s">
        <v>63</v>
      </c>
      <c r="D68" s="154" t="str">
        <f t="shared" si="5"/>
        <v>zł</v>
      </c>
      <c r="E68" s="155">
        <f>ROUND((E35+E36+E37+E39)-E34,1)</f>
        <v>0</v>
      </c>
      <c r="F68" s="155">
        <f>ROUND((F35+F36+F37+F39)-F34,1)</f>
        <v>0</v>
      </c>
      <c r="G68" s="155">
        <f>ROUND((G35+G36+G37+G39)-G34,1)</f>
        <v>0</v>
      </c>
      <c r="H68" s="100"/>
    </row>
    <row r="69" spans="1:9" s="128" customFormat="1" ht="30" customHeight="1">
      <c r="B69" s="154" t="s">
        <v>152</v>
      </c>
      <c r="C69" s="149" t="s">
        <v>68</v>
      </c>
      <c r="D69" s="154" t="str">
        <f t="shared" si="5"/>
        <v>zł</v>
      </c>
      <c r="E69" s="155">
        <f>ROUND(E45+E46-E51,1)</f>
        <v>0</v>
      </c>
      <c r="F69" s="155">
        <f>ROUND(F45+F46-F51,1)</f>
        <v>0</v>
      </c>
      <c r="G69" s="155">
        <f>ROUND(G45+G46-G51,1)</f>
        <v>0</v>
      </c>
      <c r="H69" s="100"/>
      <c r="I69" s="100"/>
    </row>
    <row r="70" spans="1:9" s="128" customFormat="1" ht="30" customHeight="1">
      <c r="B70" s="154" t="s">
        <v>153</v>
      </c>
      <c r="C70" s="149" t="s">
        <v>72</v>
      </c>
      <c r="D70" s="154" t="str">
        <f t="shared" si="5"/>
        <v>zł</v>
      </c>
      <c r="E70" s="155">
        <f>ROUND((E47+E48+E49+E50)-E46,1)</f>
        <v>0</v>
      </c>
      <c r="F70" s="155">
        <f>ROUND((F47+F48+F49+F50)-F46,1)</f>
        <v>0</v>
      </c>
      <c r="G70" s="155">
        <f>ROUND((G47+G48+G49+G50)-G46,1)</f>
        <v>0</v>
      </c>
      <c r="H70" s="100"/>
      <c r="I70" s="100"/>
    </row>
    <row r="71" spans="1:9" s="128" customFormat="1" ht="30" customHeight="1">
      <c r="B71" s="154" t="s">
        <v>154</v>
      </c>
      <c r="C71" s="149" t="s">
        <v>65</v>
      </c>
      <c r="D71" s="154" t="str">
        <f t="shared" si="5"/>
        <v>zł</v>
      </c>
      <c r="E71" s="155">
        <f>IF(E58="",0,ROUND(E57-E58-E56,1))</f>
        <v>0</v>
      </c>
      <c r="F71" s="155">
        <f>IF(F58="",0,ROUND(F57-F58-F56,1))</f>
        <v>0</v>
      </c>
      <c r="G71" s="155">
        <f>IF(G58="",0,ROUND(G57-G58-G56,1))</f>
        <v>0</v>
      </c>
      <c r="H71" s="100"/>
      <c r="I71" s="100"/>
    </row>
    <row r="72" spans="1:9" s="128" customFormat="1" ht="30" customHeight="1">
      <c r="A72" s="156">
        <v>2022</v>
      </c>
      <c r="B72" s="154" t="s">
        <v>157</v>
      </c>
      <c r="C72" s="149" t="s">
        <v>69</v>
      </c>
      <c r="D72" s="154" t="str">
        <f t="shared" si="5"/>
        <v>zł</v>
      </c>
      <c r="E72" s="155">
        <f>ROUND(E54+E55+E56-E62,1)</f>
        <v>0</v>
      </c>
      <c r="F72" s="155">
        <f>ROUND(F54+F55+F56-F62,1)</f>
        <v>0</v>
      </c>
      <c r="G72" s="155">
        <f>ROUND(G54+G55+G56-G62,1)</f>
        <v>0</v>
      </c>
      <c r="H72" s="100"/>
      <c r="I72" s="100"/>
    </row>
    <row r="73" spans="1:9" s="128" customFormat="1" ht="30" customHeight="1">
      <c r="A73" s="156">
        <v>2023</v>
      </c>
      <c r="B73" s="154" t="s">
        <v>168</v>
      </c>
      <c r="C73" s="149" t="s">
        <v>70</v>
      </c>
      <c r="D73" s="154" t="str">
        <f t="shared" si="5"/>
        <v>zł</v>
      </c>
      <c r="E73" s="155">
        <f>ROUND(E62+E63-E64,1)</f>
        <v>0</v>
      </c>
      <c r="F73" s="155">
        <f>ROUND(F62+F63-F64,1)</f>
        <v>0</v>
      </c>
      <c r="G73" s="155">
        <f>ROUND(G62+G63-G64,1)</f>
        <v>0</v>
      </c>
      <c r="H73" s="100"/>
      <c r="I73" s="100"/>
    </row>
    <row r="74" spans="1:9" s="128" customFormat="1" ht="30" customHeight="1">
      <c r="A74" s="157" t="s">
        <v>235</v>
      </c>
      <c r="B74" s="154" t="s">
        <v>169</v>
      </c>
      <c r="C74" s="149" t="s">
        <v>71</v>
      </c>
      <c r="D74" s="154" t="str">
        <f t="shared" si="5"/>
        <v>zł</v>
      </c>
      <c r="E74" s="155">
        <f>ROUND(E64-E38,1)</f>
        <v>0</v>
      </c>
      <c r="F74" s="155">
        <f>ROUND(F64-F38,1)</f>
        <v>0</v>
      </c>
      <c r="G74" s="155">
        <f>ROUND(G64-G38,1)</f>
        <v>0</v>
      </c>
      <c r="H74" s="100"/>
      <c r="I74" s="100"/>
    </row>
    <row r="75" spans="1:9" s="128" customFormat="1" ht="30" customHeight="1">
      <c r="A75" s="157" t="s">
        <v>236</v>
      </c>
      <c r="B75" s="154" t="s">
        <v>183</v>
      </c>
      <c r="C75" s="149" t="s">
        <v>66</v>
      </c>
      <c r="D75" s="154" t="str">
        <f t="shared" si="5"/>
        <v>zł</v>
      </c>
      <c r="E75" s="155">
        <f>ROUND(E51-E42,1)</f>
        <v>0</v>
      </c>
      <c r="F75" s="155">
        <f>ROUND(F51-F42,1)</f>
        <v>0</v>
      </c>
      <c r="G75" s="155">
        <f>ROUND(G51-G42,1)</f>
        <v>0</v>
      </c>
      <c r="H75" s="100"/>
      <c r="I75" s="100"/>
    </row>
    <row r="76" spans="1:9" s="128" customFormat="1" ht="30" customHeight="1">
      <c r="A76" s="157"/>
      <c r="B76" s="154" t="s">
        <v>189</v>
      </c>
      <c r="C76" s="149" t="s">
        <v>67</v>
      </c>
      <c r="D76" s="154" t="str">
        <f t="shared" si="5"/>
        <v>zł</v>
      </c>
      <c r="E76" s="158"/>
      <c r="F76" s="155">
        <f>ROUND(E64-F63,1)</f>
        <v>0</v>
      </c>
      <c r="G76" s="155">
        <f>ROUND(F64-G63,1)</f>
        <v>0</v>
      </c>
      <c r="H76" s="100"/>
      <c r="I76" s="100"/>
    </row>
    <row r="77" spans="1:9"/>
    <row r="78" spans="1:9" hidden="1"/>
    <row r="79" spans="1:9" hidden="1"/>
    <row r="80" spans="1:9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</sheetData>
  <sheetProtection algorithmName="SHA-512" hashValue="F/7Lf2xOWRT/VTIuO6ht+7O4/STKy1GPQep74/tuaquoWVfi74kqc8iJ60BA8IDMB6Jrki+t0hwD9/t7WcYVbA==" saltValue="wEaXkJD5tqm89dTLbsYDhA==" spinCount="100000" sheet="1" selectLockedCells="1"/>
  <protectedRanges>
    <protectedRange sqref="C7 B2:G4 G6:G7 B6:D6 F7:F8 F5:H5" name="Zakres1"/>
    <protectedRange sqref="E23:G30" name="Zakres5_1"/>
    <protectedRange sqref="E33:G42" name="Zakres6_1"/>
    <protectedRange sqref="E45:G45" name="Zakres7_1"/>
    <protectedRange sqref="E46:G51" name="Zakres7_2_1"/>
    <protectedRange sqref="E54:G57" name="Zakres8_1"/>
    <protectedRange sqref="E59:G64" name="Zakres9_1"/>
  </protectedRanges>
  <dataConsolidate/>
  <mergeCells count="17">
    <mergeCell ref="B3:C3"/>
    <mergeCell ref="D3:G3"/>
    <mergeCell ref="B2:C2"/>
    <mergeCell ref="D2:G2"/>
    <mergeCell ref="B4:C4"/>
    <mergeCell ref="B7:C7"/>
    <mergeCell ref="B5:C5"/>
    <mergeCell ref="B6:C6"/>
    <mergeCell ref="D4:G4"/>
    <mergeCell ref="B10:C10"/>
    <mergeCell ref="B11:C11"/>
    <mergeCell ref="B14:C14"/>
    <mergeCell ref="B19:C19"/>
    <mergeCell ref="B18:C18"/>
    <mergeCell ref="B17:C17"/>
    <mergeCell ref="B16:C16"/>
    <mergeCell ref="B15:C15"/>
  </mergeCells>
  <phoneticPr fontId="31" type="noConversion"/>
  <conditionalFormatting sqref="E75:G75 E67:G67">
    <cfRule type="cellIs" dxfId="14" priority="27" stopIfTrue="1" operator="notEqual">
      <formula>0</formula>
    </cfRule>
  </conditionalFormatting>
  <conditionalFormatting sqref="E68:G74 E76:G76">
    <cfRule type="cellIs" dxfId="13" priority="28" stopIfTrue="1" operator="notEqual">
      <formula>0</formula>
    </cfRule>
  </conditionalFormatting>
  <conditionalFormatting sqref="E57:G57">
    <cfRule type="cellIs" dxfId="12" priority="29" stopIfTrue="1" operator="lessThan">
      <formula>0</formula>
    </cfRule>
  </conditionalFormatting>
  <conditionalFormatting sqref="E57:G57">
    <cfRule type="cellIs" dxfId="11" priority="11" stopIfTrue="1" operator="lessThan">
      <formula>0</formula>
    </cfRule>
  </conditionalFormatting>
  <conditionalFormatting sqref="E57:G57">
    <cfRule type="cellIs" dxfId="10" priority="10" stopIfTrue="1" operator="lessThan">
      <formula>0</formula>
    </cfRule>
  </conditionalFormatting>
  <conditionalFormatting sqref="E57:G57">
    <cfRule type="cellIs" dxfId="9" priority="9" stopIfTrue="1" operator="lessThan">
      <formula>0</formula>
    </cfRule>
  </conditionalFormatting>
  <conditionalFormatting sqref="E57:G57">
    <cfRule type="cellIs" dxfId="8" priority="8" stopIfTrue="1" operator="lessThan">
      <formula>0</formula>
    </cfRule>
  </conditionalFormatting>
  <conditionalFormatting sqref="E57:G57">
    <cfRule type="cellIs" dxfId="7" priority="7" stopIfTrue="1" operator="lessThan">
      <formula>0</formula>
    </cfRule>
  </conditionalFormatting>
  <conditionalFormatting sqref="E57:G57">
    <cfRule type="cellIs" dxfId="6" priority="6" stopIfTrue="1" operator="lessThan">
      <formula>0</formula>
    </cfRule>
  </conditionalFormatting>
  <conditionalFormatting sqref="E57:G57">
    <cfRule type="cellIs" dxfId="5" priority="5" stopIfTrue="1" operator="lessThan">
      <formula>0</formula>
    </cfRule>
  </conditionalFormatting>
  <conditionalFormatting sqref="E57:G57">
    <cfRule type="cellIs" dxfId="4" priority="4" stopIfTrue="1" operator="lessThan">
      <formula>0</formula>
    </cfRule>
  </conditionalFormatting>
  <conditionalFormatting sqref="E57:G57">
    <cfRule type="cellIs" dxfId="3" priority="3" stopIfTrue="1" operator="lessThan">
      <formula>0</formula>
    </cfRule>
  </conditionalFormatting>
  <conditionalFormatting sqref="E57:G57">
    <cfRule type="cellIs" dxfId="2" priority="2" stopIfTrue="1" operator="lessThan">
      <formula>0</formula>
    </cfRule>
  </conditionalFormatting>
  <conditionalFormatting sqref="E57:G57">
    <cfRule type="cellIs" dxfId="1" priority="1" stopIfTrue="1" operator="lessThan">
      <formula>0</formula>
    </cfRule>
  </conditionalFormatting>
  <dataValidations xWindow="837" yWindow="442" count="4">
    <dataValidation allowBlank="1" showErrorMessage="1" sqref="B2"/>
    <dataValidation allowBlank="1" showInputMessage="1" showErrorMessage="1" prompt="Wpisz nazwę Beneficjenta" sqref="B6 B3:B4"/>
    <dataValidation type="list" allowBlank="1" showInputMessage="1" showErrorMessage="1" sqref="D6">
      <formula1>$A$72:$A$73</formula1>
    </dataValidation>
    <dataValidation type="list" allowBlank="1" showInputMessage="1" showErrorMessage="1" sqref="D7">
      <formula1>$A$74:$A$75</formula1>
    </dataValidation>
  </dataValidations>
  <printOptions verticalCentered="1"/>
  <pageMargins left="0.78740157480314965" right="0.78740157480314965" top="0.39370078740157483" bottom="0.39370078740157483" header="0.39370078740157483" footer="0.39370078740157483"/>
  <pageSetup paperSize="9" scale="22" orientation="portrait" r:id="rId1"/>
  <headerFooter alignWithMargins="0">
    <oddHeader>&amp;LZałącznik do opinii finansowej - wyniki oceny bieżącej i prognozowanej sytuacji finansowej Wnioskodawcy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X291"/>
  <sheetViews>
    <sheetView showGridLines="0" zoomScale="85" zoomScaleNormal="85" zoomScaleSheetLayoutView="85" workbookViewId="0"/>
  </sheetViews>
  <sheetFormatPr defaultColWidth="0" defaultRowHeight="12.75" zeroHeight="1"/>
  <cols>
    <col min="1" max="1" width="5.7109375" style="5" customWidth="1"/>
    <col min="2" max="2" width="4.7109375" style="11" customWidth="1"/>
    <col min="3" max="3" width="63.140625" style="5" customWidth="1"/>
    <col min="4" max="4" width="10.7109375" style="11" customWidth="1"/>
    <col min="5" max="6" width="18.7109375" style="5" customWidth="1"/>
    <col min="7" max="7" width="18.7109375" style="11" customWidth="1"/>
    <col min="8" max="8" width="10.7109375" style="5" customWidth="1"/>
    <col min="9" max="12" width="20.7109375" style="5" customWidth="1"/>
    <col min="13" max="13" width="14.7109375" style="5" customWidth="1"/>
    <col min="14" max="14" width="13.85546875" style="5" hidden="1" customWidth="1"/>
    <col min="15" max="16" width="10.7109375" style="5" hidden="1" customWidth="1"/>
    <col min="17" max="17" width="14.42578125" style="5" hidden="1" customWidth="1"/>
    <col min="18" max="24" width="10.7109375" style="5" hidden="1" customWidth="1"/>
    <col min="25" max="16384" width="9.140625" style="5" hidden="1"/>
  </cols>
  <sheetData>
    <row r="1" spans="2:9" ht="20.100000000000001" customHeight="1">
      <c r="C1" s="12"/>
      <c r="D1" s="5"/>
      <c r="G1" s="5"/>
    </row>
    <row r="2" spans="2:9" ht="30" customHeight="1">
      <c r="B2" s="180" t="s">
        <v>31</v>
      </c>
      <c r="C2" s="181"/>
      <c r="D2" s="181"/>
      <c r="E2" s="181"/>
      <c r="F2" s="181"/>
      <c r="G2" s="181"/>
      <c r="H2" s="181"/>
      <c r="I2" s="196"/>
    </row>
    <row r="3" spans="2:9" ht="20.100000000000001" customHeight="1">
      <c r="B3" s="77" t="s">
        <v>144</v>
      </c>
      <c r="C3" s="83" t="s">
        <v>23</v>
      </c>
      <c r="D3" s="180" t="s">
        <v>24</v>
      </c>
      <c r="E3" s="181"/>
      <c r="F3" s="181"/>
      <c r="G3" s="196"/>
      <c r="H3" s="77" t="s">
        <v>25</v>
      </c>
      <c r="I3" s="77" t="s">
        <v>26</v>
      </c>
    </row>
    <row r="4" spans="2:9" ht="15" customHeight="1">
      <c r="B4" s="197" t="s">
        <v>150</v>
      </c>
      <c r="C4" s="199" t="s">
        <v>241</v>
      </c>
      <c r="D4" s="201" t="s">
        <v>223</v>
      </c>
      <c r="E4" s="202"/>
      <c r="F4" s="202"/>
      <c r="G4" s="203"/>
      <c r="H4" s="14">
        <v>10</v>
      </c>
      <c r="I4" s="204">
        <f>IF(OR(ISNUMBER(Wyniki!E57),ISNUMBER(Wyniki!F57),ISNUMBER(Wyniki!G57)),Wyniki!E77,0)</f>
        <v>0</v>
      </c>
    </row>
    <row r="5" spans="2:9" ht="15" customHeight="1">
      <c r="B5" s="197"/>
      <c r="C5" s="199"/>
      <c r="D5" s="207" t="s">
        <v>42</v>
      </c>
      <c r="E5" s="208"/>
      <c r="F5" s="208"/>
      <c r="G5" s="209"/>
      <c r="H5" s="14">
        <v>6</v>
      </c>
      <c r="I5" s="205"/>
    </row>
    <row r="6" spans="2:9" ht="15" customHeight="1">
      <c r="B6" s="197"/>
      <c r="C6" s="199"/>
      <c r="D6" s="207" t="s">
        <v>43</v>
      </c>
      <c r="E6" s="208"/>
      <c r="F6" s="208"/>
      <c r="G6" s="209"/>
      <c r="H6" s="14">
        <v>3</v>
      </c>
      <c r="I6" s="205"/>
    </row>
    <row r="7" spans="2:9" ht="15" customHeight="1">
      <c r="B7" s="198"/>
      <c r="C7" s="200"/>
      <c r="D7" s="210" t="s">
        <v>44</v>
      </c>
      <c r="E7" s="211"/>
      <c r="F7" s="211"/>
      <c r="G7" s="212"/>
      <c r="H7" s="15">
        <v>2</v>
      </c>
      <c r="I7" s="206"/>
    </row>
    <row r="8" spans="2:9" ht="15" customHeight="1">
      <c r="B8" s="213" t="s">
        <v>151</v>
      </c>
      <c r="C8" s="214" t="s">
        <v>242</v>
      </c>
      <c r="D8" s="201" t="s">
        <v>47</v>
      </c>
      <c r="E8" s="202"/>
      <c r="F8" s="202"/>
      <c r="G8" s="203"/>
      <c r="H8" s="14">
        <v>10</v>
      </c>
      <c r="I8" s="204">
        <f>IF(OR(ISNUMBER(Wyniki!E58),ISNUMBER(Wyniki!F58),ISNUMBER(Wyniki!G58)),Wyniki!E78,0)</f>
        <v>0</v>
      </c>
    </row>
    <row r="9" spans="2:9" ht="15" customHeight="1">
      <c r="B9" s="197"/>
      <c r="C9" s="199"/>
      <c r="D9" s="207" t="s">
        <v>48</v>
      </c>
      <c r="E9" s="208"/>
      <c r="F9" s="208"/>
      <c r="G9" s="209"/>
      <c r="H9" s="14">
        <v>8</v>
      </c>
      <c r="I9" s="205"/>
    </row>
    <row r="10" spans="2:9" ht="15" customHeight="1">
      <c r="B10" s="197"/>
      <c r="C10" s="199"/>
      <c r="D10" s="207" t="s">
        <v>49</v>
      </c>
      <c r="E10" s="208"/>
      <c r="F10" s="208"/>
      <c r="G10" s="209"/>
      <c r="H10" s="14">
        <v>0</v>
      </c>
      <c r="I10" s="205"/>
    </row>
    <row r="11" spans="2:9" ht="15" customHeight="1">
      <c r="B11" s="198"/>
      <c r="C11" s="200"/>
      <c r="D11" s="210" t="s">
        <v>44</v>
      </c>
      <c r="E11" s="211"/>
      <c r="F11" s="211"/>
      <c r="G11" s="212"/>
      <c r="H11" s="15">
        <v>5</v>
      </c>
      <c r="I11" s="206"/>
    </row>
    <row r="12" spans="2:9" ht="15" customHeight="1">
      <c r="B12" s="213" t="s">
        <v>152</v>
      </c>
      <c r="C12" s="214" t="s">
        <v>243</v>
      </c>
      <c r="D12" s="201" t="s">
        <v>217</v>
      </c>
      <c r="E12" s="202"/>
      <c r="F12" s="202"/>
      <c r="G12" s="203"/>
      <c r="H12" s="14">
        <v>10</v>
      </c>
      <c r="I12" s="215">
        <f>ROUND(Wyniki!E79,0)</f>
        <v>0</v>
      </c>
    </row>
    <row r="13" spans="2:9" ht="15" customHeight="1">
      <c r="B13" s="197"/>
      <c r="C13" s="199"/>
      <c r="D13" s="207" t="s">
        <v>45</v>
      </c>
      <c r="E13" s="208"/>
      <c r="F13" s="208"/>
      <c r="G13" s="209"/>
      <c r="H13" s="16" t="s">
        <v>28</v>
      </c>
      <c r="I13" s="205"/>
    </row>
    <row r="14" spans="2:9" ht="15" customHeight="1">
      <c r="B14" s="197"/>
      <c r="C14" s="199"/>
      <c r="D14" s="216" t="s">
        <v>46</v>
      </c>
      <c r="E14" s="217"/>
      <c r="F14" s="217"/>
      <c r="G14" s="218"/>
      <c r="H14" s="65">
        <v>0</v>
      </c>
      <c r="I14" s="205"/>
    </row>
    <row r="15" spans="2:9" ht="15" customHeight="1">
      <c r="B15" s="198"/>
      <c r="C15" s="200"/>
      <c r="D15" s="210" t="s">
        <v>225</v>
      </c>
      <c r="E15" s="211"/>
      <c r="F15" s="211"/>
      <c r="G15" s="212"/>
      <c r="H15" s="17">
        <v>0</v>
      </c>
      <c r="I15" s="206"/>
    </row>
    <row r="16" spans="2:9" ht="15" customHeight="1">
      <c r="B16" s="213" t="s">
        <v>153</v>
      </c>
      <c r="C16" s="214" t="s">
        <v>244</v>
      </c>
      <c r="D16" s="201" t="s">
        <v>218</v>
      </c>
      <c r="E16" s="202"/>
      <c r="F16" s="202"/>
      <c r="G16" s="203"/>
      <c r="H16" s="71">
        <v>10</v>
      </c>
      <c r="I16" s="204">
        <f>ROUND(Wyniki!E80,0)</f>
        <v>0</v>
      </c>
    </row>
    <row r="17" spans="2:9" ht="15" customHeight="1">
      <c r="B17" s="197"/>
      <c r="C17" s="199"/>
      <c r="D17" s="207" t="s">
        <v>155</v>
      </c>
      <c r="E17" s="208"/>
      <c r="F17" s="208"/>
      <c r="G17" s="209"/>
      <c r="H17" s="18" t="s">
        <v>262</v>
      </c>
      <c r="I17" s="205"/>
    </row>
    <row r="18" spans="2:9" ht="15" customHeight="1">
      <c r="B18" s="198"/>
      <c r="C18" s="200"/>
      <c r="D18" s="210" t="s">
        <v>156</v>
      </c>
      <c r="E18" s="211"/>
      <c r="F18" s="211"/>
      <c r="G18" s="212"/>
      <c r="H18" s="68">
        <v>0</v>
      </c>
      <c r="I18" s="206"/>
    </row>
    <row r="19" spans="2:9" ht="15" customHeight="1">
      <c r="B19" s="213" t="s">
        <v>154</v>
      </c>
      <c r="C19" s="214" t="s">
        <v>245</v>
      </c>
      <c r="D19" s="201" t="s">
        <v>219</v>
      </c>
      <c r="E19" s="202"/>
      <c r="F19" s="202"/>
      <c r="G19" s="203"/>
      <c r="H19" s="14">
        <v>5</v>
      </c>
      <c r="I19" s="204">
        <f>ROUND(Wyniki!E81,0)</f>
        <v>0</v>
      </c>
    </row>
    <row r="20" spans="2:9" ht="15" customHeight="1">
      <c r="B20" s="197"/>
      <c r="C20" s="199"/>
      <c r="D20" s="207" t="s">
        <v>50</v>
      </c>
      <c r="E20" s="208"/>
      <c r="F20" s="208"/>
      <c r="G20" s="209"/>
      <c r="H20" s="16" t="s">
        <v>52</v>
      </c>
      <c r="I20" s="205"/>
    </row>
    <row r="21" spans="2:9" ht="15" customHeight="1">
      <c r="B21" s="198"/>
      <c r="C21" s="200"/>
      <c r="D21" s="210" t="s">
        <v>46</v>
      </c>
      <c r="E21" s="211"/>
      <c r="F21" s="211"/>
      <c r="G21" s="212"/>
      <c r="H21" s="15">
        <v>0</v>
      </c>
      <c r="I21" s="206"/>
    </row>
    <row r="22" spans="2:9" ht="15" customHeight="1">
      <c r="B22" s="213" t="s">
        <v>157</v>
      </c>
      <c r="C22" s="214" t="s">
        <v>246</v>
      </c>
      <c r="D22" s="201" t="s">
        <v>220</v>
      </c>
      <c r="E22" s="202"/>
      <c r="F22" s="202"/>
      <c r="G22" s="203"/>
      <c r="H22" s="14">
        <v>5</v>
      </c>
      <c r="I22" s="204">
        <f>ROUND(Wyniki!E82,0)</f>
        <v>0</v>
      </c>
    </row>
    <row r="23" spans="2:9" ht="15" customHeight="1">
      <c r="B23" s="197"/>
      <c r="C23" s="199"/>
      <c r="D23" s="207" t="s">
        <v>51</v>
      </c>
      <c r="E23" s="208"/>
      <c r="F23" s="208"/>
      <c r="G23" s="209"/>
      <c r="H23" s="19" t="s">
        <v>263</v>
      </c>
      <c r="I23" s="205"/>
    </row>
    <row r="24" spans="2:9" ht="15" customHeight="1">
      <c r="B24" s="198"/>
      <c r="C24" s="200"/>
      <c r="D24" s="210" t="s">
        <v>77</v>
      </c>
      <c r="E24" s="211"/>
      <c r="F24" s="211"/>
      <c r="G24" s="212"/>
      <c r="H24" s="15">
        <v>0</v>
      </c>
      <c r="I24" s="206"/>
    </row>
    <row r="25" spans="2:9" ht="15" customHeight="1">
      <c r="B25" s="204" t="s">
        <v>168</v>
      </c>
      <c r="C25" s="230" t="s">
        <v>247</v>
      </c>
      <c r="D25" s="232" t="s">
        <v>221</v>
      </c>
      <c r="E25" s="233"/>
      <c r="F25" s="233"/>
      <c r="G25" s="234"/>
      <c r="H25" s="69">
        <v>0</v>
      </c>
      <c r="I25" s="204">
        <f>IF(OR(ISNUMBER(Wyniki!E63),ISNUMBER(Wyniki!F63),ISNUMBER(Wyniki!G63)),Wyniki!E83,0)</f>
        <v>0</v>
      </c>
    </row>
    <row r="26" spans="2:9" ht="15" customHeight="1">
      <c r="B26" s="205"/>
      <c r="C26" s="231"/>
      <c r="D26" s="237" t="s">
        <v>75</v>
      </c>
      <c r="E26" s="238"/>
      <c r="F26" s="238"/>
      <c r="G26" s="239"/>
      <c r="H26" s="70" t="s">
        <v>28</v>
      </c>
      <c r="I26" s="205"/>
    </row>
    <row r="27" spans="2:9" ht="20.100000000000001" customHeight="1">
      <c r="B27" s="235" t="s">
        <v>169</v>
      </c>
      <c r="C27" s="219" t="s">
        <v>248</v>
      </c>
      <c r="D27" s="221" t="s">
        <v>222</v>
      </c>
      <c r="E27" s="222"/>
      <c r="F27" s="222"/>
      <c r="G27" s="223"/>
      <c r="H27" s="69">
        <v>10</v>
      </c>
      <c r="I27" s="204">
        <f>ROUND(Wyniki!E84,0)</f>
        <v>0</v>
      </c>
    </row>
    <row r="28" spans="2:9" ht="20.100000000000001" customHeight="1">
      <c r="B28" s="235"/>
      <c r="C28" s="219"/>
      <c r="D28" s="224" t="s">
        <v>9</v>
      </c>
      <c r="E28" s="225"/>
      <c r="F28" s="225"/>
      <c r="G28" s="226"/>
      <c r="H28" s="20" t="s">
        <v>262</v>
      </c>
      <c r="I28" s="205"/>
    </row>
    <row r="29" spans="2:9" ht="20.100000000000001" customHeight="1">
      <c r="B29" s="236"/>
      <c r="C29" s="220"/>
      <c r="D29" s="227" t="s">
        <v>29</v>
      </c>
      <c r="E29" s="228"/>
      <c r="F29" s="228"/>
      <c r="G29" s="229"/>
      <c r="H29" s="70">
        <v>0</v>
      </c>
      <c r="I29" s="205"/>
    </row>
    <row r="30" spans="2:9" ht="15" customHeight="1">
      <c r="B30" s="213" t="s">
        <v>183</v>
      </c>
      <c r="C30" s="214" t="s">
        <v>249</v>
      </c>
      <c r="D30" s="201" t="s">
        <v>78</v>
      </c>
      <c r="E30" s="202"/>
      <c r="F30" s="202"/>
      <c r="G30" s="203"/>
      <c r="H30" s="14">
        <v>10</v>
      </c>
      <c r="I30" s="215">
        <f>ROUND(Wyniki!E85,0)</f>
        <v>0</v>
      </c>
    </row>
    <row r="31" spans="2:9" ht="15" customHeight="1">
      <c r="B31" s="197"/>
      <c r="C31" s="199"/>
      <c r="D31" s="207" t="s">
        <v>91</v>
      </c>
      <c r="E31" s="208"/>
      <c r="F31" s="208"/>
      <c r="G31" s="209"/>
      <c r="H31" s="16" t="s">
        <v>28</v>
      </c>
      <c r="I31" s="205"/>
    </row>
    <row r="32" spans="2:9" ht="15" customHeight="1">
      <c r="B32" s="198"/>
      <c r="C32" s="200"/>
      <c r="D32" s="210" t="s">
        <v>79</v>
      </c>
      <c r="E32" s="211"/>
      <c r="F32" s="211"/>
      <c r="G32" s="212"/>
      <c r="H32" s="15">
        <v>0</v>
      </c>
      <c r="I32" s="206"/>
    </row>
    <row r="33" spans="2:9" ht="15" customHeight="1">
      <c r="B33" s="213" t="s">
        <v>189</v>
      </c>
      <c r="C33" s="214" t="s">
        <v>250</v>
      </c>
      <c r="D33" s="201" t="s">
        <v>218</v>
      </c>
      <c r="E33" s="202"/>
      <c r="F33" s="202"/>
      <c r="G33" s="203"/>
      <c r="H33" s="14">
        <v>5</v>
      </c>
      <c r="I33" s="204">
        <f>ROUND(E86,0)</f>
        <v>0</v>
      </c>
    </row>
    <row r="34" spans="2:9" ht="15" customHeight="1">
      <c r="B34" s="197"/>
      <c r="C34" s="199"/>
      <c r="D34" s="207" t="s">
        <v>27</v>
      </c>
      <c r="E34" s="208"/>
      <c r="F34" s="208"/>
      <c r="G34" s="209"/>
      <c r="H34" s="19" t="s">
        <v>263</v>
      </c>
      <c r="I34" s="205"/>
    </row>
    <row r="35" spans="2:9" ht="15" customHeight="1">
      <c r="B35" s="198"/>
      <c r="C35" s="200"/>
      <c r="D35" s="210" t="s">
        <v>76</v>
      </c>
      <c r="E35" s="211"/>
      <c r="F35" s="211"/>
      <c r="G35" s="212"/>
      <c r="H35" s="15">
        <v>0</v>
      </c>
      <c r="I35" s="206"/>
    </row>
    <row r="36" spans="2:9" ht="20.100000000000001" customHeight="1">
      <c r="B36" s="213" t="s">
        <v>190</v>
      </c>
      <c r="C36" s="214" t="s">
        <v>251</v>
      </c>
      <c r="D36" s="201" t="s">
        <v>53</v>
      </c>
      <c r="E36" s="202"/>
      <c r="F36" s="202"/>
      <c r="G36" s="203"/>
      <c r="H36" s="14">
        <v>5</v>
      </c>
      <c r="I36" s="204">
        <f>ROUND(Wyniki!E87,0)</f>
        <v>0</v>
      </c>
    </row>
    <row r="37" spans="2:9" ht="20.100000000000001" customHeight="1">
      <c r="B37" s="198"/>
      <c r="C37" s="200"/>
      <c r="D37" s="210" t="s">
        <v>54</v>
      </c>
      <c r="E37" s="211"/>
      <c r="F37" s="211"/>
      <c r="G37" s="212"/>
      <c r="H37" s="15">
        <v>0</v>
      </c>
      <c r="I37" s="206"/>
    </row>
    <row r="38" spans="2:9" ht="24.95" customHeight="1">
      <c r="B38" s="235" t="s">
        <v>36</v>
      </c>
      <c r="C38" s="214" t="s">
        <v>252</v>
      </c>
      <c r="D38" s="221" t="s">
        <v>222</v>
      </c>
      <c r="E38" s="222"/>
      <c r="F38" s="222"/>
      <c r="G38" s="223"/>
      <c r="H38" s="74">
        <v>10</v>
      </c>
      <c r="I38" s="215" t="str">
        <f>IF(ISNUMBER(E88),ROUND(Wyniki!E88,0),"0")</f>
        <v>0</v>
      </c>
    </row>
    <row r="39" spans="2:9" ht="24.95" customHeight="1">
      <c r="B39" s="235"/>
      <c r="C39" s="240"/>
      <c r="D39" s="224" t="s">
        <v>55</v>
      </c>
      <c r="E39" s="225"/>
      <c r="F39" s="225"/>
      <c r="G39" s="226"/>
      <c r="H39" s="21" t="s">
        <v>262</v>
      </c>
      <c r="I39" s="205"/>
    </row>
    <row r="40" spans="2:9" ht="24.95" customHeight="1">
      <c r="B40" s="235"/>
      <c r="C40" s="241"/>
      <c r="D40" s="227" t="s">
        <v>57</v>
      </c>
      <c r="E40" s="228"/>
      <c r="F40" s="228"/>
      <c r="G40" s="229"/>
      <c r="H40" s="22">
        <v>0</v>
      </c>
      <c r="I40" s="206"/>
    </row>
    <row r="41" spans="2:9" ht="30" customHeight="1">
      <c r="B41" s="244" t="s">
        <v>30</v>
      </c>
      <c r="C41" s="245"/>
      <c r="D41" s="245"/>
      <c r="E41" s="245"/>
      <c r="F41" s="245"/>
      <c r="G41" s="246"/>
      <c r="H41" s="23"/>
      <c r="I41" s="24">
        <f>SUM(I4:I40)</f>
        <v>0</v>
      </c>
    </row>
    <row r="42" spans="2:9" ht="30" customHeight="1">
      <c r="B42" s="242" t="s">
        <v>127</v>
      </c>
      <c r="C42" s="247"/>
      <c r="D42" s="247"/>
      <c r="E42" s="247"/>
      <c r="F42" s="247"/>
      <c r="G42" s="243"/>
      <c r="H42" s="248" t="str">
        <f>IF(I41&gt;75,"Wysoka",IF(I41&gt;59,"Dobra",IF(I41&gt;49,"Zadawalająca",IF(I41&gt;32,"Niska","Zła/trudności finansowe"))))</f>
        <v>Zła/trudności finansowe</v>
      </c>
      <c r="I42" s="249"/>
    </row>
    <row r="43" spans="2:9" ht="30" customHeight="1">
      <c r="B43" s="250" t="str">
        <f>IF('Dane finansowe'!B2="","",'Dane finansowe'!B2)</f>
        <v>Nazwa Beneficjenta:</v>
      </c>
      <c r="C43" s="251"/>
      <c r="D43" s="244" t="str">
        <f>IF('Dane finansowe'!E2="","",'Dane finansowe'!E2)</f>
        <v/>
      </c>
      <c r="E43" s="252"/>
      <c r="F43" s="252"/>
      <c r="G43" s="252"/>
      <c r="H43" s="252"/>
      <c r="I43" s="253"/>
    </row>
    <row r="44" spans="2:9" ht="30" customHeight="1">
      <c r="B44" s="250" t="str">
        <f>IF('Dane finansowe'!B4="","",'Dane finansowe'!B4)</f>
        <v xml:space="preserve">Nazwa Programu priorytowego/Komentarz </v>
      </c>
      <c r="C44" s="251"/>
      <c r="D44" s="244" t="str">
        <f>IF('Dane finansowe'!E4="","",'Dane finansowe'!E4)</f>
        <v/>
      </c>
      <c r="E44" s="252"/>
      <c r="F44" s="252"/>
      <c r="G44" s="252"/>
      <c r="H44" s="252"/>
      <c r="I44" s="253"/>
    </row>
    <row r="45" spans="2:9" ht="30" customHeight="1">
      <c r="B45" s="255" t="s">
        <v>56</v>
      </c>
      <c r="C45" s="256"/>
      <c r="D45" s="256"/>
      <c r="E45" s="256"/>
      <c r="F45" s="256"/>
      <c r="G45" s="256"/>
      <c r="H45" s="256"/>
      <c r="I45" s="257"/>
    </row>
    <row r="46" spans="2:9" s="27" customFormat="1" ht="20.100000000000001" customHeight="1">
      <c r="B46" s="25" t="s">
        <v>144</v>
      </c>
      <c r="C46" s="26" t="s">
        <v>127</v>
      </c>
      <c r="D46" s="258" t="s">
        <v>128</v>
      </c>
      <c r="E46" s="259"/>
      <c r="F46" s="259"/>
      <c r="G46" s="259"/>
      <c r="H46" s="259"/>
      <c r="I46" s="260"/>
    </row>
    <row r="47" spans="2:9" ht="20.100000000000001" customHeight="1">
      <c r="B47" s="4" t="s">
        <v>150</v>
      </c>
      <c r="C47" s="91" t="s">
        <v>159</v>
      </c>
      <c r="D47" s="254" t="s">
        <v>145</v>
      </c>
      <c r="E47" s="254"/>
      <c r="F47" s="254"/>
      <c r="G47" s="254"/>
      <c r="H47" s="254"/>
      <c r="I47" s="254"/>
    </row>
    <row r="48" spans="2:9" ht="20.100000000000001" customHeight="1">
      <c r="B48" s="4" t="s">
        <v>151</v>
      </c>
      <c r="C48" s="91" t="s">
        <v>160</v>
      </c>
      <c r="D48" s="254" t="s">
        <v>146</v>
      </c>
      <c r="E48" s="254"/>
      <c r="F48" s="254"/>
      <c r="G48" s="254"/>
      <c r="H48" s="254"/>
      <c r="I48" s="254"/>
    </row>
    <row r="49" spans="2:9" ht="20.100000000000001" customHeight="1">
      <c r="B49" s="4" t="s">
        <v>152</v>
      </c>
      <c r="C49" s="91" t="s">
        <v>161</v>
      </c>
      <c r="D49" s="254" t="s">
        <v>147</v>
      </c>
      <c r="E49" s="254"/>
      <c r="F49" s="254"/>
      <c r="G49" s="254"/>
      <c r="H49" s="254"/>
      <c r="I49" s="254"/>
    </row>
    <row r="50" spans="2:9" ht="20.100000000000001" customHeight="1">
      <c r="B50" s="4" t="s">
        <v>153</v>
      </c>
      <c r="C50" s="91" t="s">
        <v>162</v>
      </c>
      <c r="D50" s="254" t="s">
        <v>148</v>
      </c>
      <c r="E50" s="254"/>
      <c r="F50" s="254"/>
      <c r="G50" s="254"/>
      <c r="H50" s="254"/>
      <c r="I50" s="254"/>
    </row>
    <row r="51" spans="2:9" ht="20.100000000000001" customHeight="1">
      <c r="B51" s="4" t="s">
        <v>154</v>
      </c>
      <c r="C51" s="91" t="s">
        <v>163</v>
      </c>
      <c r="D51" s="254" t="s">
        <v>149</v>
      </c>
      <c r="E51" s="254"/>
      <c r="F51" s="254"/>
      <c r="G51" s="254"/>
      <c r="H51" s="254"/>
      <c r="I51" s="254"/>
    </row>
    <row r="52" spans="2:9" ht="15" customHeight="1">
      <c r="C52" s="12"/>
      <c r="D52" s="5"/>
      <c r="F52" s="28"/>
      <c r="G52" s="5"/>
    </row>
    <row r="53" spans="2:9" ht="20.100000000000001" customHeight="1">
      <c r="C53" s="12"/>
      <c r="D53" s="5"/>
      <c r="F53" s="28"/>
      <c r="G53" s="5"/>
    </row>
    <row r="54" spans="2:9" s="29" customFormat="1" ht="15" customHeight="1"/>
    <row r="55" spans="2:9" ht="30" customHeight="1">
      <c r="B55" s="274" t="s">
        <v>113</v>
      </c>
      <c r="C55" s="274"/>
      <c r="D55" s="274"/>
      <c r="E55" s="274"/>
      <c r="F55" s="274"/>
      <c r="G55" s="274"/>
      <c r="H55" s="274"/>
      <c r="I55" s="274"/>
    </row>
    <row r="56" spans="2:9" s="31" customFormat="1" ht="26.1" customHeight="1">
      <c r="B56" s="13" t="s">
        <v>144</v>
      </c>
      <c r="C56" s="30" t="s">
        <v>158</v>
      </c>
      <c r="D56" s="30" t="s">
        <v>1</v>
      </c>
      <c r="E56" s="297">
        <f>'Dane finansowe'!E22</f>
        <v>2019</v>
      </c>
      <c r="F56" s="297">
        <f>'Dane finansowe'!F22</f>
        <v>2020</v>
      </c>
      <c r="G56" s="297">
        <f>'Dane finansowe'!G22</f>
        <v>2021</v>
      </c>
      <c r="H56" s="248" t="s">
        <v>112</v>
      </c>
      <c r="I56" s="249"/>
    </row>
    <row r="57" spans="2:9" ht="26.1" customHeight="1">
      <c r="B57" s="75" t="s">
        <v>150</v>
      </c>
      <c r="C57" s="91" t="s">
        <v>193</v>
      </c>
      <c r="D57" s="4" t="str">
        <f>IF('Dane finansowe'!D7="","",'Dane finansowe'!D7)</f>
        <v>zł</v>
      </c>
      <c r="E57" s="281" t="str">
        <f>IF('Dane finansowe'!E23=0,"",('Dane finansowe'!E23))</f>
        <v/>
      </c>
      <c r="F57" s="281" t="str">
        <f>IF('Dane finansowe'!F23=0,"",('Dane finansowe'!F23))</f>
        <v/>
      </c>
      <c r="G57" s="281" t="str">
        <f>IF('Dane finansowe'!G23=0,"",('Dane finansowe'!G23))</f>
        <v/>
      </c>
      <c r="H57" s="235" t="s">
        <v>98</v>
      </c>
      <c r="I57" s="296"/>
    </row>
    <row r="58" spans="2:9" ht="26.1" customHeight="1">
      <c r="B58" s="75" t="s">
        <v>151</v>
      </c>
      <c r="C58" s="91" t="s">
        <v>194</v>
      </c>
      <c r="D58" s="69" t="s">
        <v>188</v>
      </c>
      <c r="E58" s="285" t="str">
        <f>IF('Dane finansowe'!E23=0,"",'Dane finansowe'!E26/'Dane finansowe'!E23)</f>
        <v/>
      </c>
      <c r="F58" s="285" t="str">
        <f>IF('Dane finansowe'!F23=0,"",'Dane finansowe'!F26/'Dane finansowe'!F23)</f>
        <v/>
      </c>
      <c r="G58" s="285" t="str">
        <f>IF('Dane finansowe'!G23=0,"",'Dane finansowe'!G26/'Dane finansowe'!G23)</f>
        <v/>
      </c>
      <c r="H58" s="235" t="s">
        <v>99</v>
      </c>
      <c r="I58" s="296"/>
    </row>
    <row r="59" spans="2:9" ht="26.1" customHeight="1">
      <c r="B59" s="75" t="s">
        <v>152</v>
      </c>
      <c r="C59" s="91" t="s">
        <v>195</v>
      </c>
      <c r="D59" s="4" t="s">
        <v>188</v>
      </c>
      <c r="E59" s="293" t="str">
        <f>IF('Dane finansowe'!E45=0,"",'Dane finansowe'!E30/'Dane finansowe'!E45)</f>
        <v/>
      </c>
      <c r="F59" s="293" t="str">
        <f>IF('Dane finansowe'!F45=0,"",'Dane finansowe'!F30/'Dane finansowe'!F45)</f>
        <v/>
      </c>
      <c r="G59" s="293" t="str">
        <f>IF('Dane finansowe'!G45=0,"",'Dane finansowe'!G30/'Dane finansowe'!G45)</f>
        <v/>
      </c>
      <c r="H59" s="235" t="s">
        <v>97</v>
      </c>
      <c r="I59" s="296"/>
    </row>
    <row r="60" spans="2:9" ht="26.1" customHeight="1">
      <c r="B60" s="75" t="s">
        <v>153</v>
      </c>
      <c r="C60" s="91" t="s">
        <v>196</v>
      </c>
      <c r="D60" s="4" t="s">
        <v>5</v>
      </c>
      <c r="E60" s="287" t="str">
        <f>IF(ISNUMBER('Dane finansowe'!E49),IF('Dane finansowe'!E49=0,1.1,('Dane finansowe'!E34-'Dane finansowe'!E35)/'Dane finansowe'!E49),"")</f>
        <v/>
      </c>
      <c r="F60" s="287" t="str">
        <f>IF(ISNUMBER('Dane finansowe'!F49),IF('Dane finansowe'!F49=0,1.1,('Dane finansowe'!F34-'Dane finansowe'!F35)/'Dane finansowe'!F49),"")</f>
        <v/>
      </c>
      <c r="G60" s="287" t="str">
        <f>IF(ISNUMBER('Dane finansowe'!G49),IF('Dane finansowe'!G49=0,1.1,('Dane finansowe'!G34-'Dane finansowe'!G35)/'Dane finansowe'!G49),"")</f>
        <v/>
      </c>
      <c r="H60" s="235" t="s">
        <v>100</v>
      </c>
      <c r="I60" s="296"/>
    </row>
    <row r="61" spans="2:9" ht="26.1" customHeight="1">
      <c r="B61" s="75" t="s">
        <v>154</v>
      </c>
      <c r="C61" s="91" t="s">
        <v>197</v>
      </c>
      <c r="D61" s="4" t="s">
        <v>188</v>
      </c>
      <c r="E61" s="293" t="str">
        <f>IF('Dane finansowe'!E46=0,"",'Dane finansowe'!E54/'Dane finansowe'!E46)</f>
        <v/>
      </c>
      <c r="F61" s="293" t="str">
        <f>IF('Dane finansowe'!F46=0,"",'Dane finansowe'!F54/'Dane finansowe'!F46)</f>
        <v/>
      </c>
      <c r="G61" s="293" t="str">
        <f>IF('Dane finansowe'!G46=0,"",'Dane finansowe'!G54/'Dane finansowe'!G46)</f>
        <v/>
      </c>
      <c r="H61" s="235" t="s">
        <v>101</v>
      </c>
      <c r="I61" s="296"/>
    </row>
    <row r="62" spans="2:9" ht="26.1" customHeight="1">
      <c r="B62" s="75" t="s">
        <v>157</v>
      </c>
      <c r="C62" s="91" t="s">
        <v>198</v>
      </c>
      <c r="D62" s="4" t="s">
        <v>188</v>
      </c>
      <c r="E62" s="293" t="str">
        <f>IF('Dane finansowe'!E42=0,"",'Dane finansowe'!E45/'Dane finansowe'!E42)</f>
        <v/>
      </c>
      <c r="F62" s="293" t="str">
        <f>IF('Dane finansowe'!F42=0,"",'Dane finansowe'!F45/'Dane finansowe'!F42)</f>
        <v/>
      </c>
      <c r="G62" s="293" t="str">
        <f>IF('Dane finansowe'!G42=0,"",'Dane finansowe'!G45/'Dane finansowe'!G42)</f>
        <v/>
      </c>
      <c r="H62" s="235" t="s">
        <v>102</v>
      </c>
      <c r="I62" s="296"/>
    </row>
    <row r="63" spans="2:9" ht="26.1" customHeight="1">
      <c r="B63" s="75" t="s">
        <v>168</v>
      </c>
      <c r="C63" s="91" t="s">
        <v>199</v>
      </c>
      <c r="D63" s="4" t="s">
        <v>5</v>
      </c>
      <c r="E63" s="281" t="str">
        <f>IF('Dane finansowe'!E42=0,"",('Dane finansowe'!E46-'Dane finansowe'!E50)/'Dane finansowe'!E42)</f>
        <v/>
      </c>
      <c r="F63" s="281" t="str">
        <f>IF('Dane finansowe'!F42=0,"",('Dane finansowe'!F46-'Dane finansowe'!F50)/'Dane finansowe'!F42)</f>
        <v/>
      </c>
      <c r="G63" s="281" t="str">
        <f>IF('Dane finansowe'!G42=0,"",('Dane finansowe'!G46-'Dane finansowe'!G50)/'Dane finansowe'!G42)</f>
        <v/>
      </c>
      <c r="H63" s="235" t="s">
        <v>103</v>
      </c>
      <c r="I63" s="296"/>
    </row>
    <row r="64" spans="2:9" ht="57.75" customHeight="1">
      <c r="B64" s="75" t="s">
        <v>169</v>
      </c>
      <c r="C64" s="91" t="s">
        <v>200</v>
      </c>
      <c r="D64" s="4" t="s">
        <v>74</v>
      </c>
      <c r="E64" s="298">
        <f>IF(E185=0,0,IF(E185="","",E186))</f>
        <v>0</v>
      </c>
      <c r="F64" s="298">
        <f t="shared" ref="F64:G64" si="0">IF(F185=0,0,IF(F185="","",F186))</f>
        <v>0</v>
      </c>
      <c r="G64" s="298">
        <f t="shared" si="0"/>
        <v>0</v>
      </c>
      <c r="H64" s="235" t="s">
        <v>104</v>
      </c>
      <c r="I64" s="296"/>
    </row>
    <row r="65" spans="2:9" ht="37.5" customHeight="1">
      <c r="B65" s="75" t="s">
        <v>183</v>
      </c>
      <c r="C65" s="72" t="s">
        <v>201</v>
      </c>
      <c r="D65" s="193"/>
      <c r="E65" s="194"/>
      <c r="F65" s="194"/>
      <c r="G65" s="195"/>
      <c r="H65" s="235" t="s">
        <v>105</v>
      </c>
      <c r="I65" s="296"/>
    </row>
    <row r="66" spans="2:9" ht="26.1" customHeight="1">
      <c r="B66" s="4" t="s">
        <v>92</v>
      </c>
      <c r="C66" s="91" t="s">
        <v>80</v>
      </c>
      <c r="D66" s="32" t="s">
        <v>35</v>
      </c>
      <c r="E66" s="299" t="str">
        <f>IF('Dane finansowe'!E23=0,"",(('Dane finansowe'!E35/'Dane finansowe'!E23)*365))</f>
        <v/>
      </c>
      <c r="F66" s="299" t="str">
        <f>IF('Dane finansowe'!F23=0,"",(('Dane finansowe'!F35/'Dane finansowe'!F23)*365))</f>
        <v/>
      </c>
      <c r="G66" s="299" t="str">
        <f>IF('Dane finansowe'!G23=0,"",(('Dane finansowe'!G35/'Dane finansowe'!G23)*365))</f>
        <v/>
      </c>
      <c r="H66" s="235" t="s">
        <v>109</v>
      </c>
      <c r="I66" s="296"/>
    </row>
    <row r="67" spans="2:9" ht="26.1" customHeight="1">
      <c r="B67" s="4" t="s">
        <v>93</v>
      </c>
      <c r="C67" s="91" t="s">
        <v>81</v>
      </c>
      <c r="D67" s="33" t="s">
        <v>35</v>
      </c>
      <c r="E67" s="300" t="str">
        <f>IF('Dane finansowe'!E23=0,"",(('Dane finansowe'!E36/'Dane finansowe'!E23)*365))</f>
        <v/>
      </c>
      <c r="F67" s="300" t="str">
        <f>IF('Dane finansowe'!F23=0,"",(('Dane finansowe'!F36/'Dane finansowe'!F23)*365))</f>
        <v/>
      </c>
      <c r="G67" s="300" t="str">
        <f>IF('Dane finansowe'!G23=0,"",(('Dane finansowe'!G36/'Dane finansowe'!G23)*365))</f>
        <v/>
      </c>
      <c r="H67" s="235" t="s">
        <v>110</v>
      </c>
      <c r="I67" s="296"/>
    </row>
    <row r="68" spans="2:9" ht="26.1" customHeight="1">
      <c r="B68" s="4" t="s">
        <v>94</v>
      </c>
      <c r="C68" s="91" t="s">
        <v>82</v>
      </c>
      <c r="D68" s="33" t="s">
        <v>35</v>
      </c>
      <c r="E68" s="300" t="str">
        <f>IF('Dane finansowe'!E23=0,"",(('Dane finansowe'!E49/'Dane finansowe'!E23)*365))</f>
        <v/>
      </c>
      <c r="F68" s="300" t="str">
        <f>IF('Dane finansowe'!F23=0,"",(('Dane finansowe'!F49/'Dane finansowe'!F23)*365))</f>
        <v/>
      </c>
      <c r="G68" s="300" t="str">
        <f>IF('Dane finansowe'!G23=0,"",(('Dane finansowe'!G49/'Dane finansowe'!G23)*365))</f>
        <v/>
      </c>
      <c r="H68" s="235" t="s">
        <v>111</v>
      </c>
      <c r="I68" s="296"/>
    </row>
    <row r="69" spans="2:9" ht="26.1" customHeight="1">
      <c r="B69" s="75" t="s">
        <v>189</v>
      </c>
      <c r="C69" s="91" t="s">
        <v>202</v>
      </c>
      <c r="D69" s="4" t="s">
        <v>5</v>
      </c>
      <c r="E69" s="287" t="str">
        <f>IF('Dane finansowe'!E33=0,"",'Dane finansowe'!E45/'Dane finansowe'!E33)</f>
        <v/>
      </c>
      <c r="F69" s="287" t="str">
        <f>IF('Dane finansowe'!F33=0,"",'Dane finansowe'!F45/'Dane finansowe'!F33)</f>
        <v/>
      </c>
      <c r="G69" s="287" t="str">
        <f>IF('Dane finansowe'!G33=0,"",'Dane finansowe'!G45/'Dane finansowe'!G33)</f>
        <v/>
      </c>
      <c r="H69" s="235" t="s">
        <v>106</v>
      </c>
      <c r="I69" s="296"/>
    </row>
    <row r="70" spans="2:9" ht="26.1" customHeight="1">
      <c r="B70" s="75" t="s">
        <v>190</v>
      </c>
      <c r="C70" s="91" t="s">
        <v>203</v>
      </c>
      <c r="D70" s="4" t="s">
        <v>0</v>
      </c>
      <c r="E70" s="301" t="str">
        <f>IF('Dane finansowe'!E42=0,"",IF(E59&gt;(('Dane finansowe'!E30+'Dane finansowe'!E28+'Dane finansowe'!E29)/'Dane finansowe'!E42),"TAK","NIE"))</f>
        <v/>
      </c>
      <c r="F70" s="301" t="str">
        <f>IF('Dane finansowe'!F42=0,"",IF(F59&gt;(('Dane finansowe'!F30+'Dane finansowe'!F28+'Dane finansowe'!F29)/'Dane finansowe'!F42),"TAK","NIE"))</f>
        <v/>
      </c>
      <c r="G70" s="301" t="str">
        <f>IF('Dane finansowe'!G42=0,"",IF(G59&gt;(('Dane finansowe'!G30+'Dane finansowe'!G28+'Dane finansowe'!G29)/'Dane finansowe'!G42),"TAK","NIE"))</f>
        <v/>
      </c>
      <c r="H70" s="235" t="s">
        <v>107</v>
      </c>
      <c r="I70" s="296"/>
    </row>
    <row r="71" spans="2:9" ht="26.1" customHeight="1">
      <c r="B71" s="75" t="s">
        <v>36</v>
      </c>
      <c r="C71" s="91" t="s">
        <v>204</v>
      </c>
      <c r="D71" s="4" t="s">
        <v>5</v>
      </c>
      <c r="E71" s="287" t="str">
        <f>IF(ISNUMBER(E269),E269,"")</f>
        <v/>
      </c>
      <c r="F71" s="287" t="str">
        <f>IF(ISNUMBER(F269),F269,"")</f>
        <v/>
      </c>
      <c r="G71" s="287" t="str">
        <f>IF(ISNUMBER(G269),G269,"")</f>
        <v/>
      </c>
      <c r="H71" s="235" t="s">
        <v>108</v>
      </c>
      <c r="I71" s="296"/>
    </row>
    <row r="72" spans="2:9" ht="15" customHeight="1">
      <c r="B72" s="267" t="s">
        <v>10</v>
      </c>
      <c r="C72" s="267"/>
      <c r="D72" s="267"/>
      <c r="E72" s="267"/>
      <c r="F72" s="267"/>
      <c r="G72" s="267"/>
      <c r="H72" s="267"/>
      <c r="I72" s="267"/>
    </row>
    <row r="73" spans="2:9" ht="15" customHeight="1">
      <c r="B73" s="34"/>
      <c r="C73" s="35"/>
      <c r="D73" s="35"/>
      <c r="E73" s="35"/>
      <c r="F73" s="35"/>
      <c r="G73" s="35"/>
    </row>
    <row r="74" spans="2:9" ht="15" customHeight="1"/>
    <row r="75" spans="2:9" ht="30" customHeight="1">
      <c r="B75" s="180" t="s">
        <v>187</v>
      </c>
      <c r="C75" s="181"/>
      <c r="D75" s="181"/>
      <c r="E75" s="181"/>
      <c r="F75" s="181"/>
      <c r="G75" s="196"/>
    </row>
    <row r="76" spans="2:9" s="31" customFormat="1" ht="26.1" customHeight="1">
      <c r="B76" s="13" t="s">
        <v>144</v>
      </c>
      <c r="C76" s="30" t="s">
        <v>158</v>
      </c>
      <c r="D76" s="30" t="s">
        <v>95</v>
      </c>
      <c r="E76" s="13" t="s">
        <v>41</v>
      </c>
      <c r="F76" s="13" t="s">
        <v>96</v>
      </c>
      <c r="G76" s="13"/>
      <c r="I76" s="5"/>
    </row>
    <row r="77" spans="2:9" ht="45" customHeight="1">
      <c r="B77" s="75" t="str">
        <f t="shared" ref="B77:C85" si="1">B57</f>
        <v>1.</v>
      </c>
      <c r="C77" s="91" t="str">
        <f t="shared" si="1"/>
        <v>Dynamika sprzedaży. Formuła: zmiana przychodów ze sprzedaży rok do roku</v>
      </c>
      <c r="D77" s="75" t="s">
        <v>2</v>
      </c>
      <c r="E77" s="4">
        <f>IF(AND(ISNUMBER(Wyniki!E57),ISNUMBER(Wyniki!F57),ISNUMBER(Wyniki!G57)),IF(AND(Wyniki!E57&lt;Wyniki!F57,Wyniki!F57&lt;Wyniki!G57),10,IF(Wyniki!F57&lt;Wyniki!G57,6,2)),3)</f>
        <v>3</v>
      </c>
      <c r="F77" s="75" t="s">
        <v>119</v>
      </c>
      <c r="G77" s="75"/>
    </row>
    <row r="78" spans="2:9" ht="45" customHeight="1">
      <c r="B78" s="75" t="str">
        <f t="shared" si="1"/>
        <v>2.</v>
      </c>
      <c r="C78" s="91" t="str">
        <f t="shared" si="1"/>
        <v>Rentowność sprzedaży - wskaźnik rentowności sprzedaży. Formuła: wynik na sprzedaży / sprzedaż ogółem</v>
      </c>
      <c r="D78" s="75" t="s">
        <v>2</v>
      </c>
      <c r="E78" s="4">
        <f>IF(AND(E58&gt;=0,F58&gt;=0,G58&gt;=0,G58&gt;F58),10,IF(AND(E58&gt;=0,F58&gt;=0,G58&gt;=0,G58&lt;F58),8,IF(OR((AND(E58&lt;=0,F58&lt;=0,G58&lt;=0)),(AND(F58&lt;=0,G58&lt;=0))),0,5)))</f>
        <v>5</v>
      </c>
      <c r="F78" s="75" t="s">
        <v>119</v>
      </c>
      <c r="G78" s="75"/>
    </row>
    <row r="79" spans="2:9" ht="45" customHeight="1">
      <c r="B79" s="75" t="str">
        <f t="shared" si="1"/>
        <v>3.</v>
      </c>
      <c r="C79" s="91" t="str">
        <f t="shared" si="1"/>
        <v>Rentowność kapitału - wskaźnik ROE. Formuła: wynik netto / kapitały własne</v>
      </c>
      <c r="D79" s="75" t="s">
        <v>2</v>
      </c>
      <c r="E79" s="36">
        <f>IF(ISNUMBER(E102),E102,0)</f>
        <v>0</v>
      </c>
      <c r="F79" s="75" t="s">
        <v>120</v>
      </c>
      <c r="G79" s="75"/>
    </row>
    <row r="80" spans="2:9" ht="45" customHeight="1">
      <c r="B80" s="75" t="str">
        <f t="shared" si="1"/>
        <v>4.</v>
      </c>
      <c r="C80" s="91" t="str">
        <f t="shared" si="1"/>
        <v>Płynność finansowa - wskaźnik płynności finansowej II stopnia: Formuła: (aktywa bieżące - zapasy) / zobowiązania bieżące</v>
      </c>
      <c r="D80" s="75" t="s">
        <v>2</v>
      </c>
      <c r="E80" s="36">
        <f>IF(ISNUMBER(E117),E117,0)</f>
        <v>0</v>
      </c>
      <c r="F80" s="75" t="s">
        <v>120</v>
      </c>
      <c r="G80" s="75"/>
    </row>
    <row r="81" spans="2:23" ht="45" customHeight="1">
      <c r="B81" s="75" t="str">
        <f t="shared" si="1"/>
        <v>5.</v>
      </c>
      <c r="C81" s="91" t="str">
        <f t="shared" si="1"/>
        <v>Pokrycie zadłużenia - wskaźnik pokrycia obsługi długu z gotówki operacyjnej. Formuła: CF operacyjny / zadłużenie (zobowiązania ogółem)</v>
      </c>
      <c r="D81" s="75" t="s">
        <v>2</v>
      </c>
      <c r="E81" s="4">
        <f>IF(ISNUMBER(E131),E131,0)</f>
        <v>0</v>
      </c>
      <c r="F81" s="75" t="s">
        <v>120</v>
      </c>
      <c r="G81" s="75"/>
    </row>
    <row r="82" spans="2:23" ht="45" customHeight="1">
      <c r="B82" s="75" t="str">
        <f t="shared" si="1"/>
        <v>6.</v>
      </c>
      <c r="C82" s="91" t="str">
        <f t="shared" si="1"/>
        <v>Wypłacalność - wskaźnik pokrycia aktywów kapitałami własnymi. Formuła: kapitał własny / aktywa ogółem</v>
      </c>
      <c r="D82" s="75" t="s">
        <v>2</v>
      </c>
      <c r="E82" s="4">
        <f>IF(ISNUMBER(E146),E146,0)</f>
        <v>0</v>
      </c>
      <c r="F82" s="75" t="s">
        <v>120</v>
      </c>
      <c r="G82" s="75"/>
    </row>
    <row r="83" spans="2:23" ht="45" customHeight="1">
      <c r="B83" s="75" t="str">
        <f t="shared" si="1"/>
        <v>7.</v>
      </c>
      <c r="C83" s="91" t="str">
        <f t="shared" si="1"/>
        <v>Poziom zadłużenia - wskaźnik ogólnego zadłużenia. Formuła: (zobowiązania + rezerwy na zobowiązania) / aktywa ogółem</v>
      </c>
      <c r="D83" s="75" t="s">
        <v>2</v>
      </c>
      <c r="E83" s="4">
        <f>IF(ISNUMBER(E160),E160,0)</f>
        <v>0</v>
      </c>
      <c r="F83" s="75" t="s">
        <v>120</v>
      </c>
      <c r="G83" s="75"/>
    </row>
    <row r="84" spans="2:23" ht="45" customHeight="1">
      <c r="B84" s="75" t="str">
        <f t="shared" si="1"/>
        <v>8.</v>
      </c>
      <c r="C84" s="91" t="str">
        <f t="shared" si="1"/>
        <v>Pokrycie zadłużenia - wskaźnik pokrycia obsługi długu z przepływów pieniężnych WPOD. Formuła: (CF operacyjny + CF inwestycyjny + CF finansowy (wpływy) + saldo środków na początek okresu) / CF finansowy (wydatki)</v>
      </c>
      <c r="D84" s="75" t="s">
        <v>2</v>
      </c>
      <c r="E84" s="4">
        <f>IF(ISNUMBER(E175),E175,0)</f>
        <v>0</v>
      </c>
      <c r="F84" s="75" t="s">
        <v>120</v>
      </c>
      <c r="G84" s="75"/>
    </row>
    <row r="85" spans="2:23" ht="45" customHeight="1">
      <c r="B85" s="75" t="str">
        <f t="shared" si="1"/>
        <v>9.</v>
      </c>
      <c r="C85" s="91" t="str">
        <f t="shared" si="1"/>
        <v>Sprawność działalnia - wskaźniki rotacji (zapasów, należności i zobowiązań). Formuła: (stan zapasów, należności, zobowiązań x liczba dni) / przychody netto ze sprzedaży</v>
      </c>
      <c r="D85" s="75" t="s">
        <v>2</v>
      </c>
      <c r="E85" s="36">
        <f>IF((AND(ISNUMBER(E200),ISNUMBER(E214),ISNUMBER(E228))),AVERAGE(E200,E214,E228),0)</f>
        <v>0</v>
      </c>
      <c r="F85" s="75" t="s">
        <v>122</v>
      </c>
      <c r="G85" s="75"/>
    </row>
    <row r="86" spans="2:23" ht="45" customHeight="1">
      <c r="B86" s="75" t="str">
        <f t="shared" ref="B86:C88" si="2">B69</f>
        <v>10.</v>
      </c>
      <c r="C86" s="91" t="str">
        <f t="shared" si="2"/>
        <v>Pokrycie aktywów stałych: kapitał własny / aktywa trwałe</v>
      </c>
      <c r="D86" s="75" t="s">
        <v>2</v>
      </c>
      <c r="E86" s="4">
        <f>IF(ISNUMBER(E243),E243,0)</f>
        <v>0</v>
      </c>
      <c r="F86" s="75" t="s">
        <v>120</v>
      </c>
      <c r="G86" s="75"/>
    </row>
    <row r="87" spans="2:23" ht="45" customHeight="1">
      <c r="B87" s="75" t="str">
        <f t="shared" si="2"/>
        <v>11.</v>
      </c>
      <c r="C87" s="91" t="str">
        <f t="shared" si="2"/>
        <v>Efekt dźwigni finansowej: ROE &gt; (wynik netto + koszty odsetek + podatek dochodowy) / aktywa ogółem</v>
      </c>
      <c r="D87" s="75" t="s">
        <v>2</v>
      </c>
      <c r="E87" s="4">
        <f>IF(Wyniki!G70="tak",5,0)</f>
        <v>0</v>
      </c>
      <c r="F87" s="75" t="s">
        <v>121</v>
      </c>
      <c r="G87" s="75"/>
    </row>
    <row r="88" spans="2:23" ht="45" customHeight="1">
      <c r="B88" s="75" t="str">
        <f t="shared" si="2"/>
        <v>12.</v>
      </c>
      <c r="C88" s="91" t="str">
        <f t="shared" si="2"/>
        <v>Analiza dyskryminacyjna - model prof. E. Mączyńskiej</v>
      </c>
      <c r="D88" s="75" t="s">
        <v>2</v>
      </c>
      <c r="E88" s="36" t="str">
        <f>IF(ISNUMBER(E257),E257,"brak danych")</f>
        <v>brak danych</v>
      </c>
      <c r="F88" s="75" t="s">
        <v>120</v>
      </c>
      <c r="G88" s="75"/>
    </row>
    <row r="89" spans="2:23"/>
    <row r="90" spans="2:23"/>
    <row r="91" spans="2:23" ht="14.1" customHeight="1">
      <c r="C91" s="37" t="str">
        <f>H59</f>
        <v>Kryterium nr 3</v>
      </c>
      <c r="E91" s="11"/>
    </row>
    <row r="92" spans="2:23" ht="30" customHeight="1">
      <c r="B92" s="269" t="str">
        <f>C59</f>
        <v>Rentowność kapitału - wskaźnik ROE. Formuła: wynik netto / kapitały własne</v>
      </c>
      <c r="C92" s="270"/>
      <c r="D92" s="270"/>
      <c r="E92" s="88"/>
      <c r="F92" s="88"/>
      <c r="G92" s="89"/>
      <c r="I92" s="79"/>
      <c r="J92" s="80"/>
      <c r="K92" s="81"/>
      <c r="L92" s="81"/>
      <c r="M92" s="81"/>
      <c r="N92" s="76"/>
      <c r="R92" s="76"/>
      <c r="S92" s="76"/>
      <c r="T92" s="76"/>
      <c r="U92" s="76"/>
      <c r="V92" s="76"/>
      <c r="W92" s="76"/>
    </row>
    <row r="93" spans="2:23" s="31" customFormat="1" ht="14.1" customHeight="1">
      <c r="B93" s="3" t="s">
        <v>144</v>
      </c>
      <c r="C93" s="30" t="s">
        <v>158</v>
      </c>
      <c r="D93" s="30" t="s">
        <v>1</v>
      </c>
      <c r="E93" s="38">
        <f>E56</f>
        <v>2019</v>
      </c>
      <c r="F93" s="38">
        <f>F56</f>
        <v>2020</v>
      </c>
      <c r="G93" s="38">
        <f>G56</f>
        <v>2021</v>
      </c>
      <c r="N93" s="76"/>
      <c r="R93" s="1"/>
      <c r="S93" s="1"/>
      <c r="T93" s="1"/>
      <c r="U93" s="1"/>
      <c r="V93" s="1"/>
      <c r="W93" s="1"/>
    </row>
    <row r="94" spans="2:23" ht="14.1" customHeight="1">
      <c r="B94" s="73" t="s">
        <v>150</v>
      </c>
      <c r="C94" s="91" t="s">
        <v>3</v>
      </c>
      <c r="D94" s="39"/>
      <c r="E94" s="40"/>
      <c r="F94" s="40"/>
      <c r="G94" s="41"/>
      <c r="N94" s="76"/>
      <c r="R94" s="1"/>
      <c r="S94" s="1"/>
      <c r="T94" s="1"/>
      <c r="U94" s="1"/>
      <c r="V94" s="1"/>
      <c r="W94" s="1"/>
    </row>
    <row r="95" spans="2:23" ht="14.1" customHeight="1">
      <c r="B95" s="4" t="s">
        <v>173</v>
      </c>
      <c r="C95" s="91" t="s">
        <v>4</v>
      </c>
      <c r="D95" s="42" t="s">
        <v>188</v>
      </c>
      <c r="E95" s="284">
        <v>0</v>
      </c>
      <c r="F95" s="284">
        <v>0</v>
      </c>
      <c r="G95" s="284">
        <v>0</v>
      </c>
      <c r="N95" s="76"/>
      <c r="R95" s="1"/>
      <c r="S95" s="1"/>
      <c r="T95" s="1"/>
      <c r="U95" s="1"/>
      <c r="V95" s="1"/>
      <c r="W95" s="1"/>
    </row>
    <row r="96" spans="2:23" ht="14.1" customHeight="1">
      <c r="B96" s="4" t="s">
        <v>173</v>
      </c>
      <c r="C96" s="91" t="s">
        <v>6</v>
      </c>
      <c r="D96" s="43" t="s">
        <v>188</v>
      </c>
      <c r="E96" s="285">
        <f>IF(Wyniki!E274="","",Wyniki!E274+Wyniki!E275)</f>
        <v>3.7128000000000001E-2</v>
      </c>
      <c r="F96" s="285">
        <f>IF(Wyniki!F274="","",Wyniki!F274+Wyniki!F275)</f>
        <v>3.7164000000000003E-2</v>
      </c>
      <c r="G96" s="285">
        <f>IF(Wyniki!G274="","",Wyniki!G274+Wyniki!G275)</f>
        <v>9.4242999999999993E-2</v>
      </c>
      <c r="N96" s="76"/>
      <c r="R96" s="1"/>
      <c r="S96" s="1"/>
      <c r="T96" s="1"/>
      <c r="U96" s="1"/>
      <c r="V96" s="1"/>
      <c r="W96" s="1"/>
    </row>
    <row r="97" spans="2:23" ht="14.1" customHeight="1">
      <c r="B97" s="73" t="s">
        <v>151</v>
      </c>
      <c r="C97" s="91" t="s">
        <v>7</v>
      </c>
      <c r="D97" s="39"/>
      <c r="E97" s="277"/>
      <c r="F97" s="277"/>
      <c r="G97" s="278"/>
      <c r="H97" s="10"/>
      <c r="N97" s="78"/>
      <c r="R97" s="1"/>
      <c r="S97" s="1"/>
      <c r="T97" s="1"/>
      <c r="U97" s="1"/>
      <c r="V97" s="1"/>
      <c r="W97" s="1"/>
    </row>
    <row r="98" spans="2:23" ht="14.1" customHeight="1">
      <c r="B98" s="4" t="s">
        <v>173</v>
      </c>
      <c r="C98" s="91" t="s">
        <v>4</v>
      </c>
      <c r="D98" s="44" t="s">
        <v>2</v>
      </c>
      <c r="E98" s="279">
        <v>0</v>
      </c>
      <c r="F98" s="279">
        <v>0</v>
      </c>
      <c r="G98" s="279">
        <v>0</v>
      </c>
      <c r="R98" s="82"/>
      <c r="S98" s="82"/>
      <c r="T98" s="82"/>
      <c r="U98" s="1"/>
      <c r="V98" s="1"/>
    </row>
    <row r="99" spans="2:23" ht="14.1" customHeight="1">
      <c r="B99" s="4" t="s">
        <v>173</v>
      </c>
      <c r="C99" s="91" t="s">
        <v>6</v>
      </c>
      <c r="D99" s="45" t="s">
        <v>2</v>
      </c>
      <c r="E99" s="280">
        <v>10</v>
      </c>
      <c r="F99" s="280">
        <v>10</v>
      </c>
      <c r="G99" s="280">
        <v>10</v>
      </c>
    </row>
    <row r="100" spans="2:23" ht="14.1" customHeight="1">
      <c r="B100" s="4" t="s">
        <v>152</v>
      </c>
      <c r="C100" s="91" t="s">
        <v>8</v>
      </c>
      <c r="D100" s="46" t="s">
        <v>188</v>
      </c>
      <c r="E100" s="286" t="str">
        <f>IF(ISNUMBER(E59),E59,"")</f>
        <v/>
      </c>
      <c r="F100" s="286" t="str">
        <f>IF(ISNUMBER(F59),F59,"")</f>
        <v/>
      </c>
      <c r="G100" s="286" t="str">
        <f>IF(ISNUMBER(G59),G59,"")</f>
        <v/>
      </c>
    </row>
    <row r="101" spans="2:23" ht="14.1" customHeight="1">
      <c r="B101" s="4" t="s">
        <v>153</v>
      </c>
      <c r="C101" s="92" t="s">
        <v>11</v>
      </c>
      <c r="D101" s="45" t="s">
        <v>2</v>
      </c>
      <c r="E101" s="282" t="str">
        <f>IF(AND('Dane finansowe'!E30&lt;0,'Dane finansowe'!E45&lt;0),0,IF(ISNUMBER(E59),IF(E100&lt;E95,E98,IF(E100&gt;E96,E99,IF(AND(E100&lt;=E96,E100&gt;=E95),IF(ISNUMBER(E100),ROUND(FORECAST(E100,E98:E99,E95:E96),0),"")))),""))</f>
        <v/>
      </c>
      <c r="F101" s="282" t="str">
        <f>IF(AND('Dane finansowe'!F30&lt;0,'Dane finansowe'!F45&lt;0),0,IF(ISNUMBER(F59),IF(F100&lt;F95,F98,IF(F100&gt;F96,F99,IF(AND(F100&lt;=F96,F100&gt;=F95),IF(ISNUMBER(F100),ROUND(FORECAST(F100,F98:F99,F95:F96),0),"")))),""))</f>
        <v/>
      </c>
      <c r="G101" s="282" t="str">
        <f>IF(AND('Dane finansowe'!G30&lt;0,'Dane finansowe'!G45&lt;0),0,IF(ISNUMBER(G59),IF(G100&lt;G95,G98,IF(G100&gt;G96,G99,IF(AND(G100&lt;=G96,G100&gt;=G95),IF(ISNUMBER(G100),ROUND(FORECAST(G100,G98:G99,G95:G96),0),"")))),""))</f>
        <v/>
      </c>
    </row>
    <row r="102" spans="2:23" s="27" customFormat="1" ht="14.1" customHeight="1">
      <c r="B102" s="13" t="s">
        <v>154</v>
      </c>
      <c r="C102" s="93" t="s">
        <v>37</v>
      </c>
      <c r="D102" s="47" t="s">
        <v>2</v>
      </c>
      <c r="E102" s="283" t="str">
        <f>IF(G101="","brak danych",ROUND(IF(ISNUMBER(E101),AVERAGE(E101:G101),IF(ISNUMBER(F101),AVERAGE(F101:G101),IF(ISNUMBER(G101),G101,"bd"))),0))</f>
        <v>brak danych</v>
      </c>
      <c r="F102" s="31"/>
      <c r="G102" s="31"/>
    </row>
    <row r="103" spans="2:23" ht="14.1" customHeight="1">
      <c r="E103" s="11"/>
    </row>
    <row r="104" spans="2:23" ht="14.1" customHeight="1">
      <c r="E104" s="11"/>
    </row>
    <row r="105" spans="2:23" ht="14.1" customHeight="1">
      <c r="C105" s="37" t="str">
        <f>H60</f>
        <v>Kryterium nr 4</v>
      </c>
      <c r="E105" s="11"/>
    </row>
    <row r="106" spans="2:23" ht="30" customHeight="1">
      <c r="B106" s="269" t="str">
        <f>C60</f>
        <v>Płynność finansowa - wskaźnik płynności finansowej II stopnia: Formuła: (aktywa bieżące - zapasy) / zobowiązania bieżące</v>
      </c>
      <c r="C106" s="270"/>
      <c r="D106" s="270"/>
      <c r="E106" s="88"/>
      <c r="F106" s="88"/>
      <c r="G106" s="89"/>
    </row>
    <row r="107" spans="2:23" s="31" customFormat="1" ht="14.1" customHeight="1">
      <c r="B107" s="3" t="s">
        <v>144</v>
      </c>
      <c r="C107" s="30" t="s">
        <v>158</v>
      </c>
      <c r="D107" s="30" t="s">
        <v>1</v>
      </c>
      <c r="E107" s="38">
        <f>E56</f>
        <v>2019</v>
      </c>
      <c r="F107" s="38">
        <f>F56</f>
        <v>2020</v>
      </c>
      <c r="G107" s="38">
        <f>G56</f>
        <v>2021</v>
      </c>
    </row>
    <row r="108" spans="2:23" ht="14.1" customHeight="1">
      <c r="B108" s="73" t="s">
        <v>150</v>
      </c>
      <c r="C108" s="91" t="s">
        <v>3</v>
      </c>
      <c r="D108" s="39"/>
      <c r="E108" s="40"/>
      <c r="F108" s="40"/>
      <c r="G108" s="41"/>
    </row>
    <row r="109" spans="2:23" ht="14.1" customHeight="1">
      <c r="B109" s="4" t="s">
        <v>173</v>
      </c>
      <c r="C109" s="91" t="s">
        <v>4</v>
      </c>
      <c r="D109" s="42" t="s">
        <v>5</v>
      </c>
      <c r="E109" s="275">
        <v>0.75</v>
      </c>
      <c r="F109" s="275">
        <v>0.75</v>
      </c>
      <c r="G109" s="275">
        <v>0.75</v>
      </c>
    </row>
    <row r="110" spans="2:23" ht="14.1" customHeight="1">
      <c r="B110" s="4" t="s">
        <v>173</v>
      </c>
      <c r="C110" s="91" t="s">
        <v>6</v>
      </c>
      <c r="D110" s="42" t="s">
        <v>5</v>
      </c>
      <c r="E110" s="276">
        <v>1.1000000000000001</v>
      </c>
      <c r="F110" s="276">
        <v>1.1000000000000001</v>
      </c>
      <c r="G110" s="276">
        <v>1.1000000000000001</v>
      </c>
    </row>
    <row r="111" spans="2:23" ht="14.1" customHeight="1">
      <c r="B111" s="73" t="s">
        <v>151</v>
      </c>
      <c r="C111" s="91" t="s">
        <v>7</v>
      </c>
      <c r="D111" s="39"/>
      <c r="E111" s="277"/>
      <c r="F111" s="277"/>
      <c r="G111" s="278"/>
    </row>
    <row r="112" spans="2:23" ht="14.1" customHeight="1">
      <c r="B112" s="159"/>
      <c r="C112" s="304" t="s">
        <v>4</v>
      </c>
      <c r="D112" s="305" t="s">
        <v>2</v>
      </c>
      <c r="E112" s="306">
        <v>0</v>
      </c>
      <c r="F112" s="306">
        <v>0</v>
      </c>
      <c r="G112" s="306">
        <v>0</v>
      </c>
    </row>
    <row r="113" spans="2:9" ht="14.1" customHeight="1">
      <c r="B113" s="4" t="s">
        <v>173</v>
      </c>
      <c r="C113" s="304" t="s">
        <v>265</v>
      </c>
      <c r="D113" s="305" t="s">
        <v>5</v>
      </c>
      <c r="E113" s="275">
        <v>0.75</v>
      </c>
      <c r="F113" s="275">
        <v>0.75</v>
      </c>
      <c r="G113" s="275">
        <v>0.75</v>
      </c>
    </row>
    <row r="114" spans="2:9" ht="14.1" customHeight="1">
      <c r="B114" s="4" t="s">
        <v>173</v>
      </c>
      <c r="C114" s="91" t="s">
        <v>6</v>
      </c>
      <c r="D114" s="45" t="s">
        <v>2</v>
      </c>
      <c r="E114" s="280">
        <v>10</v>
      </c>
      <c r="F114" s="280">
        <v>10</v>
      </c>
      <c r="G114" s="280">
        <v>10</v>
      </c>
    </row>
    <row r="115" spans="2:9" ht="14.1" customHeight="1">
      <c r="B115" s="4" t="s">
        <v>152</v>
      </c>
      <c r="C115" s="91" t="s">
        <v>8</v>
      </c>
      <c r="D115" s="46" t="s">
        <v>5</v>
      </c>
      <c r="E115" s="281" t="str">
        <f>IF(ISNUMBER(E60),E60,"")</f>
        <v/>
      </c>
      <c r="F115" s="281" t="str">
        <f>IF(ISNUMBER(F60),F60,"")</f>
        <v/>
      </c>
      <c r="G115" s="281" t="str">
        <f>IF(ISNUMBER(G60),G60,"")</f>
        <v/>
      </c>
    </row>
    <row r="116" spans="2:9" ht="14.1" customHeight="1">
      <c r="B116" s="4" t="s">
        <v>153</v>
      </c>
      <c r="C116" s="92" t="s">
        <v>11</v>
      </c>
      <c r="D116" s="45" t="s">
        <v>2</v>
      </c>
      <c r="E116" s="282" t="str">
        <f>IF(ISNUMBER(E60),IF(E115&lt;E109,E112,IF(E115&gt;E110,E114,IF(AND(E115&lt;=E110,E115&gt;=E109),IF(ISNUMBER(E115),ROUND(FORECAST(E115,E113:E114,E109:E110),0),"")))),"")</f>
        <v/>
      </c>
      <c r="F116" s="282" t="str">
        <f t="shared" ref="F116:G116" si="3">IF(ISNUMBER(F60),IF(F115&lt;F109,F112,IF(F115&gt;F110,F114,IF(AND(F115&lt;=F110,F115&gt;=F109),IF(ISNUMBER(F115),ROUND(FORECAST(F115,F113:F114,F109:F110),0),"")))),"")</f>
        <v/>
      </c>
      <c r="G116" s="282" t="str">
        <f t="shared" si="3"/>
        <v/>
      </c>
    </row>
    <row r="117" spans="2:9" s="27" customFormat="1" ht="14.1" customHeight="1">
      <c r="B117" s="13" t="s">
        <v>154</v>
      </c>
      <c r="C117" s="93" t="s">
        <v>37</v>
      </c>
      <c r="D117" s="47" t="s">
        <v>2</v>
      </c>
      <c r="E117" s="283" t="str">
        <f>IF(G116="","brak danych",ROUND(IF(ISNUMBER(E116),AVERAGE(E116:G116),IF(ISNUMBER(F116),AVERAGE(F116:G116),IF(ISNUMBER(G116),G116,"bd"))),0))</f>
        <v>brak danych</v>
      </c>
      <c r="F117" s="31"/>
      <c r="G117" s="31"/>
      <c r="H117" s="5"/>
    </row>
    <row r="118" spans="2:9" s="27" customFormat="1" ht="15" customHeight="1">
      <c r="B118" s="48"/>
      <c r="C118" s="28"/>
      <c r="D118" s="49"/>
      <c r="E118" s="31"/>
      <c r="F118" s="31"/>
      <c r="G118" s="31"/>
      <c r="H118" s="5"/>
    </row>
    <row r="119" spans="2:9" ht="15" customHeight="1">
      <c r="E119" s="11"/>
    </row>
    <row r="120" spans="2:9" ht="15" customHeight="1">
      <c r="C120" s="37" t="str">
        <f>H61</f>
        <v>Kryterium nr 5</v>
      </c>
      <c r="E120" s="11"/>
    </row>
    <row r="121" spans="2:9" ht="30" customHeight="1">
      <c r="B121" s="269" t="str">
        <f>C61</f>
        <v>Pokrycie zadłużenia - wskaźnik pokrycia obsługi długu z gotówki operacyjnej. Formuła: CF operacyjny / zadłużenie (zobowiązania ogółem)</v>
      </c>
      <c r="C121" s="270"/>
      <c r="D121" s="270"/>
      <c r="E121" s="88"/>
      <c r="F121" s="88"/>
      <c r="G121" s="89"/>
    </row>
    <row r="122" spans="2:9" s="31" customFormat="1" ht="15" customHeight="1">
      <c r="B122" s="3" t="s">
        <v>144</v>
      </c>
      <c r="C122" s="30" t="s">
        <v>158</v>
      </c>
      <c r="D122" s="30" t="s">
        <v>1</v>
      </c>
      <c r="E122" s="38">
        <f>E56</f>
        <v>2019</v>
      </c>
      <c r="F122" s="38">
        <f>F56</f>
        <v>2020</v>
      </c>
      <c r="G122" s="38">
        <f>G56</f>
        <v>2021</v>
      </c>
      <c r="I122" s="5"/>
    </row>
    <row r="123" spans="2:9" ht="15" customHeight="1">
      <c r="B123" s="73" t="s">
        <v>150</v>
      </c>
      <c r="C123" s="91" t="s">
        <v>3</v>
      </c>
      <c r="D123" s="39"/>
      <c r="E123" s="40"/>
      <c r="F123" s="40"/>
      <c r="G123" s="41"/>
    </row>
    <row r="124" spans="2:9" ht="15" customHeight="1">
      <c r="B124" s="4" t="s">
        <v>173</v>
      </c>
      <c r="C124" s="91" t="s">
        <v>4</v>
      </c>
      <c r="D124" s="42" t="s">
        <v>188</v>
      </c>
      <c r="E124" s="284">
        <v>0</v>
      </c>
      <c r="F124" s="284">
        <f t="shared" ref="F124:G125" si="4">E124</f>
        <v>0</v>
      </c>
      <c r="G124" s="284">
        <f t="shared" si="4"/>
        <v>0</v>
      </c>
    </row>
    <row r="125" spans="2:9" ht="15" customHeight="1">
      <c r="B125" s="4" t="s">
        <v>173</v>
      </c>
      <c r="C125" s="91" t="s">
        <v>6</v>
      </c>
      <c r="D125" s="43" t="s">
        <v>188</v>
      </c>
      <c r="E125" s="285">
        <v>0.3</v>
      </c>
      <c r="F125" s="285">
        <f t="shared" si="4"/>
        <v>0.3</v>
      </c>
      <c r="G125" s="285">
        <f t="shared" si="4"/>
        <v>0.3</v>
      </c>
    </row>
    <row r="126" spans="2:9" ht="15" customHeight="1">
      <c r="B126" s="73" t="s">
        <v>151</v>
      </c>
      <c r="C126" s="91" t="s">
        <v>7</v>
      </c>
      <c r="D126" s="39"/>
      <c r="E126" s="277"/>
      <c r="F126" s="277"/>
      <c r="G126" s="278"/>
    </row>
    <row r="127" spans="2:9" ht="15" customHeight="1">
      <c r="B127" s="4" t="s">
        <v>173</v>
      </c>
      <c r="C127" s="91" t="s">
        <v>4</v>
      </c>
      <c r="D127" s="44" t="s">
        <v>2</v>
      </c>
      <c r="E127" s="279">
        <v>0</v>
      </c>
      <c r="F127" s="279">
        <f t="shared" ref="F127:G128" si="5">E127</f>
        <v>0</v>
      </c>
      <c r="G127" s="279">
        <f t="shared" si="5"/>
        <v>0</v>
      </c>
    </row>
    <row r="128" spans="2:9" ht="15" customHeight="1">
      <c r="B128" s="4" t="s">
        <v>173</v>
      </c>
      <c r="C128" s="91" t="s">
        <v>6</v>
      </c>
      <c r="D128" s="45" t="s">
        <v>2</v>
      </c>
      <c r="E128" s="280">
        <v>5</v>
      </c>
      <c r="F128" s="280">
        <f t="shared" si="5"/>
        <v>5</v>
      </c>
      <c r="G128" s="280">
        <f t="shared" si="5"/>
        <v>5</v>
      </c>
    </row>
    <row r="129" spans="2:7" ht="15" customHeight="1">
      <c r="B129" s="4" t="s">
        <v>152</v>
      </c>
      <c r="C129" s="91" t="s">
        <v>8</v>
      </c>
      <c r="D129" s="46" t="s">
        <v>188</v>
      </c>
      <c r="E129" s="286" t="str">
        <f>IF(ISNUMBER(E61),E61,"")</f>
        <v/>
      </c>
      <c r="F129" s="286" t="str">
        <f>IF(ISNUMBER(F61),F61,"")</f>
        <v/>
      </c>
      <c r="G129" s="286" t="str">
        <f>IF(ISNUMBER(G61),G61,"")</f>
        <v/>
      </c>
    </row>
    <row r="130" spans="2:7" ht="15" customHeight="1">
      <c r="B130" s="4" t="s">
        <v>153</v>
      </c>
      <c r="C130" s="92" t="s">
        <v>11</v>
      </c>
      <c r="D130" s="45" t="s">
        <v>2</v>
      </c>
      <c r="E130" s="282" t="str">
        <f>IF(ISNUMBER(E61),IF(E129&lt;E124,E127,IF(E129&gt;E125,E128,IF(AND(E129&lt;=E125,E129&gt;=E124),IF(ISNUMBER(E129),ROUND(FORECAST(E129,E127:E128,E124:E125),0),"")))),"")</f>
        <v/>
      </c>
      <c r="F130" s="282" t="str">
        <f>IF(ISNUMBER(F61),IF(F129&lt;F124,F127,IF(F129&gt;F125,F128,IF(AND(F129&lt;=F125,F129&gt;=F124),IF(ISNUMBER(F129),ROUND(FORECAST(F129,F127:F128,F124:F125),0),"")))),"")</f>
        <v/>
      </c>
      <c r="G130" s="282" t="str">
        <f>IF(ISNUMBER(G61),IF(G129&lt;G124,G127,IF(G129&gt;G125,G128,IF(AND(G129&lt;=G125,G129&gt;=G124),IF(ISNUMBER(G129),ROUND(FORECAST(G129,G127:G128,G124:G125),0),"")))),"")</f>
        <v/>
      </c>
    </row>
    <row r="131" spans="2:7" s="27" customFormat="1" ht="15" customHeight="1">
      <c r="B131" s="13" t="s">
        <v>154</v>
      </c>
      <c r="C131" s="93" t="s">
        <v>37</v>
      </c>
      <c r="D131" s="47" t="s">
        <v>2</v>
      </c>
      <c r="E131" s="283" t="str">
        <f>IF(G130="","brak danych",ROUND(IF(ISNUMBER(E130),AVERAGE(E130:G130),IF(ISNUMBER(F130),AVERAGE(F130:G130),IF(ISNUMBER(G130),G130,"bd"))),0))</f>
        <v>brak danych</v>
      </c>
      <c r="F131" s="290"/>
      <c r="G131" s="290"/>
    </row>
    <row r="132" spans="2:7" ht="15" customHeight="1"/>
    <row r="133" spans="2:7" ht="15" customHeight="1">
      <c r="E133" s="11"/>
    </row>
    <row r="134" spans="2:7" ht="15" customHeight="1">
      <c r="C134" s="37" t="str">
        <f>H62</f>
        <v>Kryterium nr 6</v>
      </c>
      <c r="E134" s="11"/>
    </row>
    <row r="135" spans="2:7" ht="30" customHeight="1">
      <c r="B135" s="269" t="str">
        <f>C62</f>
        <v>Wypłacalność - wskaźnik pokrycia aktywów kapitałami własnymi. Formuła: kapitał własny / aktywa ogółem</v>
      </c>
      <c r="C135" s="270"/>
      <c r="D135" s="270"/>
      <c r="E135" s="88"/>
      <c r="F135" s="88"/>
      <c r="G135" s="89"/>
    </row>
    <row r="136" spans="2:7" s="31" customFormat="1" ht="15" customHeight="1">
      <c r="B136" s="3" t="s">
        <v>144</v>
      </c>
      <c r="C136" s="30" t="s">
        <v>158</v>
      </c>
      <c r="D136" s="30" t="s">
        <v>1</v>
      </c>
      <c r="E136" s="38">
        <f>E56</f>
        <v>2019</v>
      </c>
      <c r="F136" s="38">
        <f>F56</f>
        <v>2020</v>
      </c>
      <c r="G136" s="38">
        <f>G56</f>
        <v>2021</v>
      </c>
    </row>
    <row r="137" spans="2:7" ht="15" customHeight="1">
      <c r="B137" s="73" t="s">
        <v>150</v>
      </c>
      <c r="C137" s="91" t="s">
        <v>3</v>
      </c>
      <c r="D137" s="39"/>
      <c r="E137" s="40"/>
      <c r="F137" s="40"/>
      <c r="G137" s="41"/>
    </row>
    <row r="138" spans="2:7" ht="15" customHeight="1">
      <c r="B138" s="4" t="s">
        <v>173</v>
      </c>
      <c r="C138" s="91" t="s">
        <v>4</v>
      </c>
      <c r="D138" s="42" t="s">
        <v>188</v>
      </c>
      <c r="E138" s="284">
        <v>0.1</v>
      </c>
      <c r="F138" s="284">
        <f t="shared" ref="F138:G139" si="6">E138</f>
        <v>0.1</v>
      </c>
      <c r="G138" s="284">
        <f t="shared" si="6"/>
        <v>0.1</v>
      </c>
    </row>
    <row r="139" spans="2:7" ht="15" customHeight="1">
      <c r="B139" s="4" t="s">
        <v>173</v>
      </c>
      <c r="C139" s="91" t="s">
        <v>6</v>
      </c>
      <c r="D139" s="43" t="s">
        <v>188</v>
      </c>
      <c r="E139" s="285">
        <v>0.5</v>
      </c>
      <c r="F139" s="285">
        <f t="shared" si="6"/>
        <v>0.5</v>
      </c>
      <c r="G139" s="285">
        <f t="shared" si="6"/>
        <v>0.5</v>
      </c>
    </row>
    <row r="140" spans="2:7" ht="15" customHeight="1">
      <c r="B140" s="73" t="s">
        <v>151</v>
      </c>
      <c r="C140" s="91" t="s">
        <v>7</v>
      </c>
      <c r="D140" s="39"/>
      <c r="E140" s="277"/>
      <c r="F140" s="277"/>
      <c r="G140" s="278"/>
    </row>
    <row r="141" spans="2:7" ht="15" customHeight="1">
      <c r="B141" s="159"/>
      <c r="C141" s="304" t="s">
        <v>4</v>
      </c>
      <c r="D141" s="305" t="s">
        <v>2</v>
      </c>
      <c r="E141" s="306">
        <v>0</v>
      </c>
      <c r="F141" s="306">
        <v>0</v>
      </c>
      <c r="G141" s="306">
        <v>0</v>
      </c>
    </row>
    <row r="142" spans="2:7" ht="15" customHeight="1">
      <c r="B142" s="4" t="s">
        <v>173</v>
      </c>
      <c r="C142" s="304" t="s">
        <v>265</v>
      </c>
      <c r="D142" s="44" t="s">
        <v>2</v>
      </c>
      <c r="E142" s="279">
        <v>1</v>
      </c>
      <c r="F142" s="279">
        <v>1</v>
      </c>
      <c r="G142" s="279">
        <v>1</v>
      </c>
    </row>
    <row r="143" spans="2:7" ht="15" customHeight="1">
      <c r="B143" s="4" t="s">
        <v>173</v>
      </c>
      <c r="C143" s="91" t="s">
        <v>6</v>
      </c>
      <c r="D143" s="45" t="s">
        <v>2</v>
      </c>
      <c r="E143" s="280">
        <v>5</v>
      </c>
      <c r="F143" s="280">
        <v>5</v>
      </c>
      <c r="G143" s="280">
        <v>5</v>
      </c>
    </row>
    <row r="144" spans="2:7" ht="15" customHeight="1">
      <c r="B144" s="4" t="s">
        <v>152</v>
      </c>
      <c r="C144" s="91" t="s">
        <v>8</v>
      </c>
      <c r="D144" s="46" t="s">
        <v>188</v>
      </c>
      <c r="E144" s="286" t="str">
        <f>IF(ISNUMBER(E62),E62,"")</f>
        <v/>
      </c>
      <c r="F144" s="286" t="str">
        <f>IF(ISNUMBER(F62),F62,"")</f>
        <v/>
      </c>
      <c r="G144" s="286" t="str">
        <f>IF(ISNUMBER(G62),G62,"")</f>
        <v/>
      </c>
    </row>
    <row r="145" spans="2:8" ht="15" customHeight="1">
      <c r="B145" s="4" t="s">
        <v>153</v>
      </c>
      <c r="C145" s="92" t="s">
        <v>11</v>
      </c>
      <c r="D145" s="45" t="s">
        <v>2</v>
      </c>
      <c r="E145" s="282" t="str">
        <f>IF(ISNUMBER(E62),IF(E144&lt;E138,E141,IF(E144&gt;E139,E143,IF(AND(E144&lt;=E139,E144&gt;=E138),IF(ISNUMBER(E144),ROUND(FORECAST(E144,E142:E143,E138:E139),0),"")))),"")</f>
        <v/>
      </c>
      <c r="F145" s="282" t="str">
        <f t="shared" ref="F145:G145" si="7">IF(ISNUMBER(F62),IF(F144&lt;F138,F141,IF(F144&gt;F139,F143,IF(AND(F144&lt;=F139,F144&gt;=F138),IF(ISNUMBER(F144),ROUND(FORECAST(F144,F142:F143,F138:F139),0),"")))),"")</f>
        <v/>
      </c>
      <c r="G145" s="282" t="str">
        <f t="shared" si="7"/>
        <v/>
      </c>
    </row>
    <row r="146" spans="2:8" s="27" customFormat="1" ht="15" customHeight="1">
      <c r="B146" s="13" t="s">
        <v>154</v>
      </c>
      <c r="C146" s="93" t="s">
        <v>37</v>
      </c>
      <c r="D146" s="47" t="s">
        <v>2</v>
      </c>
      <c r="E146" s="283" t="str">
        <f>IF(G145="","brak danych",ROUND(IF(ISNUMBER(E145),AVERAGE(E145:G145),IF(ISNUMBER(F145),AVERAGE(F145:G145),IF(ISNUMBER(G145),G145,"bd"))),0))</f>
        <v>brak danych</v>
      </c>
      <c r="F146" s="31"/>
      <c r="G146" s="31"/>
    </row>
    <row r="147" spans="2:8" s="27" customFormat="1" ht="15" customHeight="1">
      <c r="B147" s="31"/>
    </row>
    <row r="148" spans="2:8" ht="15" customHeight="1">
      <c r="E148" s="11"/>
    </row>
    <row r="149" spans="2:8" ht="15" customHeight="1">
      <c r="C149" s="37" t="str">
        <f>H63</f>
        <v>Kryterium nr 7</v>
      </c>
      <c r="E149" s="11"/>
    </row>
    <row r="150" spans="2:8" ht="30" customHeight="1">
      <c r="B150" s="269" t="str">
        <f>C63</f>
        <v>Poziom zadłużenia - wskaźnik ogólnego zadłużenia. Formuła: (zobowiązania + rezerwy na zobowiązania) / aktywa ogółem</v>
      </c>
      <c r="C150" s="270"/>
      <c r="D150" s="270"/>
      <c r="E150" s="88"/>
      <c r="F150" s="88"/>
      <c r="G150" s="89"/>
    </row>
    <row r="151" spans="2:8" s="31" customFormat="1" ht="15" customHeight="1">
      <c r="B151" s="3" t="s">
        <v>144</v>
      </c>
      <c r="C151" s="30" t="s">
        <v>158</v>
      </c>
      <c r="D151" s="30" t="s">
        <v>1</v>
      </c>
      <c r="E151" s="38">
        <f>E56</f>
        <v>2019</v>
      </c>
      <c r="F151" s="38">
        <f>F56</f>
        <v>2020</v>
      </c>
      <c r="G151" s="38">
        <f>G56</f>
        <v>2021</v>
      </c>
    </row>
    <row r="152" spans="2:8" ht="15" customHeight="1">
      <c r="B152" s="73" t="s">
        <v>150</v>
      </c>
      <c r="C152" s="91" t="s">
        <v>3</v>
      </c>
      <c r="D152" s="39"/>
      <c r="E152" s="40"/>
      <c r="F152" s="40"/>
      <c r="G152" s="41"/>
    </row>
    <row r="153" spans="2:8" ht="15" customHeight="1">
      <c r="B153" s="4" t="s">
        <v>173</v>
      </c>
      <c r="C153" s="91" t="s">
        <v>4</v>
      </c>
      <c r="D153" s="42" t="s">
        <v>5</v>
      </c>
      <c r="E153" s="275">
        <v>0</v>
      </c>
      <c r="F153" s="275">
        <v>0</v>
      </c>
      <c r="G153" s="275">
        <v>0</v>
      </c>
    </row>
    <row r="154" spans="2:8" ht="15" customHeight="1">
      <c r="B154" s="4" t="s">
        <v>173</v>
      </c>
      <c r="C154" s="91" t="s">
        <v>6</v>
      </c>
      <c r="D154" s="42" t="s">
        <v>5</v>
      </c>
      <c r="E154" s="276">
        <v>0.67</v>
      </c>
      <c r="F154" s="276">
        <v>0.67</v>
      </c>
      <c r="G154" s="276">
        <v>0.67</v>
      </c>
    </row>
    <row r="155" spans="2:8" ht="15" customHeight="1">
      <c r="B155" s="73" t="s">
        <v>151</v>
      </c>
      <c r="C155" s="91" t="s">
        <v>7</v>
      </c>
      <c r="D155" s="39"/>
      <c r="E155" s="277"/>
      <c r="F155" s="277"/>
      <c r="G155" s="278"/>
    </row>
    <row r="156" spans="2:8" ht="15" customHeight="1">
      <c r="B156" s="4" t="s">
        <v>173</v>
      </c>
      <c r="C156" s="91" t="s">
        <v>4</v>
      </c>
      <c r="D156" s="44" t="s">
        <v>2</v>
      </c>
      <c r="E156" s="279">
        <v>10</v>
      </c>
      <c r="F156" s="279">
        <v>10</v>
      </c>
      <c r="G156" s="279">
        <v>10</v>
      </c>
    </row>
    <row r="157" spans="2:8" ht="15" customHeight="1">
      <c r="B157" s="4" t="s">
        <v>173</v>
      </c>
      <c r="C157" s="91" t="s">
        <v>6</v>
      </c>
      <c r="D157" s="45" t="s">
        <v>2</v>
      </c>
      <c r="E157" s="280">
        <v>0</v>
      </c>
      <c r="F157" s="280">
        <v>0</v>
      </c>
      <c r="G157" s="280">
        <v>0</v>
      </c>
    </row>
    <row r="158" spans="2:8" ht="15" customHeight="1">
      <c r="B158" s="4" t="s">
        <v>152</v>
      </c>
      <c r="C158" s="91" t="s">
        <v>8</v>
      </c>
      <c r="D158" s="46" t="s">
        <v>5</v>
      </c>
      <c r="E158" s="281" t="str">
        <f>IF(ISNUMBER(E63),E63,"")</f>
        <v/>
      </c>
      <c r="F158" s="281" t="str">
        <f>IF(ISNUMBER(F63),F63,"")</f>
        <v/>
      </c>
      <c r="G158" s="281" t="str">
        <f>IF(ISNUMBER(G63),G63,"")</f>
        <v/>
      </c>
    </row>
    <row r="159" spans="2:8" ht="15" customHeight="1">
      <c r="B159" s="4" t="s">
        <v>153</v>
      </c>
      <c r="C159" s="92" t="s">
        <v>11</v>
      </c>
      <c r="D159" s="45" t="s">
        <v>2</v>
      </c>
      <c r="E159" s="282" t="str">
        <f>IF(ISNUMBER(E63),IF(E158&lt;E153,E156,IF(E158&gt;E154,E157,IF(AND(E158&lt;=E154,E158&gt;=E153),IF(ISNUMBER(E158),ROUND(FORECAST(E158,E156:E157,E153:E154),0),"")))),"")</f>
        <v/>
      </c>
      <c r="F159" s="282" t="str">
        <f>IF(ISNUMBER(F63),IF(F158&lt;F153,F156,IF(F158&gt;F154,F157,IF(AND(F158&lt;=F154,F158&gt;=F153),IF(ISNUMBER(F158),ROUND(FORECAST(F158,F156:F157,F153:F154),0),"")))),"")</f>
        <v/>
      </c>
      <c r="G159" s="282" t="str">
        <f>IF(ISNUMBER(G63),IF(G158&lt;G153,G156,IF(G158&gt;G154,G157,IF(AND(G158&lt;=G154,G158&gt;=G153),IF(ISNUMBER(G158),ROUND(FORECAST(G158,G156:G157,G153:G154),0),"")))),"")</f>
        <v/>
      </c>
    </row>
    <row r="160" spans="2:8" s="27" customFormat="1" ht="15" customHeight="1">
      <c r="B160" s="13" t="s">
        <v>154</v>
      </c>
      <c r="C160" s="93" t="s">
        <v>37</v>
      </c>
      <c r="D160" s="47" t="s">
        <v>2</v>
      </c>
      <c r="E160" s="283" t="str">
        <f>IF(G159="","brak danych",ROUND(IF(ISNUMBER(E159),AVERAGE(E159:G159),IF(ISNUMBER(F159),AVERAGE(F159:G159),IF(ISNUMBER(G159),G159,"bd"))),0))</f>
        <v>brak danych</v>
      </c>
      <c r="F160" s="31"/>
      <c r="G160" s="31"/>
      <c r="H160" s="5"/>
    </row>
    <row r="161" spans="2:8" s="27" customFormat="1" ht="15" customHeight="1">
      <c r="B161" s="48"/>
      <c r="C161" s="28"/>
      <c r="D161" s="49"/>
      <c r="E161" s="31"/>
      <c r="F161" s="31"/>
      <c r="G161" s="31"/>
      <c r="H161" s="5"/>
    </row>
    <row r="162" spans="2:8" ht="15" customHeight="1">
      <c r="B162" s="50"/>
      <c r="C162" s="51"/>
      <c r="D162" s="2"/>
      <c r="E162" s="52"/>
      <c r="F162" s="52"/>
      <c r="G162" s="52"/>
    </row>
    <row r="163" spans="2:8" ht="15" customHeight="1">
      <c r="C163" s="37" t="str">
        <f>H64</f>
        <v>Kryterium nr 8</v>
      </c>
    </row>
    <row r="164" spans="2:8" ht="45" customHeight="1">
      <c r="B164" s="269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C164" s="270"/>
      <c r="D164" s="270"/>
      <c r="E164" s="88"/>
      <c r="F164" s="88"/>
      <c r="G164" s="89"/>
    </row>
    <row r="165" spans="2:8" s="31" customFormat="1" ht="15" customHeight="1">
      <c r="B165" s="3" t="s">
        <v>144</v>
      </c>
      <c r="C165" s="30" t="s">
        <v>158</v>
      </c>
      <c r="D165" s="30" t="s">
        <v>1</v>
      </c>
      <c r="E165" s="38">
        <f>E56</f>
        <v>2019</v>
      </c>
      <c r="F165" s="38">
        <f>F56</f>
        <v>2020</v>
      </c>
      <c r="G165" s="38">
        <f>G56</f>
        <v>2021</v>
      </c>
    </row>
    <row r="166" spans="2:8" ht="15" customHeight="1">
      <c r="B166" s="73" t="s">
        <v>150</v>
      </c>
      <c r="C166" s="91" t="s">
        <v>3</v>
      </c>
      <c r="D166" s="39"/>
      <c r="E166" s="40"/>
      <c r="F166" s="40"/>
      <c r="G166" s="41"/>
    </row>
    <row r="167" spans="2:8" ht="15" customHeight="1">
      <c r="B167" s="4" t="s">
        <v>173</v>
      </c>
      <c r="C167" s="91" t="s">
        <v>4</v>
      </c>
      <c r="D167" s="42" t="s">
        <v>5</v>
      </c>
      <c r="E167" s="275">
        <v>1</v>
      </c>
      <c r="F167" s="275">
        <f t="shared" ref="F167:G168" si="8">E167</f>
        <v>1</v>
      </c>
      <c r="G167" s="275">
        <f t="shared" si="8"/>
        <v>1</v>
      </c>
    </row>
    <row r="168" spans="2:8" ht="15" customHeight="1">
      <c r="B168" s="4" t="s">
        <v>173</v>
      </c>
      <c r="C168" s="91" t="s">
        <v>6</v>
      </c>
      <c r="D168" s="42" t="s">
        <v>5</v>
      </c>
      <c r="E168" s="276">
        <v>2</v>
      </c>
      <c r="F168" s="276">
        <f t="shared" si="8"/>
        <v>2</v>
      </c>
      <c r="G168" s="276">
        <f t="shared" si="8"/>
        <v>2</v>
      </c>
    </row>
    <row r="169" spans="2:8" ht="15" customHeight="1">
      <c r="B169" s="73" t="s">
        <v>151</v>
      </c>
      <c r="C169" s="91" t="s">
        <v>7</v>
      </c>
      <c r="D169" s="39"/>
      <c r="E169" s="277"/>
      <c r="F169" s="277"/>
      <c r="G169" s="278"/>
    </row>
    <row r="170" spans="2:8" ht="15" customHeight="1">
      <c r="B170" s="159"/>
      <c r="C170" s="304" t="s">
        <v>4</v>
      </c>
      <c r="D170" s="305" t="s">
        <v>2</v>
      </c>
      <c r="E170" s="306">
        <v>0</v>
      </c>
      <c r="F170" s="306">
        <v>0</v>
      </c>
      <c r="G170" s="306">
        <v>0</v>
      </c>
    </row>
    <row r="171" spans="2:8" ht="15" customHeight="1">
      <c r="B171" s="4" t="s">
        <v>173</v>
      </c>
      <c r="C171" s="304" t="s">
        <v>265</v>
      </c>
      <c r="D171" s="307" t="s">
        <v>5</v>
      </c>
      <c r="E171" s="306">
        <v>1</v>
      </c>
      <c r="F171" s="306">
        <v>1</v>
      </c>
      <c r="G171" s="306">
        <v>1</v>
      </c>
    </row>
    <row r="172" spans="2:8" ht="15" customHeight="1">
      <c r="B172" s="4" t="s">
        <v>173</v>
      </c>
      <c r="C172" s="304" t="s">
        <v>6</v>
      </c>
      <c r="D172" s="309" t="s">
        <v>2</v>
      </c>
      <c r="E172" s="310">
        <v>10</v>
      </c>
      <c r="F172" s="310">
        <v>10</v>
      </c>
      <c r="G172" s="310">
        <v>10</v>
      </c>
    </row>
    <row r="173" spans="2:8" ht="15" customHeight="1">
      <c r="B173" s="4" t="s">
        <v>152</v>
      </c>
      <c r="C173" s="91" t="s">
        <v>8</v>
      </c>
      <c r="D173" s="46" t="s">
        <v>5</v>
      </c>
      <c r="E173" s="287">
        <f>IF(ISNUMBER(E64),E64,"")</f>
        <v>0</v>
      </c>
      <c r="F173" s="287">
        <f>IF(ISNUMBER(F64),F64,"")</f>
        <v>0</v>
      </c>
      <c r="G173" s="287">
        <f>IF(ISNUMBER(G64),G64,"")</f>
        <v>0</v>
      </c>
    </row>
    <row r="174" spans="2:8" ht="15" customHeight="1">
      <c r="B174" s="4" t="s">
        <v>153</v>
      </c>
      <c r="C174" s="92" t="s">
        <v>11</v>
      </c>
      <c r="D174" s="45" t="s">
        <v>2</v>
      </c>
      <c r="E174" s="282">
        <f>IF(ISNUMBER(E64),IF(E173&lt;E167,E170,IF(E173&gt;E168,E172,IF(AND(E173&lt;=E168,E173&gt;=E167),IF(ISNUMBER(E173),ROUND(FORECAST(E173,E171:E172,E167:E168),0),"")))),"")</f>
        <v>0</v>
      </c>
      <c r="F174" s="282">
        <f t="shared" ref="F174:G174" si="9">IF(ISNUMBER(F64),IF(F173&lt;F167,F170,IF(F173&gt;F168,F172,IF(AND(F173&lt;=F168,F173&gt;=F167),IF(ISNUMBER(F173),ROUND(FORECAST(F173,F171:F172,F167:F168),0),"")))),"")</f>
        <v>0</v>
      </c>
      <c r="G174" s="282">
        <f t="shared" si="9"/>
        <v>0</v>
      </c>
    </row>
    <row r="175" spans="2:8" s="27" customFormat="1" ht="15" customHeight="1">
      <c r="B175" s="13" t="s">
        <v>154</v>
      </c>
      <c r="C175" s="93" t="s">
        <v>37</v>
      </c>
      <c r="D175" s="47" t="s">
        <v>2</v>
      </c>
      <c r="E175" s="283">
        <f>IF(G174="","brak danych",ROUND(IF(ISNUMBER(E174),AVERAGE(E174:G174),IF(ISNUMBER(F174),AVERAGE(F174:G174),IF(ISNUMBER(G174),G174,"bd"))),0))</f>
        <v>0</v>
      </c>
    </row>
    <row r="176" spans="2:8" ht="15" customHeight="1">
      <c r="B176" s="53" t="s">
        <v>73</v>
      </c>
      <c r="C176" s="54"/>
      <c r="D176" s="5"/>
      <c r="G176" s="5"/>
    </row>
    <row r="177" spans="2:12" ht="15" customHeight="1">
      <c r="B177" s="50"/>
      <c r="C177" s="51"/>
      <c r="D177" s="2"/>
      <c r="E177" s="52"/>
      <c r="F177" s="52"/>
      <c r="G177" s="52"/>
    </row>
    <row r="178" spans="2:12" ht="15" customHeight="1">
      <c r="B178" s="50"/>
      <c r="C178" s="37" t="str">
        <f>H64</f>
        <v>Kryterium nr 8</v>
      </c>
      <c r="D178" s="2"/>
      <c r="E178" s="52"/>
      <c r="F178" s="52"/>
      <c r="G178" s="52"/>
    </row>
    <row r="179" spans="2:12" ht="30" customHeight="1">
      <c r="B179" s="269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C179" s="270"/>
      <c r="D179" s="270"/>
      <c r="E179" s="86"/>
      <c r="F179" s="86"/>
      <c r="G179" s="87"/>
    </row>
    <row r="180" spans="2:12" ht="15" customHeight="1">
      <c r="B180" s="13" t="s">
        <v>144</v>
      </c>
      <c r="C180" s="13" t="s">
        <v>158</v>
      </c>
      <c r="D180" s="13" t="str">
        <f>D262</f>
        <v>Jedn./Lata</v>
      </c>
      <c r="E180" s="13">
        <f>E56</f>
        <v>2019</v>
      </c>
      <c r="F180" s="13">
        <f>F56</f>
        <v>2020</v>
      </c>
      <c r="G180" s="13">
        <f>G56</f>
        <v>2021</v>
      </c>
    </row>
    <row r="181" spans="2:12" ht="15" customHeight="1">
      <c r="B181" s="4" t="s">
        <v>150</v>
      </c>
      <c r="C181" s="92" t="s">
        <v>32</v>
      </c>
      <c r="D181" s="4" t="str">
        <f>'Dane finansowe'!$D$7</f>
        <v>zł</v>
      </c>
      <c r="E181" s="288" t="str">
        <f>IF(ISNUMBER('Dane finansowe'!E54),'Dane finansowe'!E54,"")</f>
        <v/>
      </c>
      <c r="F181" s="288" t="str">
        <f>IF(ISNUMBER('Dane finansowe'!F54),'Dane finansowe'!F54,"")</f>
        <v/>
      </c>
      <c r="G181" s="288" t="str">
        <f>IF(ISNUMBER('Dane finansowe'!G54),'Dane finansowe'!G54,"")</f>
        <v/>
      </c>
    </row>
    <row r="182" spans="2:12" ht="15" customHeight="1">
      <c r="B182" s="4" t="s">
        <v>151</v>
      </c>
      <c r="C182" s="92" t="s">
        <v>39</v>
      </c>
      <c r="D182" s="4" t="str">
        <f>'Dane finansowe'!$D$7</f>
        <v>zł</v>
      </c>
      <c r="E182" s="288" t="str">
        <f>IF(ISNUMBER('Dane finansowe'!E55),'Dane finansowe'!E55,"")</f>
        <v/>
      </c>
      <c r="F182" s="288" t="str">
        <f>IF(ISNUMBER('Dane finansowe'!F55),'Dane finansowe'!F55,"")</f>
        <v/>
      </c>
      <c r="G182" s="288" t="str">
        <f>IF(ISNUMBER('Dane finansowe'!G55),'Dane finansowe'!G55,"")</f>
        <v/>
      </c>
    </row>
    <row r="183" spans="2:12" ht="15" customHeight="1">
      <c r="B183" s="4" t="s">
        <v>152</v>
      </c>
      <c r="C183" s="91" t="s">
        <v>33</v>
      </c>
      <c r="D183" s="4" t="str">
        <f>'Dane finansowe'!$D$7</f>
        <v>zł</v>
      </c>
      <c r="E183" s="288" t="str">
        <f>IF(ISNUMBER('Dane finansowe'!E57),'Dane finansowe'!E57,"")</f>
        <v/>
      </c>
      <c r="F183" s="288" t="str">
        <f>IF(ISNUMBER('Dane finansowe'!F57),'Dane finansowe'!F57,"")</f>
        <v/>
      </c>
      <c r="G183" s="288" t="str">
        <f>IF(ISNUMBER('Dane finansowe'!G57),'Dane finansowe'!G57,"")</f>
        <v/>
      </c>
    </row>
    <row r="184" spans="2:12" ht="15" customHeight="1">
      <c r="B184" s="4" t="s">
        <v>153</v>
      </c>
      <c r="C184" s="91" t="s">
        <v>185</v>
      </c>
      <c r="D184" s="4" t="str">
        <f>'Dane finansowe'!$D$7</f>
        <v>zł</v>
      </c>
      <c r="E184" s="288" t="str">
        <f>IF(ISNUMBER('Dane finansowe'!E63),'Dane finansowe'!E63,"")</f>
        <v/>
      </c>
      <c r="F184" s="288" t="str">
        <f>IF(ISNUMBER('Dane finansowe'!F63),'Dane finansowe'!F63,"")</f>
        <v/>
      </c>
      <c r="G184" s="288" t="str">
        <f>IF(ISNUMBER('Dane finansowe'!G63),'Dane finansowe'!G63,"")</f>
        <v/>
      </c>
    </row>
    <row r="185" spans="2:12" ht="15" customHeight="1">
      <c r="B185" s="4" t="s">
        <v>154</v>
      </c>
      <c r="C185" s="91" t="s">
        <v>34</v>
      </c>
      <c r="D185" s="4" t="str">
        <f>'Dane finansowe'!$D$7</f>
        <v>zł</v>
      </c>
      <c r="E185" s="288">
        <f>IF(ISNUMBER('Dane finansowe'!E58),'Dane finansowe'!E58,0)</f>
        <v>0</v>
      </c>
      <c r="F185" s="288">
        <f>IF(ISNUMBER('Dane finansowe'!F58),'Dane finansowe'!F58,0)</f>
        <v>0</v>
      </c>
      <c r="G185" s="288">
        <f>IF(ISNUMBER('Dane finansowe'!G58),'Dane finansowe'!G58,0)</f>
        <v>0</v>
      </c>
    </row>
    <row r="186" spans="2:12" s="27" customFormat="1" ht="15" customHeight="1">
      <c r="B186" s="13" t="s">
        <v>157</v>
      </c>
      <c r="C186" s="93" t="s">
        <v>40</v>
      </c>
      <c r="D186" s="13" t="s">
        <v>5</v>
      </c>
      <c r="E186" s="289" t="str">
        <f>IF(AND(ISNUMBER(E181),ISNUMBER(E182),ISNUMBER(E183),ISNUMBER(E184),ISNUMBER(E185)),IF(E185=0,"",(E181+E182+E183+E184)/E185),"")</f>
        <v/>
      </c>
      <c r="F186" s="289" t="str">
        <f>IF(AND(ISNUMBER(F181),ISNUMBER(F182),ISNUMBER(F183),ISNUMBER(F184),ISNUMBER(F185)),IF(F185=0,"",(F181+F182+F183+F184)/F185),"")</f>
        <v/>
      </c>
      <c r="G186" s="289" t="str">
        <f>IF(AND(ISNUMBER(G181),ISNUMBER(G182),ISNUMBER(G183),ISNUMBER(G184),ISNUMBER(G185)),IF(G185=0,"",(G181+G182+G183+G184)/G185),"")</f>
        <v/>
      </c>
    </row>
    <row r="187" spans="2:12" ht="15" customHeight="1"/>
    <row r="188" spans="2:12" ht="15" customHeight="1">
      <c r="E188" s="11"/>
    </row>
    <row r="189" spans="2:12" ht="15" customHeight="1">
      <c r="C189" s="37" t="str">
        <f>H66</f>
        <v>Kryterium nr 9.1</v>
      </c>
    </row>
    <row r="190" spans="2:12" ht="30" customHeight="1">
      <c r="B190" s="180" t="str">
        <f>C66</f>
        <v>Wskaźnik rotacji zapasów</v>
      </c>
      <c r="C190" s="181"/>
      <c r="D190" s="88"/>
      <c r="E190" s="88"/>
      <c r="F190" s="88"/>
      <c r="G190" s="89"/>
      <c r="I190" s="84" t="str">
        <f>B190</f>
        <v>Wskaźnik rotacji zapasów</v>
      </c>
      <c r="J190" s="86"/>
      <c r="K190" s="86"/>
      <c r="L190" s="87"/>
    </row>
    <row r="191" spans="2:12" s="31" customFormat="1" ht="15" customHeight="1">
      <c r="B191" s="3" t="s">
        <v>144</v>
      </c>
      <c r="C191" s="30" t="s">
        <v>158</v>
      </c>
      <c r="D191" s="30" t="s">
        <v>1</v>
      </c>
      <c r="E191" s="38">
        <f>E56</f>
        <v>2019</v>
      </c>
      <c r="F191" s="38">
        <f>F56</f>
        <v>2020</v>
      </c>
      <c r="G191" s="38">
        <f>G56</f>
        <v>2021</v>
      </c>
      <c r="I191" s="55" t="s">
        <v>158</v>
      </c>
      <c r="J191" s="13">
        <f>E56</f>
        <v>2019</v>
      </c>
      <c r="K191" s="13">
        <f>F56</f>
        <v>2020</v>
      </c>
      <c r="L191" s="13">
        <f>G56</f>
        <v>2021</v>
      </c>
    </row>
    <row r="192" spans="2:12" ht="15" customHeight="1">
      <c r="B192" s="73" t="s">
        <v>150</v>
      </c>
      <c r="C192" s="91" t="s">
        <v>3</v>
      </c>
      <c r="D192" s="39"/>
      <c r="E192" s="40"/>
      <c r="F192" s="40"/>
      <c r="G192" s="41"/>
      <c r="I192" s="92" t="s">
        <v>114</v>
      </c>
      <c r="J192" s="301">
        <f>'Dane finansowe'!E23</f>
        <v>0</v>
      </c>
      <c r="K192" s="301">
        <f>'Dane finansowe'!F23</f>
        <v>0</v>
      </c>
      <c r="L192" s="301">
        <f>'Dane finansowe'!G23</f>
        <v>0</v>
      </c>
    </row>
    <row r="193" spans="2:17" ht="15" customHeight="1">
      <c r="B193" s="4" t="s">
        <v>173</v>
      </c>
      <c r="C193" s="91" t="s">
        <v>4</v>
      </c>
      <c r="D193" s="42" t="s">
        <v>35</v>
      </c>
      <c r="E193" s="275">
        <v>15</v>
      </c>
      <c r="F193" s="275">
        <v>15</v>
      </c>
      <c r="G193" s="275">
        <v>15</v>
      </c>
      <c r="I193" s="92" t="s">
        <v>118</v>
      </c>
      <c r="J193" s="301">
        <f>'Dane finansowe'!E35</f>
        <v>0</v>
      </c>
      <c r="K193" s="301">
        <f>'Dane finansowe'!F35</f>
        <v>0</v>
      </c>
      <c r="L193" s="301">
        <f>'Dane finansowe'!G35</f>
        <v>0</v>
      </c>
    </row>
    <row r="194" spans="2:17" ht="15" customHeight="1">
      <c r="B194" s="4" t="s">
        <v>173</v>
      </c>
      <c r="C194" s="91" t="s">
        <v>6</v>
      </c>
      <c r="D194" s="42" t="s">
        <v>35</v>
      </c>
      <c r="E194" s="276">
        <v>30</v>
      </c>
      <c r="F194" s="276">
        <v>30</v>
      </c>
      <c r="G194" s="276">
        <v>30</v>
      </c>
      <c r="I194" s="92" t="s">
        <v>116</v>
      </c>
      <c r="J194" s="301" t="str">
        <f>IF(J193=0,"",J192/J193)</f>
        <v/>
      </c>
      <c r="K194" s="301" t="str">
        <f>IF(K193=0,"",K192/K193)</f>
        <v/>
      </c>
      <c r="L194" s="301" t="str">
        <f>IF(L193=0,"",L192/L193)</f>
        <v/>
      </c>
    </row>
    <row r="195" spans="2:17" ht="15" customHeight="1">
      <c r="B195" s="73" t="s">
        <v>151</v>
      </c>
      <c r="C195" s="91" t="s">
        <v>7</v>
      </c>
      <c r="D195" s="39"/>
      <c r="E195" s="277"/>
      <c r="F195" s="277"/>
      <c r="G195" s="278"/>
    </row>
    <row r="196" spans="2:17" ht="15" customHeight="1">
      <c r="B196" s="4" t="s">
        <v>173</v>
      </c>
      <c r="C196" s="91" t="s">
        <v>4</v>
      </c>
      <c r="D196" s="44" t="s">
        <v>2</v>
      </c>
      <c r="E196" s="279">
        <v>10</v>
      </c>
      <c r="F196" s="279">
        <v>10</v>
      </c>
      <c r="G196" s="279">
        <v>10</v>
      </c>
    </row>
    <row r="197" spans="2:17" ht="15" customHeight="1">
      <c r="B197" s="4" t="s">
        <v>173</v>
      </c>
      <c r="C197" s="91" t="s">
        <v>6</v>
      </c>
      <c r="D197" s="45" t="s">
        <v>2</v>
      </c>
      <c r="E197" s="280">
        <v>0</v>
      </c>
      <c r="F197" s="280">
        <v>0</v>
      </c>
      <c r="G197" s="280">
        <v>0</v>
      </c>
    </row>
    <row r="198" spans="2:17" ht="15" customHeight="1">
      <c r="B198" s="4" t="s">
        <v>152</v>
      </c>
      <c r="C198" s="91" t="s">
        <v>8</v>
      </c>
      <c r="D198" s="46" t="s">
        <v>5</v>
      </c>
      <c r="E198" s="287" t="str">
        <f>IF(ISNUMBER(E66),E66,"")</f>
        <v/>
      </c>
      <c r="F198" s="287" t="str">
        <f>IF(ISNUMBER(F66),F66,"")</f>
        <v/>
      </c>
      <c r="G198" s="287" t="str">
        <f>IF(ISNUMBER(G66),G66,"")</f>
        <v/>
      </c>
    </row>
    <row r="199" spans="2:17" ht="15" customHeight="1">
      <c r="B199" s="4" t="s">
        <v>153</v>
      </c>
      <c r="C199" s="92" t="s">
        <v>11</v>
      </c>
      <c r="D199" s="45" t="s">
        <v>2</v>
      </c>
      <c r="E199" s="282" t="str">
        <f>IF(ISNUMBER(E66),IF(E198&lt;E193,E196,IF(E198&gt;E194,E197,IF(AND(E198&lt;=E194,E198&gt;=E193),IF(ISNUMBER(E198),ROUND(FORECAST(E198,E196:E197,E193:E194),0),"")))),"")</f>
        <v/>
      </c>
      <c r="F199" s="282" t="str">
        <f>IF(ISNUMBER(F66),IF(F198&lt;F193,F196,IF(F198&gt;F194,F197,IF(AND(F198&lt;=F194,F198&gt;=F193),IF(ISNUMBER(F198),ROUND(FORECAST(F198,F196:F197,F193:F194),0),"")))),"")</f>
        <v/>
      </c>
      <c r="G199" s="282" t="str">
        <f>IF(ISNUMBER(G66),IF(G198&lt;G193,G196,IF(G198&gt;G194,G197,IF(AND(G198&lt;=G194,G198&gt;=G193),IF(ISNUMBER(G198),ROUND(FORECAST(G198,G196:G197,G193:G194),0),"")))),"")</f>
        <v/>
      </c>
    </row>
    <row r="200" spans="2:17" s="27" customFormat="1" ht="15" customHeight="1">
      <c r="B200" s="13" t="s">
        <v>154</v>
      </c>
      <c r="C200" s="93" t="s">
        <v>37</v>
      </c>
      <c r="D200" s="47" t="s">
        <v>2</v>
      </c>
      <c r="E200" s="283" t="str">
        <f>IF(G199="","brak danych",ROUND(IF(ISNUMBER(E199),AVERAGE(E199:G199),IF(ISNUMBER(F199),AVERAGE(F199:G199),IF(ISNUMBER(G199),G199,"bd"))),0))</f>
        <v>brak danych</v>
      </c>
      <c r="F200" s="290"/>
      <c r="G200" s="290"/>
    </row>
    <row r="201" spans="2:17" s="27" customFormat="1" ht="15" customHeight="1">
      <c r="B201" s="48"/>
      <c r="C201" s="28"/>
      <c r="D201" s="49"/>
      <c r="E201" s="31"/>
      <c r="F201" s="31"/>
      <c r="G201" s="31"/>
    </row>
    <row r="202" spans="2:17" s="27" customFormat="1" ht="15" customHeight="1">
      <c r="B202" s="48"/>
      <c r="C202" s="28"/>
      <c r="D202" s="49"/>
      <c r="E202" s="31"/>
      <c r="F202" s="31"/>
      <c r="G202" s="31"/>
    </row>
    <row r="203" spans="2:17" ht="30" customHeight="1">
      <c r="C203" s="37" t="str">
        <f>H67</f>
        <v>Kryterium nr 9.2</v>
      </c>
      <c r="E203" s="11"/>
    </row>
    <row r="204" spans="2:17" ht="30" customHeight="1">
      <c r="B204" s="180" t="str">
        <f>C67</f>
        <v>Wskaźnik rotacji należności</v>
      </c>
      <c r="C204" s="268"/>
      <c r="D204" s="88"/>
      <c r="E204" s="88"/>
      <c r="F204" s="88"/>
      <c r="G204" s="89"/>
      <c r="I204" s="84" t="str">
        <f>B204</f>
        <v>Wskaźnik rotacji należności</v>
      </c>
      <c r="J204" s="85"/>
      <c r="K204" s="85"/>
      <c r="L204" s="90"/>
    </row>
    <row r="205" spans="2:17" s="58" customFormat="1" ht="15" customHeight="1">
      <c r="B205" s="56" t="s">
        <v>144</v>
      </c>
      <c r="C205" s="55" t="s">
        <v>158</v>
      </c>
      <c r="D205" s="55" t="s">
        <v>1</v>
      </c>
      <c r="E205" s="57">
        <f>E56</f>
        <v>2019</v>
      </c>
      <c r="F205" s="57">
        <f>F56</f>
        <v>2020</v>
      </c>
      <c r="G205" s="57">
        <f>G56</f>
        <v>2021</v>
      </c>
      <c r="I205" s="55" t="s">
        <v>158</v>
      </c>
      <c r="J205" s="59">
        <f>E56</f>
        <v>2019</v>
      </c>
      <c r="K205" s="59">
        <f>F56</f>
        <v>2020</v>
      </c>
      <c r="L205" s="59">
        <f>G56</f>
        <v>2021</v>
      </c>
      <c r="N205" s="5"/>
    </row>
    <row r="206" spans="2:17" ht="15" customHeight="1">
      <c r="B206" s="73" t="s">
        <v>150</v>
      </c>
      <c r="C206" s="91" t="s">
        <v>3</v>
      </c>
      <c r="D206" s="39"/>
      <c r="E206" s="40"/>
      <c r="F206" s="40"/>
      <c r="G206" s="41"/>
      <c r="I206" s="92" t="s">
        <v>114</v>
      </c>
      <c r="J206" s="301">
        <f>'Dane finansowe'!E23</f>
        <v>0</v>
      </c>
      <c r="K206" s="301">
        <f>'Dane finansowe'!F23</f>
        <v>0</v>
      </c>
      <c r="L206" s="301">
        <f>'Dane finansowe'!G23</f>
        <v>0</v>
      </c>
    </row>
    <row r="207" spans="2:17" ht="15" customHeight="1">
      <c r="B207" s="4" t="s">
        <v>173</v>
      </c>
      <c r="C207" s="91" t="s">
        <v>4</v>
      </c>
      <c r="D207" s="42" t="s">
        <v>35</v>
      </c>
      <c r="E207" s="275">
        <v>30</v>
      </c>
      <c r="F207" s="275">
        <v>30</v>
      </c>
      <c r="G207" s="275">
        <v>30</v>
      </c>
      <c r="I207" s="92" t="s">
        <v>115</v>
      </c>
      <c r="J207" s="301">
        <f>'Dane finansowe'!E36</f>
        <v>0</v>
      </c>
      <c r="K207" s="301">
        <f>'Dane finansowe'!F36</f>
        <v>0</v>
      </c>
      <c r="L207" s="301">
        <f>'Dane finansowe'!G36</f>
        <v>0</v>
      </c>
      <c r="Q207" s="60"/>
    </row>
    <row r="208" spans="2:17" ht="15" customHeight="1">
      <c r="B208" s="4" t="s">
        <v>173</v>
      </c>
      <c r="C208" s="91" t="s">
        <v>6</v>
      </c>
      <c r="D208" s="42" t="s">
        <v>35</v>
      </c>
      <c r="E208" s="276">
        <v>90</v>
      </c>
      <c r="F208" s="276">
        <v>90</v>
      </c>
      <c r="G208" s="276">
        <v>90</v>
      </c>
      <c r="I208" s="92" t="s">
        <v>116</v>
      </c>
      <c r="J208" s="301" t="str">
        <f>IF(J207=0,"",J206/J207)</f>
        <v/>
      </c>
      <c r="K208" s="301" t="str">
        <f>IF(K207=0,"",K206/K207)</f>
        <v/>
      </c>
      <c r="L208" s="301" t="str">
        <f>IF(L207=0,"",L206/L207)</f>
        <v/>
      </c>
    </row>
    <row r="209" spans="2:12" ht="15" customHeight="1">
      <c r="B209" s="73" t="s">
        <v>151</v>
      </c>
      <c r="C209" s="91" t="s">
        <v>7</v>
      </c>
      <c r="D209" s="39"/>
      <c r="E209" s="277"/>
      <c r="F209" s="277"/>
      <c r="G209" s="278"/>
    </row>
    <row r="210" spans="2:12" ht="15" customHeight="1">
      <c r="B210" s="4" t="s">
        <v>173</v>
      </c>
      <c r="C210" s="91" t="s">
        <v>4</v>
      </c>
      <c r="D210" s="44" t="s">
        <v>2</v>
      </c>
      <c r="E210" s="279">
        <v>10</v>
      </c>
      <c r="F210" s="279">
        <v>10</v>
      </c>
      <c r="G210" s="279">
        <v>10</v>
      </c>
    </row>
    <row r="211" spans="2:12" ht="15" customHeight="1">
      <c r="B211" s="4" t="s">
        <v>173</v>
      </c>
      <c r="C211" s="91" t="s">
        <v>6</v>
      </c>
      <c r="D211" s="45" t="s">
        <v>2</v>
      </c>
      <c r="E211" s="280">
        <v>0</v>
      </c>
      <c r="F211" s="280">
        <v>0</v>
      </c>
      <c r="G211" s="280">
        <v>0</v>
      </c>
    </row>
    <row r="212" spans="2:12" ht="15" customHeight="1">
      <c r="B212" s="4" t="s">
        <v>152</v>
      </c>
      <c r="C212" s="91" t="s">
        <v>8</v>
      </c>
      <c r="D212" s="46" t="s">
        <v>5</v>
      </c>
      <c r="E212" s="287" t="str">
        <f>IF(ISNUMBER(E67),E67,"")</f>
        <v/>
      </c>
      <c r="F212" s="287" t="str">
        <f>IF(ISNUMBER(F67),F67,"")</f>
        <v/>
      </c>
      <c r="G212" s="287" t="str">
        <f>IF(ISNUMBER(G67),G67,"")</f>
        <v/>
      </c>
    </row>
    <row r="213" spans="2:12" ht="15" customHeight="1">
      <c r="B213" s="4" t="s">
        <v>153</v>
      </c>
      <c r="C213" s="92" t="s">
        <v>11</v>
      </c>
      <c r="D213" s="45" t="s">
        <v>2</v>
      </c>
      <c r="E213" s="282" t="str">
        <f>IF(ISNUMBER(E67),IF(E212&lt;E207,E210,IF(E212&gt;E208,E211,IF(AND(E212&lt;=E208,E212&gt;=E207),IF(ISNUMBER(E212),ROUND(FORECAST(E212,E210:E211,E207:E208),0),"")))),"")</f>
        <v/>
      </c>
      <c r="F213" s="282" t="str">
        <f>IF(ISNUMBER(F67),IF(F212&lt;F207,F210,IF(F212&gt;F208,F211,IF(AND(F212&lt;=F208,F212&gt;=F207),IF(ISNUMBER(F212),ROUND(FORECAST(F212,F210:F211,F207:F208),0),"")))),"")</f>
        <v/>
      </c>
      <c r="G213" s="282" t="str">
        <f>IF(ISNUMBER(G67),IF(G212&lt;G207,G210,IF(G212&gt;G208,G211,IF(AND(G212&lt;=G208,G212&gt;=G207),IF(ISNUMBER(G212),ROUND(FORECAST(G212,G210:G211,G207:G208),0),"")))),"")</f>
        <v/>
      </c>
    </row>
    <row r="214" spans="2:12" s="27" customFormat="1" ht="15" customHeight="1">
      <c r="B214" s="13" t="s">
        <v>154</v>
      </c>
      <c r="C214" s="93" t="s">
        <v>37</v>
      </c>
      <c r="D214" s="47" t="s">
        <v>2</v>
      </c>
      <c r="E214" s="283" t="str">
        <f>IF(G213="","brak danych",ROUND(IF(ISNUMBER(E213),AVERAGE(E213:G213),IF(ISNUMBER(F213),AVERAGE(F213:G213),IF(ISNUMBER(G213),G213,"bd"))),0))</f>
        <v>brak danych</v>
      </c>
      <c r="F214" s="290"/>
      <c r="G214" s="290"/>
    </row>
    <row r="215" spans="2:12" s="27" customFormat="1" ht="15" customHeight="1">
      <c r="B215" s="48"/>
      <c r="C215" s="28"/>
      <c r="D215" s="49"/>
      <c r="E215" s="31"/>
      <c r="F215" s="31"/>
      <c r="G215" s="31"/>
    </row>
    <row r="216" spans="2:12" s="27" customFormat="1" ht="15" customHeight="1">
      <c r="B216" s="48"/>
      <c r="C216" s="28"/>
      <c r="D216" s="49"/>
      <c r="E216" s="31"/>
      <c r="F216" s="31"/>
      <c r="G216" s="31"/>
    </row>
    <row r="217" spans="2:12" ht="15" customHeight="1">
      <c r="C217" s="37" t="str">
        <f>H68</f>
        <v>Kryterium nr 9.3</v>
      </c>
    </row>
    <row r="218" spans="2:12" ht="30" customHeight="1">
      <c r="B218" s="180" t="str">
        <f>C68</f>
        <v>Wskaźnik rotacji zobowiązań krótkoterminowych</v>
      </c>
      <c r="C218" s="181"/>
      <c r="D218" s="88"/>
      <c r="E218" s="88"/>
      <c r="F218" s="88"/>
      <c r="G218" s="89"/>
      <c r="I218" s="84" t="str">
        <f>B218</f>
        <v>Wskaźnik rotacji zobowiązań krótkoterminowych</v>
      </c>
      <c r="J218" s="85"/>
      <c r="K218" s="85"/>
      <c r="L218" s="90"/>
    </row>
    <row r="219" spans="2:12" s="58" customFormat="1" ht="15" customHeight="1">
      <c r="B219" s="56" t="s">
        <v>144</v>
      </c>
      <c r="C219" s="55" t="s">
        <v>158</v>
      </c>
      <c r="D219" s="55" t="s">
        <v>1</v>
      </c>
      <c r="E219" s="57">
        <f>E56</f>
        <v>2019</v>
      </c>
      <c r="F219" s="57">
        <f>F56</f>
        <v>2020</v>
      </c>
      <c r="G219" s="57">
        <f>G56</f>
        <v>2021</v>
      </c>
      <c r="I219" s="55" t="s">
        <v>158</v>
      </c>
      <c r="J219" s="59">
        <f>E56</f>
        <v>2019</v>
      </c>
      <c r="K219" s="59">
        <f>F56</f>
        <v>2020</v>
      </c>
      <c r="L219" s="59">
        <f>G56</f>
        <v>2021</v>
      </c>
    </row>
    <row r="220" spans="2:12" ht="15" customHeight="1">
      <c r="B220" s="73" t="s">
        <v>150</v>
      </c>
      <c r="C220" s="91" t="s">
        <v>3</v>
      </c>
      <c r="D220" s="39"/>
      <c r="E220" s="40"/>
      <c r="F220" s="40"/>
      <c r="G220" s="41"/>
      <c r="I220" s="92" t="s">
        <v>114</v>
      </c>
      <c r="J220" s="301">
        <f>'Dane finansowe'!E23</f>
        <v>0</v>
      </c>
      <c r="K220" s="301">
        <f>'Dane finansowe'!F23</f>
        <v>0</v>
      </c>
      <c r="L220" s="301">
        <f>'Dane finansowe'!G23</f>
        <v>0</v>
      </c>
    </row>
    <row r="221" spans="2:12" ht="15" customHeight="1">
      <c r="B221" s="4" t="s">
        <v>173</v>
      </c>
      <c r="C221" s="91" t="s">
        <v>4</v>
      </c>
      <c r="D221" s="42" t="s">
        <v>35</v>
      </c>
      <c r="E221" s="275">
        <v>30</v>
      </c>
      <c r="F221" s="275">
        <v>30</v>
      </c>
      <c r="G221" s="275">
        <v>30</v>
      </c>
      <c r="I221" s="92" t="s">
        <v>117</v>
      </c>
      <c r="J221" s="301">
        <f>'Dane finansowe'!E49</f>
        <v>0</v>
      </c>
      <c r="K221" s="301">
        <f>'Dane finansowe'!F49</f>
        <v>0</v>
      </c>
      <c r="L221" s="301">
        <f>'Dane finansowe'!G49</f>
        <v>0</v>
      </c>
    </row>
    <row r="222" spans="2:12" ht="15" customHeight="1">
      <c r="B222" s="4" t="s">
        <v>173</v>
      </c>
      <c r="C222" s="91" t="s">
        <v>6</v>
      </c>
      <c r="D222" s="42" t="s">
        <v>35</v>
      </c>
      <c r="E222" s="276">
        <v>90</v>
      </c>
      <c r="F222" s="276">
        <v>90</v>
      </c>
      <c r="G222" s="276">
        <v>90</v>
      </c>
      <c r="I222" s="92" t="s">
        <v>116</v>
      </c>
      <c r="J222" s="301" t="str">
        <f>IF(J221=0,"",J220/J221)</f>
        <v/>
      </c>
      <c r="K222" s="301" t="str">
        <f>IF(K221=0,"",K220/K221)</f>
        <v/>
      </c>
      <c r="L222" s="301" t="str">
        <f>IF(L221=0,"",L220/L221)</f>
        <v/>
      </c>
    </row>
    <row r="223" spans="2:12" ht="15" customHeight="1">
      <c r="B223" s="73" t="s">
        <v>151</v>
      </c>
      <c r="C223" s="91" t="s">
        <v>7</v>
      </c>
      <c r="D223" s="39"/>
      <c r="E223" s="277"/>
      <c r="F223" s="277"/>
      <c r="G223" s="278"/>
      <c r="I223" s="94"/>
    </row>
    <row r="224" spans="2:12" ht="15" customHeight="1">
      <c r="B224" s="4" t="s">
        <v>173</v>
      </c>
      <c r="C224" s="91" t="s">
        <v>4</v>
      </c>
      <c r="D224" s="44" t="s">
        <v>2</v>
      </c>
      <c r="E224" s="279">
        <v>10</v>
      </c>
      <c r="F224" s="279">
        <v>10</v>
      </c>
      <c r="G224" s="279">
        <v>10</v>
      </c>
    </row>
    <row r="225" spans="2:7" ht="15" customHeight="1">
      <c r="B225" s="4" t="s">
        <v>173</v>
      </c>
      <c r="C225" s="91" t="s">
        <v>6</v>
      </c>
      <c r="D225" s="45" t="s">
        <v>2</v>
      </c>
      <c r="E225" s="280">
        <v>0</v>
      </c>
      <c r="F225" s="280">
        <v>0</v>
      </c>
      <c r="G225" s="280">
        <v>0</v>
      </c>
    </row>
    <row r="226" spans="2:7" ht="15" customHeight="1">
      <c r="B226" s="4" t="s">
        <v>152</v>
      </c>
      <c r="C226" s="91" t="s">
        <v>8</v>
      </c>
      <c r="D226" s="46" t="s">
        <v>5</v>
      </c>
      <c r="E226" s="287" t="str">
        <f>IF(ISNUMBER(E68),E68,"")</f>
        <v/>
      </c>
      <c r="F226" s="287" t="str">
        <f>IF(ISNUMBER(F68),F68,"")</f>
        <v/>
      </c>
      <c r="G226" s="287" t="str">
        <f>IF(ISNUMBER(G68),G68,"")</f>
        <v/>
      </c>
    </row>
    <row r="227" spans="2:7" ht="15" customHeight="1">
      <c r="B227" s="4" t="s">
        <v>153</v>
      </c>
      <c r="C227" s="92" t="s">
        <v>11</v>
      </c>
      <c r="D227" s="45" t="s">
        <v>2</v>
      </c>
      <c r="E227" s="282" t="str">
        <f>IF(ISNUMBER(E68),IF(E226&lt;E221,E224,IF(E226&gt;E222,E225,IF(AND(E226&lt;=E222,E226&gt;=E221),IF(ISNUMBER(E226),ROUND(FORECAST(E226,E224:E225,E221:E222),0),"")))),"")</f>
        <v/>
      </c>
      <c r="F227" s="282" t="str">
        <f>IF(ISNUMBER(F68),IF(F226&lt;F221,F224,IF(F226&gt;F222,F225,IF(AND(F226&lt;=F222,F226&gt;=F221),IF(ISNUMBER(F226),ROUND(FORECAST(F226,F224:F225,F221:F222),0),"")))),"")</f>
        <v/>
      </c>
      <c r="G227" s="282" t="str">
        <f>IF(ISNUMBER(G68),IF(G226&lt;G221,G224,IF(G226&gt;G222,G225,IF(AND(G226&lt;=G222,G226&gt;=G221),IF(ISNUMBER(G226),ROUND(FORECAST(G226,G224:G225,G221:G222),0),"")))),"")</f>
        <v/>
      </c>
    </row>
    <row r="228" spans="2:7" s="27" customFormat="1" ht="15" customHeight="1">
      <c r="B228" s="13" t="s">
        <v>154</v>
      </c>
      <c r="C228" s="93" t="s">
        <v>37</v>
      </c>
      <c r="D228" s="47" t="s">
        <v>2</v>
      </c>
      <c r="E228" s="283" t="str">
        <f>IF(G227="","brak danych",ROUND(IF(ISNUMBER(E227),AVERAGE(E227:G227),IF(ISNUMBER(F227),AVERAGE(F227:G227),IF(ISNUMBER(G227),G227,"bd"))),0))</f>
        <v>brak danych</v>
      </c>
      <c r="F228" s="290"/>
      <c r="G228" s="290"/>
    </row>
    <row r="229" spans="2:7" ht="15" customHeight="1"/>
    <row r="230" spans="2:7" ht="15" customHeight="1">
      <c r="E230" s="11"/>
    </row>
    <row r="231" spans="2:7" ht="15" customHeight="1">
      <c r="C231" s="37" t="str">
        <f>H69</f>
        <v>Kryterium nr 10</v>
      </c>
      <c r="E231" s="11"/>
    </row>
    <row r="232" spans="2:7" ht="30" customHeight="1">
      <c r="B232" s="180" t="str">
        <f>C69</f>
        <v>Pokrycie aktywów stałych: kapitał własny / aktywa trwałe</v>
      </c>
      <c r="C232" s="181"/>
      <c r="D232" s="88"/>
      <c r="E232" s="88"/>
      <c r="F232" s="88"/>
      <c r="G232" s="89"/>
    </row>
    <row r="233" spans="2:7" s="31" customFormat="1" ht="15" customHeight="1">
      <c r="B233" s="3" t="s">
        <v>144</v>
      </c>
      <c r="C233" s="30" t="s">
        <v>158</v>
      </c>
      <c r="D233" s="30" t="s">
        <v>1</v>
      </c>
      <c r="E233" s="38">
        <f>E56</f>
        <v>2019</v>
      </c>
      <c r="F233" s="38">
        <f>F56</f>
        <v>2020</v>
      </c>
      <c r="G233" s="38">
        <f>G56</f>
        <v>2021</v>
      </c>
    </row>
    <row r="234" spans="2:7" ht="15" customHeight="1">
      <c r="B234" s="73" t="s">
        <v>150</v>
      </c>
      <c r="C234" s="91" t="s">
        <v>3</v>
      </c>
      <c r="D234" s="39"/>
      <c r="E234" s="40"/>
      <c r="F234" s="40"/>
      <c r="G234" s="41"/>
    </row>
    <row r="235" spans="2:7" ht="15" customHeight="1">
      <c r="B235" s="4" t="s">
        <v>173</v>
      </c>
      <c r="C235" s="91" t="s">
        <v>4</v>
      </c>
      <c r="D235" s="42" t="s">
        <v>5</v>
      </c>
      <c r="E235" s="308">
        <v>0.8</v>
      </c>
      <c r="F235" s="308">
        <v>0.8</v>
      </c>
      <c r="G235" s="308">
        <v>0.8</v>
      </c>
    </row>
    <row r="236" spans="2:7" ht="15" customHeight="1">
      <c r="B236" s="4" t="s">
        <v>173</v>
      </c>
      <c r="C236" s="91" t="s">
        <v>6</v>
      </c>
      <c r="D236" s="42" t="s">
        <v>5</v>
      </c>
      <c r="E236" s="311">
        <v>1.1000000000000001</v>
      </c>
      <c r="F236" s="311">
        <v>1.1000000000000001</v>
      </c>
      <c r="G236" s="311">
        <v>1.1000000000000001</v>
      </c>
    </row>
    <row r="237" spans="2:7" ht="15" customHeight="1">
      <c r="B237" s="73" t="s">
        <v>151</v>
      </c>
      <c r="C237" s="91" t="s">
        <v>7</v>
      </c>
      <c r="D237" s="39"/>
      <c r="E237" s="277"/>
      <c r="F237" s="277"/>
      <c r="G237" s="278"/>
    </row>
    <row r="238" spans="2:7" ht="15" customHeight="1">
      <c r="B238" s="159"/>
      <c r="C238" s="304" t="s">
        <v>4</v>
      </c>
      <c r="D238" s="305" t="s">
        <v>2</v>
      </c>
      <c r="E238" s="306">
        <v>0</v>
      </c>
      <c r="F238" s="306">
        <v>0</v>
      </c>
      <c r="G238" s="306">
        <v>0</v>
      </c>
    </row>
    <row r="239" spans="2:7" ht="15" customHeight="1">
      <c r="B239" s="4" t="s">
        <v>173</v>
      </c>
      <c r="C239" s="304" t="s">
        <v>265</v>
      </c>
      <c r="D239" s="307" t="s">
        <v>5</v>
      </c>
      <c r="E239" s="308">
        <v>1.1000000000000001</v>
      </c>
      <c r="F239" s="308">
        <v>1.1000000000000001</v>
      </c>
      <c r="G239" s="308">
        <v>1.1000000000000001</v>
      </c>
    </row>
    <row r="240" spans="2:7" ht="15" customHeight="1">
      <c r="B240" s="4" t="s">
        <v>173</v>
      </c>
      <c r="C240" s="304" t="s">
        <v>6</v>
      </c>
      <c r="D240" s="309" t="s">
        <v>2</v>
      </c>
      <c r="E240" s="310">
        <v>5</v>
      </c>
      <c r="F240" s="310">
        <v>5</v>
      </c>
      <c r="G240" s="310">
        <v>5</v>
      </c>
    </row>
    <row r="241" spans="2:7" ht="15" customHeight="1">
      <c r="B241" s="4" t="s">
        <v>152</v>
      </c>
      <c r="C241" s="91" t="s">
        <v>8</v>
      </c>
      <c r="D241" s="46" t="s">
        <v>5</v>
      </c>
      <c r="E241" s="281" t="str">
        <f>IF(ISNUMBER(E69),E69,"")</f>
        <v/>
      </c>
      <c r="F241" s="281" t="str">
        <f>IF(ISNUMBER(F69),F69,"")</f>
        <v/>
      </c>
      <c r="G241" s="281" t="str">
        <f>IF(ISNUMBER(G69),G69,"")</f>
        <v/>
      </c>
    </row>
    <row r="242" spans="2:7" ht="15" customHeight="1">
      <c r="B242" s="4" t="s">
        <v>153</v>
      </c>
      <c r="C242" s="92" t="s">
        <v>11</v>
      </c>
      <c r="D242" s="45" t="s">
        <v>2</v>
      </c>
      <c r="E242" s="282" t="str">
        <f>IF(ISNUMBER(E69),IF(E241&lt;E235,E238,IF(E241&gt;E236,E240,IF(AND(E241&lt;=E236,E241&gt;=E235),IF(ISNUMBER(E241),ROUND(FORECAST(E241,E239:E240,E235:E236),0),"")))),"")</f>
        <v/>
      </c>
      <c r="F242" s="282" t="str">
        <f t="shared" ref="F242:G242" si="10">IF(ISNUMBER(F69),IF(F241&lt;F235,F238,IF(F241&gt;F236,F240,IF(AND(F241&lt;=F236,F241&gt;=F235),IF(ISNUMBER(F241),ROUND(FORECAST(F241,F239:F240,F235:F236),0),"")))),"")</f>
        <v/>
      </c>
      <c r="G242" s="282" t="str">
        <f t="shared" si="10"/>
        <v/>
      </c>
    </row>
    <row r="243" spans="2:7" s="27" customFormat="1" ht="15" customHeight="1">
      <c r="B243" s="13" t="s">
        <v>154</v>
      </c>
      <c r="C243" s="93" t="s">
        <v>37</v>
      </c>
      <c r="D243" s="47" t="s">
        <v>2</v>
      </c>
      <c r="E243" s="283" t="str">
        <f>IF(G242="","brak danych",ROUND(IF(ISNUMBER(E242),AVERAGE(E242:G242),IF(ISNUMBER(F242),AVERAGE(F242:G242),IF(ISNUMBER(G242),G242,"bd"))),0))</f>
        <v>brak danych</v>
      </c>
      <c r="F243" s="290"/>
      <c r="G243" s="290"/>
    </row>
    <row r="244" spans="2:7" ht="15" customHeight="1">
      <c r="E244" s="11"/>
    </row>
    <row r="245" spans="2:7" ht="15" customHeight="1"/>
    <row r="246" spans="2:7" ht="15" customHeight="1">
      <c r="C246" s="37" t="str">
        <f>H71</f>
        <v>Kryterium nr 12</v>
      </c>
      <c r="E246" s="11"/>
    </row>
    <row r="247" spans="2:7" ht="30" customHeight="1">
      <c r="B247" s="180" t="str">
        <f>C71</f>
        <v>Analiza dyskryminacyjna - model prof. E. Mączyńskiej</v>
      </c>
      <c r="C247" s="181"/>
      <c r="D247" s="88"/>
      <c r="E247" s="88"/>
      <c r="F247" s="88"/>
      <c r="G247" s="89"/>
    </row>
    <row r="248" spans="2:7" s="31" customFormat="1" ht="15" customHeight="1">
      <c r="B248" s="3" t="s">
        <v>144</v>
      </c>
      <c r="C248" s="30" t="s">
        <v>158</v>
      </c>
      <c r="D248" s="30" t="s">
        <v>1</v>
      </c>
      <c r="E248" s="38">
        <f>E56</f>
        <v>2019</v>
      </c>
      <c r="F248" s="38">
        <f>F56</f>
        <v>2020</v>
      </c>
      <c r="G248" s="38">
        <f>G56</f>
        <v>2021</v>
      </c>
    </row>
    <row r="249" spans="2:7" ht="15" customHeight="1">
      <c r="B249" s="73" t="s">
        <v>150</v>
      </c>
      <c r="C249" s="91" t="s">
        <v>3</v>
      </c>
      <c r="D249" s="39"/>
      <c r="E249" s="40"/>
      <c r="F249" s="40"/>
      <c r="G249" s="41"/>
    </row>
    <row r="250" spans="2:7" ht="15" customHeight="1">
      <c r="B250" s="4" t="s">
        <v>173</v>
      </c>
      <c r="C250" s="91" t="s">
        <v>4</v>
      </c>
      <c r="D250" s="42" t="s">
        <v>5</v>
      </c>
      <c r="E250" s="275">
        <v>0</v>
      </c>
      <c r="F250" s="275">
        <v>0</v>
      </c>
      <c r="G250" s="275">
        <v>0</v>
      </c>
    </row>
    <row r="251" spans="2:7" ht="15" customHeight="1">
      <c r="B251" s="4" t="s">
        <v>173</v>
      </c>
      <c r="C251" s="91" t="s">
        <v>6</v>
      </c>
      <c r="D251" s="42" t="s">
        <v>5</v>
      </c>
      <c r="E251" s="276">
        <v>2</v>
      </c>
      <c r="F251" s="276">
        <v>2</v>
      </c>
      <c r="G251" s="276">
        <v>2</v>
      </c>
    </row>
    <row r="252" spans="2:7" ht="15" customHeight="1">
      <c r="B252" s="73" t="s">
        <v>151</v>
      </c>
      <c r="C252" s="91" t="s">
        <v>7</v>
      </c>
      <c r="D252" s="39"/>
      <c r="E252" s="277"/>
      <c r="F252" s="277"/>
      <c r="G252" s="278"/>
    </row>
    <row r="253" spans="2:7" ht="15" customHeight="1">
      <c r="B253" s="4" t="s">
        <v>173</v>
      </c>
      <c r="C253" s="91" t="s">
        <v>4</v>
      </c>
      <c r="D253" s="44" t="s">
        <v>2</v>
      </c>
      <c r="E253" s="279">
        <v>0</v>
      </c>
      <c r="F253" s="279">
        <v>0</v>
      </c>
      <c r="G253" s="279">
        <v>0</v>
      </c>
    </row>
    <row r="254" spans="2:7" ht="15" customHeight="1">
      <c r="B254" s="4" t="s">
        <v>173</v>
      </c>
      <c r="C254" s="91" t="s">
        <v>6</v>
      </c>
      <c r="D254" s="45" t="s">
        <v>2</v>
      </c>
      <c r="E254" s="280">
        <v>10</v>
      </c>
      <c r="F254" s="280">
        <v>10</v>
      </c>
      <c r="G254" s="280">
        <v>10</v>
      </c>
    </row>
    <row r="255" spans="2:7" ht="15" customHeight="1">
      <c r="B255" s="4" t="s">
        <v>152</v>
      </c>
      <c r="C255" s="91" t="s">
        <v>8</v>
      </c>
      <c r="D255" s="46" t="s">
        <v>5</v>
      </c>
      <c r="E255" s="281" t="str">
        <f>IF(ISNUMBER(E71),E71,"")</f>
        <v/>
      </c>
      <c r="F255" s="281" t="str">
        <f>IF(ISNUMBER(F71),F71,"")</f>
        <v/>
      </c>
      <c r="G255" s="281" t="str">
        <f>IF(ISNUMBER(G71),G71,"")</f>
        <v/>
      </c>
    </row>
    <row r="256" spans="2:7" ht="15" customHeight="1">
      <c r="B256" s="4" t="s">
        <v>153</v>
      </c>
      <c r="C256" s="92" t="s">
        <v>11</v>
      </c>
      <c r="D256" s="45" t="s">
        <v>2</v>
      </c>
      <c r="E256" s="282" t="str">
        <f>IF(ISNUMBER(E71),IF(E255&lt;E250,E253,IF(E255&gt;E251,E254,IF(AND(E255&lt;=E251,E255&gt;=E250),IF(ISNUMBER(E255),ROUND(FORECAST(E255,E253:E254,E250:E251),0),"")))),"")</f>
        <v/>
      </c>
      <c r="F256" s="282" t="str">
        <f>IF(ISNUMBER(F71),IF(F255&lt;F250,F253,IF(F255&gt;F251,F254,IF(AND(F255&lt;=F251,F255&gt;=F250),IF(ISNUMBER(F255),ROUND(FORECAST(F255,F253:F254,F250:F251),0),"")))),"")</f>
        <v/>
      </c>
      <c r="G256" s="282" t="str">
        <f>IF(ISNUMBER(G71),IF(G255&lt;G250,G253,IF(G255&gt;G251,G254,IF(AND(G255&lt;=G251,G255&gt;=G250),IF(ISNUMBER(G255),ROUND(FORECAST(G255,G253:G254,G250:G251),0),"")))),"")</f>
        <v/>
      </c>
    </row>
    <row r="257" spans="2:13" s="27" customFormat="1" ht="15" customHeight="1">
      <c r="B257" s="13" t="s">
        <v>154</v>
      </c>
      <c r="C257" s="93" t="s">
        <v>37</v>
      </c>
      <c r="D257" s="47" t="s">
        <v>2</v>
      </c>
      <c r="E257" s="283" t="str">
        <f>IF(G256="","brak danych",ROUND(IF(ISNUMBER(E256),AVERAGE(E256:G256),IF(ISNUMBER(F256),AVERAGE(F256:G256),IF(ISNUMBER(G256),G256,"bd"))),0))</f>
        <v>brak danych</v>
      </c>
      <c r="F257" s="290"/>
      <c r="G257" s="290"/>
    </row>
    <row r="258" spans="2:13" ht="15" customHeight="1">
      <c r="E258" s="11"/>
    </row>
    <row r="259" spans="2:13" s="27" customFormat="1" ht="15" customHeight="1">
      <c r="B259" s="31"/>
    </row>
    <row r="260" spans="2:13" ht="15" customHeight="1">
      <c r="C260" s="37" t="str">
        <f>H71</f>
        <v>Kryterium nr 12</v>
      </c>
    </row>
    <row r="261" spans="2:13" ht="30" customHeight="1">
      <c r="B261" s="180" t="str">
        <f>C71</f>
        <v>Analiza dyskryminacyjna - model prof. E. Mączyńskiej</v>
      </c>
      <c r="C261" s="181"/>
      <c r="D261" s="86"/>
      <c r="E261" s="86"/>
      <c r="F261" s="86"/>
      <c r="G261" s="87"/>
    </row>
    <row r="262" spans="2:13" ht="15" customHeight="1">
      <c r="B262" s="13" t="str">
        <f>B56</f>
        <v>Lp.</v>
      </c>
      <c r="C262" s="13" t="str">
        <f>C56</f>
        <v>Wyszczególnienie</v>
      </c>
      <c r="D262" s="13" t="str">
        <f>D56</f>
        <v>Jedn./Lata</v>
      </c>
      <c r="E262" s="13">
        <f>E56</f>
        <v>2019</v>
      </c>
      <c r="F262" s="13">
        <f>F56</f>
        <v>2020</v>
      </c>
      <c r="G262" s="13">
        <f>G56</f>
        <v>2021</v>
      </c>
      <c r="I262" s="271"/>
      <c r="J262" s="272"/>
      <c r="K262" s="273"/>
      <c r="L262" s="1"/>
      <c r="M262" s="1"/>
    </row>
    <row r="263" spans="2:13" ht="15" customHeight="1">
      <c r="B263" s="4" t="s">
        <v>150</v>
      </c>
      <c r="C263" s="95" t="s">
        <v>17</v>
      </c>
      <c r="D263" s="33" t="s">
        <v>5</v>
      </c>
      <c r="E263" s="291">
        <f>IF('Dane finansowe'!E46=0,0,('Dane finansowe'!E30+'Dane finansowe'!E25)/'Dane finansowe'!E46)</f>
        <v>0</v>
      </c>
      <c r="F263" s="291">
        <f>IF('Dane finansowe'!F46=0,0,('Dane finansowe'!F30+'Dane finansowe'!F25)/'Dane finansowe'!F46)</f>
        <v>0</v>
      </c>
      <c r="G263" s="291">
        <f>IF('Dane finansowe'!G46=0,0,('Dane finansowe'!G30+'Dane finansowe'!G25)/'Dane finansowe'!G46)</f>
        <v>0</v>
      </c>
      <c r="I263" s="261" t="s">
        <v>12</v>
      </c>
      <c r="J263" s="262"/>
      <c r="K263" s="263"/>
      <c r="L263" s="1"/>
      <c r="M263" s="1"/>
    </row>
    <row r="264" spans="2:13" ht="15" customHeight="1">
      <c r="B264" s="4" t="s">
        <v>151</v>
      </c>
      <c r="C264" s="95" t="s">
        <v>18</v>
      </c>
      <c r="D264" s="33" t="s">
        <v>5</v>
      </c>
      <c r="E264" s="291">
        <f>IF('Dane finansowe'!E46=0,0,'Dane finansowe'!E42/'Dane finansowe'!E46)</f>
        <v>0</v>
      </c>
      <c r="F264" s="291">
        <f>IF('Dane finansowe'!F46=0,0,'Dane finansowe'!F42/'Dane finansowe'!F46)</f>
        <v>0</v>
      </c>
      <c r="G264" s="291">
        <f>IF('Dane finansowe'!G46=0,0,'Dane finansowe'!G42/'Dane finansowe'!G46)</f>
        <v>0</v>
      </c>
      <c r="I264" s="261" t="s">
        <v>13</v>
      </c>
      <c r="J264" s="262"/>
      <c r="K264" s="263"/>
      <c r="L264" s="1"/>
      <c r="M264" s="1"/>
    </row>
    <row r="265" spans="2:13" ht="15" customHeight="1">
      <c r="B265" s="4" t="s">
        <v>152</v>
      </c>
      <c r="C265" s="93" t="s">
        <v>19</v>
      </c>
      <c r="D265" s="33" t="s">
        <v>5</v>
      </c>
      <c r="E265" s="291">
        <f>IF('Dane finansowe'!E42=0,0,'Dane finansowe'!E27/'Dane finansowe'!E42)</f>
        <v>0</v>
      </c>
      <c r="F265" s="291">
        <f>IF('Dane finansowe'!F42=0,0,'Dane finansowe'!F27/'Dane finansowe'!F42)</f>
        <v>0</v>
      </c>
      <c r="G265" s="291">
        <f>IF('Dane finansowe'!G42=0,0,'Dane finansowe'!G27/'Dane finansowe'!G42)</f>
        <v>0</v>
      </c>
      <c r="I265" s="261" t="s">
        <v>14</v>
      </c>
      <c r="J265" s="262"/>
      <c r="K265" s="263"/>
      <c r="L265" s="1"/>
      <c r="M265" s="1"/>
    </row>
    <row r="266" spans="2:13" ht="15" customHeight="1">
      <c r="B266" s="4" t="s">
        <v>153</v>
      </c>
      <c r="C266" s="95" t="s">
        <v>20</v>
      </c>
      <c r="D266" s="33" t="s">
        <v>5</v>
      </c>
      <c r="E266" s="291" t="str">
        <f>IF(E181="","",IF(E181=0,0,'Dane finansowe'!E27/'Dane finansowe'!E23))</f>
        <v/>
      </c>
      <c r="F266" s="291" t="str">
        <f>IF(F181="","",IF(F181=0,0,'Dane finansowe'!F27/'Dane finansowe'!F23))</f>
        <v/>
      </c>
      <c r="G266" s="291" t="str">
        <f>IF(G181="","",IF(G181=0,0,'Dane finansowe'!G27/'Dane finansowe'!G23))</f>
        <v/>
      </c>
      <c r="I266" s="261" t="s">
        <v>15</v>
      </c>
      <c r="J266" s="262"/>
      <c r="K266" s="263"/>
      <c r="L266" s="1"/>
      <c r="M266" s="1"/>
    </row>
    <row r="267" spans="2:13" ht="15" customHeight="1">
      <c r="B267" s="4" t="s">
        <v>154</v>
      </c>
      <c r="C267" s="95" t="s">
        <v>21</v>
      </c>
      <c r="D267" s="33" t="s">
        <v>5</v>
      </c>
      <c r="E267" s="291">
        <f>IF('Dane finansowe'!E23=0,0,'Dane finansowe'!E35/'Dane finansowe'!E23)</f>
        <v>0</v>
      </c>
      <c r="F267" s="291">
        <f>IF('Dane finansowe'!F23=0,0,'Dane finansowe'!F35/'Dane finansowe'!F23)</f>
        <v>0</v>
      </c>
      <c r="G267" s="291">
        <f>IF('Dane finansowe'!G23=0,0,'Dane finansowe'!G35/'Dane finansowe'!G23)</f>
        <v>0</v>
      </c>
      <c r="I267" s="261" t="s">
        <v>16</v>
      </c>
      <c r="J267" s="262"/>
      <c r="K267" s="263"/>
      <c r="L267" s="1"/>
      <c r="M267" s="1"/>
    </row>
    <row r="268" spans="2:13" ht="15" customHeight="1">
      <c r="B268" s="4" t="s">
        <v>157</v>
      </c>
      <c r="C268" s="95" t="s">
        <v>22</v>
      </c>
      <c r="D268" s="33" t="s">
        <v>5</v>
      </c>
      <c r="E268" s="291">
        <f>IF('Dane finansowe'!E42=0,0,'Dane finansowe'!E23/'Dane finansowe'!E42)</f>
        <v>0</v>
      </c>
      <c r="F268" s="291">
        <f>IF('Dane finansowe'!F42=0,0,'Dane finansowe'!F23/'Dane finansowe'!F42)</f>
        <v>0</v>
      </c>
      <c r="G268" s="291">
        <f>IF('Dane finansowe'!G42=0,0,'Dane finansowe'!G23/'Dane finansowe'!G42)</f>
        <v>0</v>
      </c>
      <c r="I268" s="264"/>
      <c r="J268" s="265"/>
      <c r="K268" s="266"/>
      <c r="L268" s="1"/>
      <c r="M268" s="1"/>
    </row>
    <row r="269" spans="2:13" s="27" customFormat="1" ht="15" customHeight="1">
      <c r="B269" s="13" t="s">
        <v>168</v>
      </c>
      <c r="C269" s="93" t="s">
        <v>38</v>
      </c>
      <c r="D269" s="61" t="s">
        <v>5</v>
      </c>
      <c r="E269" s="292" t="str">
        <f>IF(E266="","brak danych",(1.5*E263)+(0.08*E264)+(10*E265)+(5*E266)+(0.3*E267)+(0.1*E268))</f>
        <v>brak danych</v>
      </c>
      <c r="F269" s="292" t="str">
        <f>IF(F266="","brak danych",(1.5*F263)+(0.08*F264)+(10*F265)+(5*F266)+(0.3*F267)+(0.1*F268))</f>
        <v>brak danych</v>
      </c>
      <c r="G269" s="292" t="str">
        <f>IF(G266="","brak danych",(1.5*G263)+(0.08*G264)+(10*G265)+(5*G266)+(0.3*G267)+(0.1*G268))</f>
        <v>brak danych</v>
      </c>
    </row>
    <row r="270" spans="2:13" ht="15" customHeight="1">
      <c r="B270" s="50"/>
      <c r="C270" s="51"/>
      <c r="D270" s="2"/>
      <c r="E270" s="52"/>
      <c r="F270" s="52"/>
      <c r="G270" s="52"/>
    </row>
    <row r="271" spans="2:13" ht="15" customHeight="1"/>
    <row r="272" spans="2:13" ht="30" customHeight="1">
      <c r="B272" s="84" t="s">
        <v>192</v>
      </c>
      <c r="C272" s="86"/>
      <c r="D272" s="86"/>
      <c r="E272" s="86"/>
      <c r="F272" s="86"/>
      <c r="G272" s="87"/>
    </row>
    <row r="273" spans="2:7" ht="15" customHeight="1">
      <c r="B273" s="3" t="s">
        <v>144</v>
      </c>
      <c r="C273" s="3" t="s">
        <v>158</v>
      </c>
      <c r="D273" s="13" t="str">
        <f>D262</f>
        <v>Jedn./Lata</v>
      </c>
      <c r="E273" s="13">
        <f>IF('Dane finansowe'!$G$22="","",F273-1)</f>
        <v>2019</v>
      </c>
      <c r="F273" s="13">
        <f>IF('Dane finansowe'!$G$22="","",G273-1)</f>
        <v>2020</v>
      </c>
      <c r="G273" s="13">
        <f>IF('Dane finansowe'!$G$22="","",'Dane finansowe'!$G$22)</f>
        <v>2021</v>
      </c>
    </row>
    <row r="274" spans="2:7" ht="15" customHeight="1">
      <c r="B274" s="4" t="s">
        <v>150</v>
      </c>
      <c r="C274" s="92" t="s">
        <v>229</v>
      </c>
      <c r="D274" s="33" t="s">
        <v>5</v>
      </c>
      <c r="E274" s="303">
        <f>IF(E273="","",IF(E273=2017,E282,E283))</f>
        <v>7.1279999999999998E-3</v>
      </c>
      <c r="F274" s="294">
        <f>IF(F273="","",IF(F273=2018,E283,E284))</f>
        <v>7.1640000000000002E-3</v>
      </c>
      <c r="G274" s="294">
        <f>IF(G273="","",IF(G273=2019,E284,E285))</f>
        <v>6.4242999999999995E-2</v>
      </c>
    </row>
    <row r="275" spans="2:7" ht="15" customHeight="1">
      <c r="B275" s="4" t="s">
        <v>151</v>
      </c>
      <c r="C275" s="92" t="s">
        <v>191</v>
      </c>
      <c r="D275" s="33" t="s">
        <v>5</v>
      </c>
      <c r="E275" s="293">
        <v>0.03</v>
      </c>
      <c r="F275" s="293">
        <f>E275</f>
        <v>0.03</v>
      </c>
      <c r="G275" s="293">
        <f>F275</f>
        <v>0.03</v>
      </c>
    </row>
    <row r="276" spans="2:7" ht="15" customHeight="1">
      <c r="B276" s="4" t="s">
        <v>152</v>
      </c>
      <c r="C276" s="92" t="s">
        <v>253</v>
      </c>
      <c r="D276" s="33" t="s">
        <v>5</v>
      </c>
      <c r="E276" s="293">
        <f>SUM(E274:E275)</f>
        <v>3.7128000000000001E-2</v>
      </c>
      <c r="F276" s="293">
        <f t="shared" ref="F276:G276" si="11">SUM(F274:F275)</f>
        <v>3.7164000000000003E-2</v>
      </c>
      <c r="G276" s="293">
        <f t="shared" si="11"/>
        <v>9.4242999999999993E-2</v>
      </c>
    </row>
    <row r="277" spans="2:7" ht="15" customHeight="1">
      <c r="D277" s="5"/>
    </row>
    <row r="278" spans="2:7" ht="15" customHeight="1"/>
    <row r="279" spans="2:7" ht="15" customHeight="1">
      <c r="B279" s="184" t="s">
        <v>144</v>
      </c>
      <c r="C279" s="187" t="s">
        <v>229</v>
      </c>
      <c r="D279" s="183" t="s">
        <v>255</v>
      </c>
      <c r="E279" s="190" t="s">
        <v>254</v>
      </c>
      <c r="F279" s="183" t="s">
        <v>224</v>
      </c>
      <c r="G279" s="5"/>
    </row>
    <row r="280" spans="2:7" ht="15" customHeight="1">
      <c r="B280" s="185"/>
      <c r="C280" s="188"/>
      <c r="D280" s="183"/>
      <c r="E280" s="191"/>
      <c r="F280" s="183"/>
      <c r="G280" s="5"/>
    </row>
    <row r="281" spans="2:7" ht="15" customHeight="1">
      <c r="B281" s="186"/>
      <c r="C281" s="189"/>
      <c r="D281" s="183"/>
      <c r="E281" s="192"/>
      <c r="F281" s="183"/>
      <c r="G281" s="5"/>
    </row>
    <row r="282" spans="2:7" ht="15" customHeight="1">
      <c r="B282" s="4" t="s">
        <v>150</v>
      </c>
      <c r="C282" s="302" t="s">
        <v>256</v>
      </c>
      <c r="D282" s="33" t="s">
        <v>188</v>
      </c>
      <c r="E282" s="294">
        <v>1.8575000000000001E-2</v>
      </c>
      <c r="F282" s="295">
        <v>43830</v>
      </c>
      <c r="G282" s="5"/>
    </row>
    <row r="283" spans="2:7" ht="15" customHeight="1">
      <c r="B283" s="4" t="s">
        <v>151</v>
      </c>
      <c r="C283" s="302" t="s">
        <v>257</v>
      </c>
      <c r="D283" s="33" t="s">
        <v>188</v>
      </c>
      <c r="E283" s="294">
        <v>7.1279999999999998E-3</v>
      </c>
      <c r="F283" s="295">
        <v>44196</v>
      </c>
      <c r="G283" s="5"/>
    </row>
    <row r="284" spans="2:7" ht="15" customHeight="1">
      <c r="B284" s="4" t="s">
        <v>152</v>
      </c>
      <c r="C284" s="302" t="s">
        <v>258</v>
      </c>
      <c r="D284" s="33" t="s">
        <v>188</v>
      </c>
      <c r="E284" s="294">
        <v>7.1640000000000002E-3</v>
      </c>
      <c r="F284" s="295">
        <v>44561</v>
      </c>
      <c r="G284" s="5"/>
    </row>
    <row r="285" spans="2:7" ht="15" customHeight="1">
      <c r="B285" s="4" t="s">
        <v>153</v>
      </c>
      <c r="C285" s="302" t="s">
        <v>264</v>
      </c>
      <c r="D285" s="33" t="s">
        <v>188</v>
      </c>
      <c r="E285" s="294">
        <v>6.4242999999999995E-2</v>
      </c>
      <c r="F285" s="295">
        <v>44926</v>
      </c>
      <c r="G285" s="5"/>
    </row>
    <row r="286" spans="2:7" ht="15" customHeight="1">
      <c r="C286" s="64" t="s">
        <v>215</v>
      </c>
      <c r="D286" s="5"/>
    </row>
    <row r="287" spans="2:7" ht="15" customHeight="1"/>
    <row r="288" spans="2:7" ht="15" customHeight="1"/>
    <row r="289" hidden="1"/>
    <row r="290" hidden="1"/>
    <row r="291" hidden="1"/>
  </sheetData>
  <sheetProtection algorithmName="SHA-512" hashValue="wXkLW5jwybO1KxdCXVBdy9qdYakFqtXVrovUBPPkwCtbw0O0RVXq9f1eFtAietEU+Ku4oYcsoWp1S/z/pf02Iw==" saltValue="cuoH40YxtXAGY5XIW8DUdg==" spinCount="100000" sheet="1" objects="1" scenarios="1" selectLockedCells="1" selectUnlockedCells="1"/>
  <protectedRanges>
    <protectedRange sqref="B6:F6 B4:F4" name="Zakres1_1"/>
  </protectedRanges>
  <mergeCells count="134">
    <mergeCell ref="I265:K265"/>
    <mergeCell ref="I266:K266"/>
    <mergeCell ref="I267:K267"/>
    <mergeCell ref="I268:K268"/>
    <mergeCell ref="B72:I72"/>
    <mergeCell ref="B232:C232"/>
    <mergeCell ref="B247:C247"/>
    <mergeCell ref="B261:C261"/>
    <mergeCell ref="B204:C204"/>
    <mergeCell ref="B218:C218"/>
    <mergeCell ref="B135:D135"/>
    <mergeCell ref="B150:D150"/>
    <mergeCell ref="B164:D164"/>
    <mergeCell ref="B179:D179"/>
    <mergeCell ref="B190:C190"/>
    <mergeCell ref="B92:D92"/>
    <mergeCell ref="B106:D106"/>
    <mergeCell ref="B121:D121"/>
    <mergeCell ref="I262:K262"/>
    <mergeCell ref="I263:K263"/>
    <mergeCell ref="I264:K264"/>
    <mergeCell ref="B75:G75"/>
    <mergeCell ref="H71:I71"/>
    <mergeCell ref="H66:I66"/>
    <mergeCell ref="H67:I67"/>
    <mergeCell ref="H68:I68"/>
    <mergeCell ref="H69:I69"/>
    <mergeCell ref="H70:I70"/>
    <mergeCell ref="H62:I62"/>
    <mergeCell ref="H63:I63"/>
    <mergeCell ref="H64:I64"/>
    <mergeCell ref="H65:I65"/>
    <mergeCell ref="H57:I57"/>
    <mergeCell ref="H58:I58"/>
    <mergeCell ref="H59:I59"/>
    <mergeCell ref="H60:I60"/>
    <mergeCell ref="H61:I61"/>
    <mergeCell ref="H56:I56"/>
    <mergeCell ref="B41:G41"/>
    <mergeCell ref="B42:G42"/>
    <mergeCell ref="H42:I42"/>
    <mergeCell ref="B43:C43"/>
    <mergeCell ref="D43:I43"/>
    <mergeCell ref="D49:I49"/>
    <mergeCell ref="D50:I50"/>
    <mergeCell ref="D51:I51"/>
    <mergeCell ref="B45:I45"/>
    <mergeCell ref="D46:I46"/>
    <mergeCell ref="D47:I47"/>
    <mergeCell ref="D48:I48"/>
    <mergeCell ref="B44:C44"/>
    <mergeCell ref="D44:I44"/>
    <mergeCell ref="B55:I55"/>
    <mergeCell ref="B38:B40"/>
    <mergeCell ref="C38:C40"/>
    <mergeCell ref="D38:G38"/>
    <mergeCell ref="I38:I40"/>
    <mergeCell ref="D39:G39"/>
    <mergeCell ref="D40:G40"/>
    <mergeCell ref="B36:B37"/>
    <mergeCell ref="C36:C37"/>
    <mergeCell ref="D36:G36"/>
    <mergeCell ref="I36:I37"/>
    <mergeCell ref="D37:G37"/>
    <mergeCell ref="B33:B35"/>
    <mergeCell ref="C33:C35"/>
    <mergeCell ref="D33:G33"/>
    <mergeCell ref="I33:I35"/>
    <mergeCell ref="D34:G34"/>
    <mergeCell ref="D35:G35"/>
    <mergeCell ref="B30:B32"/>
    <mergeCell ref="C30:C32"/>
    <mergeCell ref="D30:G30"/>
    <mergeCell ref="I30:I32"/>
    <mergeCell ref="D31:G31"/>
    <mergeCell ref="D32:G32"/>
    <mergeCell ref="C27:C29"/>
    <mergeCell ref="D27:G27"/>
    <mergeCell ref="I27:I29"/>
    <mergeCell ref="D28:G28"/>
    <mergeCell ref="D29:G29"/>
    <mergeCell ref="D23:G23"/>
    <mergeCell ref="D24:G24"/>
    <mergeCell ref="B25:B26"/>
    <mergeCell ref="C25:C26"/>
    <mergeCell ref="D25:G25"/>
    <mergeCell ref="I25:I26"/>
    <mergeCell ref="B27:B29"/>
    <mergeCell ref="D26:G26"/>
    <mergeCell ref="B22:B24"/>
    <mergeCell ref="C22:C24"/>
    <mergeCell ref="D22:G22"/>
    <mergeCell ref="I22:I24"/>
    <mergeCell ref="D15:G15"/>
    <mergeCell ref="B8:B11"/>
    <mergeCell ref="C8:C11"/>
    <mergeCell ref="D8:G8"/>
    <mergeCell ref="I16:I18"/>
    <mergeCell ref="D17:G17"/>
    <mergeCell ref="D18:G18"/>
    <mergeCell ref="B19:B21"/>
    <mergeCell ref="C19:C21"/>
    <mergeCell ref="D19:G19"/>
    <mergeCell ref="I19:I21"/>
    <mergeCell ref="D20:G20"/>
    <mergeCell ref="D21:G21"/>
    <mergeCell ref="B16:B18"/>
    <mergeCell ref="C16:C18"/>
    <mergeCell ref="D16:G16"/>
    <mergeCell ref="D14:G14"/>
    <mergeCell ref="D279:D281"/>
    <mergeCell ref="B279:B281"/>
    <mergeCell ref="C279:C281"/>
    <mergeCell ref="E279:E281"/>
    <mergeCell ref="F279:F281"/>
    <mergeCell ref="D65:G65"/>
    <mergeCell ref="B2:I2"/>
    <mergeCell ref="D3:G3"/>
    <mergeCell ref="B4:B7"/>
    <mergeCell ref="C4:C7"/>
    <mergeCell ref="D4:G4"/>
    <mergeCell ref="I4:I7"/>
    <mergeCell ref="D5:G5"/>
    <mergeCell ref="D6:G6"/>
    <mergeCell ref="D7:G7"/>
    <mergeCell ref="I8:I11"/>
    <mergeCell ref="D9:G9"/>
    <mergeCell ref="D10:G10"/>
    <mergeCell ref="D11:G11"/>
    <mergeCell ref="B12:B15"/>
    <mergeCell ref="C12:C15"/>
    <mergeCell ref="D12:G12"/>
    <mergeCell ref="I12:I15"/>
    <mergeCell ref="D13:G13"/>
  </mergeCells>
  <phoneticPr fontId="3" type="noConversion"/>
  <conditionalFormatting sqref="I54 I49:I52 AG37:AN61 I38:I39 I41:I47 E37:G54 E56:G61">
    <cfRule type="expression" dxfId="0" priority="3" stopIfTrue="1">
      <formula>"g10"</formula>
    </cfRule>
  </conditionalFormatting>
  <printOptions horizontalCentered="1"/>
  <pageMargins left="0.36" right="0.21" top="0.78740157480314965" bottom="0.78740157480314965" header="0.39370078740157483" footer="0.39370078740157483"/>
  <pageSetup paperSize="9" scale="10" orientation="landscape" r:id="rId1"/>
  <headerFooter alignWithMargins="0">
    <oddHeader>&amp;LWyniki oceny finansowej Beneficjenta</oddHeader>
    <oddFooter>&amp;RData sporządzenia: &amp;D</oddFooter>
  </headerFooter>
  <rowBreaks count="1" manualBreakCount="1"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</vt:lpstr>
      <vt:lpstr>Dane finansowe</vt:lpstr>
      <vt:lpstr>Wyniki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ratingu</dc:title>
  <dc:creator>NF</dc:creator>
  <dc:description>Wersja z 18-02-2020 r.</dc:description>
  <cp:lastModifiedBy>Muszyński Michał</cp:lastModifiedBy>
  <cp:lastPrinted>2015-03-02T06:46:09Z</cp:lastPrinted>
  <dcterms:created xsi:type="dcterms:W3CDTF">2009-08-21T08:15:19Z</dcterms:created>
  <dcterms:modified xsi:type="dcterms:W3CDTF">2023-01-24T18:24:34Z</dcterms:modified>
</cp:coreProperties>
</file>