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zob_nal" sheetId="1" r:id="rId1"/>
  </sheets>
  <definedNames/>
  <calcPr fullCalcOnLoad="1"/>
</workbook>
</file>

<file path=xl/sharedStrings.xml><?xml version="1.0" encoding="utf-8"?>
<sst xmlns="http://schemas.openxmlformats.org/spreadsheetml/2006/main" count="98" uniqueCount="79">
  <si>
    <t>Wyszczególnienie</t>
  </si>
  <si>
    <t>sektora finansów publicznych (kol.5+7+8)</t>
  </si>
  <si>
    <t>banku centralnego</t>
  </si>
  <si>
    <t>Poręczenia i gwarancje</t>
  </si>
  <si>
    <t>Liczba jednostek</t>
  </si>
  <si>
    <t>Wykonanie</t>
  </si>
  <si>
    <t>JST, których budżety zamknęły się nadwyżką</t>
  </si>
  <si>
    <t>JST, których budżety zamknęły się deficytem</t>
  </si>
  <si>
    <t>JST z budżetami zrównoważonymi</t>
  </si>
  <si>
    <t>A. Należności oraz wybrane aktywa finansowe</t>
  </si>
  <si>
    <t>kwota 
należności
ogółem
(kol. 3+15)</t>
  </si>
  <si>
    <t>ogółem 
(kol 4+9+10+11 +12+13+14)</t>
  </si>
  <si>
    <t>dłużnicy  krajowi</t>
  </si>
  <si>
    <t>sektor 
finansów 
publicznych 
ogółem 
(kol 5+6+7+8)</t>
  </si>
  <si>
    <t>banki</t>
  </si>
  <si>
    <t>pozostałe 
krajowe 
instytucje 
finansowe</t>
  </si>
  <si>
    <t>przedsiębiorstwa 
niefinansowe</t>
  </si>
  <si>
    <t>gospodarstwa 
domowe</t>
  </si>
  <si>
    <t>instytucje 
niekomercyjne 
działające
 na rzecz
gospodarstw
domowych</t>
  </si>
  <si>
    <t>ogółem
(kol. 16+17)</t>
  </si>
  <si>
    <t>podmioty 
należące 
do strefy 
euro</t>
  </si>
  <si>
    <t>pozostałe 
podmioty 
zagraniczne</t>
  </si>
  <si>
    <t xml:space="preserve">      dłużnicy zagraniczni</t>
  </si>
  <si>
    <t xml:space="preserve">grupa I </t>
  </si>
  <si>
    <t xml:space="preserve">grupa II </t>
  </si>
  <si>
    <t>grupa III</t>
  </si>
  <si>
    <t>grupa IV</t>
  </si>
  <si>
    <t>N. NALEŻNOŚCI ORAZ WYBRANE AKTYWA FINANSOWE  (N1+N2+N3+N4+N5)   z tego:</t>
  </si>
  <si>
    <t>N1.1 krótkotermionowe</t>
  </si>
  <si>
    <t>N1.2  długoterminowe</t>
  </si>
  <si>
    <t>N2.1 krótkotermionowe</t>
  </si>
  <si>
    <t>N2.2 długoterminowe</t>
  </si>
  <si>
    <t>N3.1 gotówka</t>
  </si>
  <si>
    <t>N3.2 depozyty na żądanie</t>
  </si>
  <si>
    <t>N3.3 depozyty terminowe</t>
  </si>
  <si>
    <t>N4.1 z tytułu dostaw towarów i usług</t>
  </si>
  <si>
    <t>N4.2 pozostałe</t>
  </si>
  <si>
    <t>N5.1 z tytułu dostaw towarów i usług</t>
  </si>
  <si>
    <t>N5.2 z tytułu podatków i składek na 
ubezpieczenia społ.</t>
  </si>
  <si>
    <t>N5.3 z tytułu innych niż wymienione powyżej</t>
  </si>
  <si>
    <t>N1 papiery wartościowe (N1.1+N1.2)</t>
  </si>
  <si>
    <t>N2  pożyczki (N2.1+N2.2)</t>
  </si>
  <si>
    <t>N3 gotówka i depozyty (N3.1+N3.2+N3.3)</t>
  </si>
  <si>
    <t>N4 należności wymagalne (N4.1+N4.2)</t>
  </si>
  <si>
    <t>N5 pozostałe należności  (N5.1+N5.2+N5.3)</t>
  </si>
  <si>
    <t>E  ZOBOWIĄZANIA WG TYTUŁÓW 
    DŁUŻNYCH (E1+E2+E3+E4)</t>
  </si>
  <si>
    <t>E1 papiery wartościowe 
     (E1.1+E1.2)</t>
  </si>
  <si>
    <t>E1.1 krótkotermionowe</t>
  </si>
  <si>
    <t>E1.2 długoterminowe</t>
  </si>
  <si>
    <t>E2 kredyty i pożyczki 
     (E2.1+E2.2)</t>
  </si>
  <si>
    <t>E2.1 krótkotermionowe</t>
  </si>
  <si>
    <t>E2.2 długoterminowe</t>
  </si>
  <si>
    <t>E3 przyjęte depozyty</t>
  </si>
  <si>
    <t>E4.1 z tytułu dostaw towarów i usług</t>
  </si>
  <si>
    <t>E4.2 pozostałe</t>
  </si>
  <si>
    <t>F1 wartość nominalna niewymagalnych zobowiązań z tytułu udzielonych poręczeń i gwarancji na koniec okresu sprawozdawczego</t>
  </si>
  <si>
    <t>F2 wartość nominalna wymagalnych zobowiązań z tytułu udzielonych poręczeń i gwarancji na koniec okresu sprawozdawczego</t>
  </si>
  <si>
    <t>F3 wartość poręczeń i gwarancji udzielonych w okresie sprawozdawczym</t>
  </si>
  <si>
    <t>B1 należność główna z tytułu udzielonych gwarancji i poręczeń</t>
  </si>
  <si>
    <t>B2 odsetki ustawowe od nalezności głównej z tytułu udzielonych gwarancji i poręczeń</t>
  </si>
  <si>
    <t>B3 wartość spłat dokonanych w okresie sprawozdawczym za dłużników z tytułu udzielonych poręczeń i gwarancji (wydatki)</t>
  </si>
  <si>
    <t>B4 kwota odzyskanych wierzytelności w okresie sprawozdawczym od dłużników z tytułu poręczeń lub gwarancji (dochody)</t>
  </si>
  <si>
    <t>Zobowiązania według tytułów dłużnych (wg wartości nominalnej)</t>
  </si>
  <si>
    <t>kwota 
zadłużenia
ogółem
(kol. 3+15)</t>
  </si>
  <si>
    <t>ogółem 
(kol. 4+9+10+11 +12+13+14)</t>
  </si>
  <si>
    <t>bank 
centralny</t>
  </si>
  <si>
    <t xml:space="preserve">      wierzyciele zagraniczni</t>
  </si>
  <si>
    <t>wierzyciele krajowi</t>
  </si>
  <si>
    <t>grupa I</t>
  </si>
  <si>
    <t>grupa II</t>
  </si>
  <si>
    <t>wierzyciele</t>
  </si>
  <si>
    <t>kwota 
zadłużenia
ogółem
(kol. 3+8)</t>
  </si>
  <si>
    <t>podmioty 
sektora finansów 
publicznych 
(kol.4+5+6+7)</t>
  </si>
  <si>
    <t xml:space="preserve">grupa III </t>
  </si>
  <si>
    <t xml:space="preserve">grupa IV </t>
  </si>
  <si>
    <t>pozostałe
podmioty</t>
  </si>
  <si>
    <t>w złotych</t>
  </si>
  <si>
    <t>E4  wymagalne zobowiązania (E4.1+E4.2)</t>
  </si>
  <si>
    <t xml:space="preserve">Informacja z wykonania budżetów miast na prawach powiatu za  I Kwartał 2018 roku   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</si>
</sst>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0.000"/>
    <numFmt numFmtId="169" formatCode="dd/mm/yy\ h:mm;@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sz val="16"/>
      <name val="Arial"/>
      <family val="2"/>
    </font>
    <font>
      <sz val="10"/>
      <name val="Arial"/>
      <family val="0"/>
    </font>
    <font>
      <sz val="11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CE"/>
      <family val="2"/>
    </font>
    <font>
      <sz val="6"/>
      <name val="Arial"/>
      <family val="2"/>
    </font>
    <font>
      <b/>
      <sz val="7"/>
      <name val="Arial"/>
      <family val="2"/>
    </font>
    <font>
      <b/>
      <sz val="8"/>
      <name val="Arial CE"/>
      <family val="0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22" borderId="0" applyNumberFormat="0" applyBorder="0" applyAlignment="0" applyProtection="0"/>
    <xf numFmtId="0" fontId="10" fillId="6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10" fillId="22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22" borderId="0" applyNumberFormat="0" applyBorder="0" applyAlignment="0" applyProtection="0"/>
    <xf numFmtId="0" fontId="10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11" fillId="39" borderId="0" applyNumberFormat="0" applyBorder="0" applyAlignment="0" applyProtection="0"/>
    <xf numFmtId="0" fontId="12" fillId="40" borderId="1" applyNumberFormat="0" applyAlignment="0" applyProtection="0"/>
    <xf numFmtId="0" fontId="13" fillId="41" borderId="2" applyNumberFormat="0" applyAlignment="0" applyProtection="0"/>
    <xf numFmtId="0" fontId="33" fillId="42" borderId="3" applyNumberFormat="0" applyAlignment="0" applyProtection="0"/>
    <xf numFmtId="0" fontId="34" fillId="43" borderId="4" applyNumberFormat="0" applyAlignment="0" applyProtection="0"/>
    <xf numFmtId="0" fontId="35" fillId="4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5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6" borderId="1" applyNumberFormat="0" applyAlignment="0" applyProtection="0"/>
    <xf numFmtId="0" fontId="36" fillId="0" borderId="8" applyNumberFormat="0" applyFill="0" applyAlignment="0" applyProtection="0"/>
    <xf numFmtId="0" fontId="37" fillId="46" borderId="9" applyNumberFormat="0" applyAlignment="0" applyProtection="0"/>
    <xf numFmtId="0" fontId="20" fillId="0" borderId="10" applyNumberFormat="0" applyFill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41" fillId="47" borderId="0" applyNumberFormat="0" applyBorder="0" applyAlignment="0" applyProtection="0"/>
    <xf numFmtId="0" fontId="5" fillId="0" borderId="0">
      <alignment/>
      <protection/>
    </xf>
    <xf numFmtId="0" fontId="0" fillId="4" borderId="14" applyNumberFormat="0" applyFont="0" applyAlignment="0" applyProtection="0"/>
    <xf numFmtId="0" fontId="42" fillId="43" borderId="3" applyNumberFormat="0" applyAlignment="0" applyProtection="0"/>
    <xf numFmtId="0" fontId="2" fillId="0" borderId="0" applyNumberFormat="0" applyFill="0" applyBorder="0" applyAlignment="0" applyProtection="0"/>
    <xf numFmtId="0" fontId="22" fillId="40" borderId="15" applyNumberFormat="0" applyAlignment="0" applyProtection="0"/>
    <xf numFmtId="9" fontId="0" fillId="0" borderId="0" applyFont="0" applyFill="0" applyBorder="0" applyAlignment="0" applyProtection="0"/>
    <xf numFmtId="0" fontId="43" fillId="0" borderId="1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46" fillId="0" borderId="0" applyNumberFormat="0" applyFill="0" applyBorder="0" applyAlignment="0" applyProtection="0"/>
    <xf numFmtId="0" fontId="0" fillId="48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7" fillId="49" borderId="0" applyNumberFormat="0" applyBorder="0" applyAlignment="0" applyProtection="0"/>
  </cellStyleXfs>
  <cellXfs count="79">
    <xf numFmtId="0" fontId="0" fillId="0" borderId="0" xfId="0" applyAlignment="1">
      <alignment/>
    </xf>
    <xf numFmtId="0" fontId="4" fillId="0" borderId="0" xfId="88" applyFont="1" applyAlignment="1">
      <alignment horizontal="center" vertical="center" wrapText="1"/>
      <protection/>
    </xf>
    <xf numFmtId="0" fontId="5" fillId="0" borderId="0" xfId="88" applyAlignment="1">
      <alignment horizontal="center" vertical="center" wrapText="1"/>
      <protection/>
    </xf>
    <xf numFmtId="0" fontId="3" fillId="2" borderId="19" xfId="88" applyFont="1" applyFill="1" applyBorder="1" applyAlignment="1">
      <alignment horizontal="center" vertical="center" wrapText="1"/>
      <protection/>
    </xf>
    <xf numFmtId="0" fontId="5" fillId="0" borderId="0" xfId="88" applyFill="1" applyBorder="1" applyAlignment="1">
      <alignment horizontal="center" vertical="center" wrapText="1"/>
      <protection/>
    </xf>
    <xf numFmtId="0" fontId="3" fillId="0" borderId="0" xfId="88" applyFont="1" applyFill="1" applyBorder="1" applyAlignment="1">
      <alignment horizontal="center" vertical="center" wrapText="1"/>
      <protection/>
    </xf>
    <xf numFmtId="0" fontId="3" fillId="0" borderId="0" xfId="88" applyFont="1" applyFill="1" applyBorder="1" applyAlignment="1">
      <alignment horizontal="left" vertical="center" wrapText="1"/>
      <protection/>
    </xf>
    <xf numFmtId="0" fontId="3" fillId="0" borderId="0" xfId="88" applyFont="1" applyFill="1" applyBorder="1" applyAlignment="1">
      <alignment horizontal="center" vertical="center" wrapText="1"/>
      <protection/>
    </xf>
    <xf numFmtId="0" fontId="27" fillId="0" borderId="0" xfId="88" applyFont="1" applyAlignment="1">
      <alignment horizontal="center" vertical="center" wrapText="1"/>
      <protection/>
    </xf>
    <xf numFmtId="0" fontId="27" fillId="0" borderId="0" xfId="88" applyFont="1" applyFill="1" applyBorder="1" applyAlignment="1">
      <alignment horizontal="center" vertical="center" wrapText="1"/>
      <protection/>
    </xf>
    <xf numFmtId="0" fontId="5" fillId="2" borderId="19" xfId="88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28" fillId="0" borderId="19" xfId="88" applyFont="1" applyBorder="1" applyAlignment="1">
      <alignment horizontal="left" vertical="center" wrapText="1"/>
      <protection/>
    </xf>
    <xf numFmtId="4" fontId="7" fillId="0" borderId="19" xfId="88" applyNumberFormat="1" applyFont="1" applyBorder="1" applyAlignment="1">
      <alignment vertical="center" wrapText="1"/>
      <protection/>
    </xf>
    <xf numFmtId="0" fontId="7" fillId="0" borderId="0" xfId="0" applyFont="1" applyFill="1" applyBorder="1" applyAlignment="1">
      <alignment horizontal="left" indent="1"/>
    </xf>
    <xf numFmtId="4" fontId="7" fillId="0" borderId="0" xfId="88" applyNumberFormat="1" applyFont="1" applyBorder="1" applyAlignment="1">
      <alignment horizontal="right" vertical="center" wrapText="1"/>
      <protection/>
    </xf>
    <xf numFmtId="0" fontId="3" fillId="0" borderId="19" xfId="88" applyFont="1" applyBorder="1" applyAlignment="1">
      <alignment horizontal="left" vertical="center" wrapText="1"/>
      <protection/>
    </xf>
    <xf numFmtId="0" fontId="26" fillId="0" borderId="20" xfId="0" applyFont="1" applyFill="1" applyBorder="1" applyAlignment="1">
      <alignment vertical="center" wrapText="1"/>
    </xf>
    <xf numFmtId="0" fontId="8" fillId="40" borderId="19" xfId="88" applyFont="1" applyFill="1" applyBorder="1" applyAlignment="1">
      <alignment horizontal="left" vertical="center" wrapText="1"/>
      <protection/>
    </xf>
    <xf numFmtId="4" fontId="7" fillId="40" borderId="19" xfId="88" applyNumberFormat="1" applyFont="1" applyFill="1" applyBorder="1" applyAlignment="1">
      <alignment horizontal="right" vertical="center" wrapText="1"/>
      <protection/>
    </xf>
    <xf numFmtId="4" fontId="7" fillId="0" borderId="19" xfId="88" applyNumberFormat="1" applyFont="1" applyBorder="1" applyAlignment="1">
      <alignment horizontal="right" vertical="center" wrapText="1"/>
      <protection/>
    </xf>
    <xf numFmtId="4" fontId="7" fillId="40" borderId="19" xfId="88" applyNumberFormat="1" applyFont="1" applyFill="1" applyBorder="1" applyAlignment="1">
      <alignment vertical="center" wrapText="1"/>
      <protection/>
    </xf>
    <xf numFmtId="4" fontId="7" fillId="0" borderId="19" xfId="88" applyNumberFormat="1" applyFont="1" applyFill="1" applyBorder="1" applyAlignment="1">
      <alignment vertical="center" wrapText="1"/>
      <protection/>
    </xf>
    <xf numFmtId="0" fontId="29" fillId="50" borderId="20" xfId="0" applyFont="1" applyFill="1" applyBorder="1" applyAlignment="1">
      <alignment vertical="center" wrapText="1"/>
    </xf>
    <xf numFmtId="0" fontId="5" fillId="2" borderId="19" xfId="88" applyFill="1" applyBorder="1" applyAlignment="1">
      <alignment horizontal="center" vertical="center" wrapText="1"/>
      <protection/>
    </xf>
    <xf numFmtId="0" fontId="3" fillId="2" borderId="19" xfId="88" applyFont="1" applyFill="1" applyBorder="1" applyAlignment="1">
      <alignment horizontal="center" vertical="center" wrapText="1"/>
      <protection/>
    </xf>
    <xf numFmtId="0" fontId="3" fillId="2" borderId="21" xfId="88" applyFont="1" applyFill="1" applyBorder="1" applyAlignment="1">
      <alignment horizontal="center" vertical="center" wrapText="1"/>
      <protection/>
    </xf>
    <xf numFmtId="0" fontId="3" fillId="2" borderId="22" xfId="88" applyFont="1" applyFill="1" applyBorder="1" applyAlignment="1">
      <alignment horizontal="center" vertical="center" wrapText="1"/>
      <protection/>
    </xf>
    <xf numFmtId="0" fontId="3" fillId="2" borderId="23" xfId="88" applyFont="1" applyFill="1" applyBorder="1" applyAlignment="1">
      <alignment horizontal="center" vertical="center" wrapText="1"/>
      <protection/>
    </xf>
    <xf numFmtId="0" fontId="3" fillId="2" borderId="21" xfId="88" applyFont="1" applyFill="1" applyBorder="1" applyAlignment="1">
      <alignment horizontal="center" vertical="center" wrapText="1"/>
      <protection/>
    </xf>
    <xf numFmtId="0" fontId="3" fillId="2" borderId="22" xfId="88" applyFont="1" applyFill="1" applyBorder="1" applyAlignment="1">
      <alignment horizontal="center" vertical="center" wrapText="1"/>
      <protection/>
    </xf>
    <xf numFmtId="0" fontId="3" fillId="2" borderId="23" xfId="88" applyFont="1" applyFill="1" applyBorder="1" applyAlignment="1">
      <alignment horizontal="center" vertical="center" wrapText="1"/>
      <protection/>
    </xf>
    <xf numFmtId="0" fontId="5" fillId="2" borderId="19" xfId="88" applyNumberFormat="1" applyFont="1" applyFill="1" applyBorder="1" applyAlignment="1">
      <alignment horizontal="center" vertical="center" wrapText="1"/>
      <protection/>
    </xf>
    <xf numFmtId="0" fontId="7" fillId="2" borderId="21" xfId="88" applyFont="1" applyFill="1" applyBorder="1" applyAlignment="1">
      <alignment horizontal="center" vertical="center" wrapText="1"/>
      <protection/>
    </xf>
    <xf numFmtId="0" fontId="7" fillId="2" borderId="22" xfId="88" applyFont="1" applyFill="1" applyBorder="1" applyAlignment="1">
      <alignment horizontal="center" vertical="center" wrapText="1"/>
      <protection/>
    </xf>
    <xf numFmtId="0" fontId="7" fillId="2" borderId="23" xfId="88" applyFont="1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30" fillId="0" borderId="0" xfId="88" applyFont="1" applyAlignment="1">
      <alignment horizontal="center" vertical="center" wrapText="1"/>
      <protection/>
    </xf>
    <xf numFmtId="0" fontId="7" fillId="2" borderId="24" xfId="88" applyFont="1" applyFill="1" applyBorder="1" applyAlignment="1">
      <alignment horizontal="center" vertical="center" wrapText="1"/>
      <protection/>
    </xf>
    <xf numFmtId="0" fontId="7" fillId="2" borderId="25" xfId="88" applyFont="1" applyFill="1" applyBorder="1" applyAlignment="1">
      <alignment horizontal="center" vertical="center" wrapText="1"/>
      <protection/>
    </xf>
    <xf numFmtId="0" fontId="7" fillId="2" borderId="26" xfId="88" applyFont="1" applyFill="1" applyBorder="1" applyAlignment="1">
      <alignment horizontal="center" vertical="center" wrapText="1"/>
      <protection/>
    </xf>
    <xf numFmtId="0" fontId="7" fillId="2" borderId="19" xfId="88" applyNumberFormat="1" applyFont="1" applyFill="1" applyBorder="1" applyAlignment="1">
      <alignment horizontal="center" vertical="center" wrapText="1"/>
      <protection/>
    </xf>
    <xf numFmtId="0" fontId="3" fillId="0" borderId="21" xfId="88" applyFont="1" applyBorder="1" applyAlignment="1">
      <alignment horizontal="left" vertical="center" wrapText="1"/>
      <protection/>
    </xf>
    <xf numFmtId="0" fontId="3" fillId="0" borderId="22" xfId="88" applyFont="1" applyBorder="1" applyAlignment="1">
      <alignment horizontal="left" vertical="center" wrapText="1"/>
      <protection/>
    </xf>
    <xf numFmtId="0" fontId="3" fillId="0" borderId="23" xfId="88" applyFont="1" applyBorder="1" applyAlignment="1">
      <alignment horizontal="left" vertical="center" wrapText="1"/>
      <protection/>
    </xf>
    <xf numFmtId="4" fontId="7" fillId="0" borderId="21" xfId="88" applyNumberFormat="1" applyFont="1" applyBorder="1" applyAlignment="1">
      <alignment horizontal="right" vertical="center" wrapText="1"/>
      <protection/>
    </xf>
    <xf numFmtId="4" fontId="7" fillId="0" borderId="23" xfId="88" applyNumberFormat="1" applyFont="1" applyBorder="1" applyAlignment="1">
      <alignment horizontal="right" vertical="center" wrapText="1"/>
      <protection/>
    </xf>
    <xf numFmtId="0" fontId="6" fillId="0" borderId="0" xfId="88" applyFont="1" applyAlignment="1">
      <alignment horizontal="left" vertical="center" wrapText="1"/>
      <protection/>
    </xf>
    <xf numFmtId="0" fontId="8" fillId="2" borderId="27" xfId="88" applyFont="1" applyFill="1" applyBorder="1" applyAlignment="1">
      <alignment horizontal="center" vertical="center" wrapText="1"/>
      <protection/>
    </xf>
    <xf numFmtId="0" fontId="8" fillId="2" borderId="28" xfId="88" applyFont="1" applyFill="1" applyBorder="1" applyAlignment="1">
      <alignment horizontal="center" vertical="center" wrapText="1"/>
      <protection/>
    </xf>
    <xf numFmtId="0" fontId="8" fillId="2" borderId="29" xfId="88" applyFont="1" applyFill="1" applyBorder="1" applyAlignment="1">
      <alignment horizontal="center" vertical="center" wrapText="1"/>
      <protection/>
    </xf>
    <xf numFmtId="0" fontId="8" fillId="2" borderId="30" xfId="88" applyFont="1" applyFill="1" applyBorder="1" applyAlignment="1">
      <alignment horizontal="center" vertical="center" wrapText="1"/>
      <protection/>
    </xf>
    <xf numFmtId="0" fontId="8" fillId="2" borderId="0" xfId="88" applyFont="1" applyFill="1" applyBorder="1" applyAlignment="1">
      <alignment horizontal="center" vertical="center" wrapText="1"/>
      <protection/>
    </xf>
    <xf numFmtId="0" fontId="8" fillId="2" borderId="31" xfId="88" applyFont="1" applyFill="1" applyBorder="1" applyAlignment="1">
      <alignment horizontal="center" vertical="center" wrapText="1"/>
      <protection/>
    </xf>
    <xf numFmtId="0" fontId="8" fillId="2" borderId="32" xfId="88" applyFont="1" applyFill="1" applyBorder="1" applyAlignment="1">
      <alignment horizontal="center" vertical="center" wrapText="1"/>
      <protection/>
    </xf>
    <xf numFmtId="0" fontId="8" fillId="2" borderId="33" xfId="88" applyFont="1" applyFill="1" applyBorder="1" applyAlignment="1">
      <alignment horizontal="center" vertical="center" wrapText="1"/>
      <protection/>
    </xf>
    <xf numFmtId="0" fontId="8" fillId="2" borderId="34" xfId="88" applyFont="1" applyFill="1" applyBorder="1" applyAlignment="1">
      <alignment horizontal="center" vertical="center" wrapText="1"/>
      <protection/>
    </xf>
    <xf numFmtId="0" fontId="3" fillId="40" borderId="21" xfId="88" applyFont="1" applyFill="1" applyBorder="1" applyAlignment="1">
      <alignment horizontal="left" vertical="center" wrapText="1"/>
      <protection/>
    </xf>
    <xf numFmtId="0" fontId="3" fillId="40" borderId="22" xfId="88" applyFont="1" applyFill="1" applyBorder="1" applyAlignment="1">
      <alignment horizontal="left" vertical="center" wrapText="1"/>
      <protection/>
    </xf>
    <xf numFmtId="0" fontId="3" fillId="40" borderId="23" xfId="88" applyFont="1" applyFill="1" applyBorder="1" applyAlignment="1">
      <alignment horizontal="left" vertical="center" wrapText="1"/>
      <protection/>
    </xf>
    <xf numFmtId="3" fontId="7" fillId="0" borderId="21" xfId="88" applyNumberFormat="1" applyFont="1" applyBorder="1" applyAlignment="1">
      <alignment horizontal="right" vertical="center" wrapText="1"/>
      <protection/>
    </xf>
    <xf numFmtId="3" fontId="7" fillId="0" borderId="23" xfId="88" applyNumberFormat="1" applyFont="1" applyBorder="1" applyAlignment="1">
      <alignment horizontal="right" vertical="center" wrapText="1"/>
      <protection/>
    </xf>
    <xf numFmtId="3" fontId="7" fillId="40" borderId="21" xfId="88" applyNumberFormat="1" applyFont="1" applyFill="1" applyBorder="1" applyAlignment="1">
      <alignment horizontal="right" vertical="center" wrapText="1"/>
      <protection/>
    </xf>
    <xf numFmtId="3" fontId="7" fillId="40" borderId="23" xfId="88" applyNumberFormat="1" applyFont="1" applyFill="1" applyBorder="1" applyAlignment="1">
      <alignment horizontal="right" vertical="center" wrapText="1"/>
      <protection/>
    </xf>
    <xf numFmtId="4" fontId="7" fillId="40" borderId="21" xfId="88" applyNumberFormat="1" applyFont="1" applyFill="1" applyBorder="1" applyAlignment="1">
      <alignment horizontal="right" vertical="center" wrapText="1"/>
      <protection/>
    </xf>
    <xf numFmtId="4" fontId="7" fillId="40" borderId="23" xfId="88" applyNumberFormat="1" applyFont="1" applyFill="1" applyBorder="1" applyAlignment="1">
      <alignment horizontal="right" vertical="center" wrapText="1"/>
      <protection/>
    </xf>
    <xf numFmtId="0" fontId="28" fillId="2" borderId="24" xfId="88" applyFont="1" applyFill="1" applyBorder="1" applyAlignment="1">
      <alignment horizontal="center" vertical="center" wrapText="1"/>
      <protection/>
    </xf>
    <xf numFmtId="0" fontId="28" fillId="2" borderId="25" xfId="88" applyFont="1" applyFill="1" applyBorder="1" applyAlignment="1">
      <alignment horizontal="center" vertical="center" wrapText="1"/>
      <protection/>
    </xf>
    <xf numFmtId="0" fontId="28" fillId="2" borderId="26" xfId="88" applyFont="1" applyFill="1" applyBorder="1" applyAlignment="1">
      <alignment horizontal="center" vertical="center" wrapText="1"/>
      <protection/>
    </xf>
    <xf numFmtId="0" fontId="3" fillId="2" borderId="27" xfId="88" applyFont="1" applyFill="1" applyBorder="1" applyAlignment="1">
      <alignment horizontal="center" vertical="center" wrapText="1"/>
      <protection/>
    </xf>
    <xf numFmtId="0" fontId="3" fillId="2" borderId="30" xfId="88" applyFont="1" applyFill="1" applyBorder="1" applyAlignment="1">
      <alignment horizontal="center" vertical="center" wrapText="1"/>
      <protection/>
    </xf>
    <xf numFmtId="0" fontId="3" fillId="2" borderId="32" xfId="88" applyFont="1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7" fillId="2" borderId="30" xfId="88" applyFont="1" applyFill="1" applyBorder="1" applyAlignment="1">
      <alignment horizontal="center" vertical="center" wrapText="1"/>
      <protection/>
    </xf>
    <xf numFmtId="0" fontId="7" fillId="2" borderId="32" xfId="88" applyFont="1" applyFill="1" applyBorder="1" applyAlignment="1">
      <alignment horizontal="center" vertical="center" wrapText="1"/>
      <protection/>
    </xf>
    <xf numFmtId="0" fontId="27" fillId="0" borderId="0" xfId="88" applyFont="1" applyFill="1" applyBorder="1" applyAlignment="1">
      <alignment horizontal="center" vertical="center" wrapText="1"/>
      <protection/>
    </xf>
    <xf numFmtId="0" fontId="28" fillId="2" borderId="21" xfId="88" applyFont="1" applyFill="1" applyBorder="1" applyAlignment="1">
      <alignment horizontal="center" vertical="center" wrapText="1"/>
      <protection/>
    </xf>
    <xf numFmtId="0" fontId="28" fillId="2" borderId="22" xfId="88" applyFont="1" applyFill="1" applyBorder="1" applyAlignment="1">
      <alignment horizontal="center" vertical="center" wrapText="1"/>
      <protection/>
    </xf>
    <xf numFmtId="0" fontId="28" fillId="2" borderId="23" xfId="88" applyFont="1" applyFill="1" applyBorder="1" applyAlignment="1">
      <alignment horizontal="center" vertical="center" wrapText="1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cent 1" xfId="33"/>
    <cellStyle name="40% - akcent 2" xfId="34"/>
    <cellStyle name="40% - akcent 3" xfId="35"/>
    <cellStyle name="40% - akcent 4" xfId="36"/>
    <cellStyle name="40% - akcent 5" xfId="37"/>
    <cellStyle name="40% -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cent 1" xfId="45"/>
    <cellStyle name="60% - akcent 2" xfId="46"/>
    <cellStyle name="60% - akcent 3" xfId="47"/>
    <cellStyle name="60% - akcent 4" xfId="48"/>
    <cellStyle name="60% - akcent 5" xfId="49"/>
    <cellStyle name="60% -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e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e" xfId="87"/>
    <cellStyle name="Normalny_Zeszyt1" xfId="88"/>
    <cellStyle name="Note" xfId="89"/>
    <cellStyle name="Obliczenia" xfId="90"/>
    <cellStyle name="Followed Hyperlink" xfId="91"/>
    <cellStyle name="Output" xfId="92"/>
    <cellStyle name="Percent" xfId="93"/>
    <cellStyle name="Suma" xfId="94"/>
    <cellStyle name="Tekst objaśnienia" xfId="95"/>
    <cellStyle name="Tekst ostrzeżenia" xfId="96"/>
    <cellStyle name="Title" xfId="97"/>
    <cellStyle name="Total" xfId="98"/>
    <cellStyle name="Tytuł" xfId="99"/>
    <cellStyle name="Uwaga" xfId="100"/>
    <cellStyle name="Currency" xfId="101"/>
    <cellStyle name="Currency [0]" xfId="102"/>
    <cellStyle name="Warning Text" xfId="103"/>
    <cellStyle name="Złe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Q91"/>
  <sheetViews>
    <sheetView tabSelected="1" zoomScaleSheetLayoutView="50" workbookViewId="0" topLeftCell="A1">
      <selection activeCell="A13" sqref="A13"/>
    </sheetView>
  </sheetViews>
  <sheetFormatPr defaultColWidth="9.00390625" defaultRowHeight="13.5" customHeight="1"/>
  <cols>
    <col min="1" max="1" width="22.625" style="2" customWidth="1"/>
    <col min="2" max="3" width="13.75390625" style="2" customWidth="1"/>
    <col min="4" max="4" width="12.375" style="2" customWidth="1"/>
    <col min="5" max="5" width="11.375" style="2" customWidth="1"/>
    <col min="6" max="6" width="11.25390625" style="2" bestFit="1" customWidth="1"/>
    <col min="7" max="7" width="11.125" style="2" bestFit="1" customWidth="1"/>
    <col min="8" max="8" width="9.375" style="2" bestFit="1" customWidth="1"/>
    <col min="9" max="9" width="11.875" style="2" bestFit="1" customWidth="1"/>
    <col min="10" max="10" width="12.00390625" style="2" bestFit="1" customWidth="1"/>
    <col min="11" max="11" width="10.125" style="2" bestFit="1" customWidth="1"/>
    <col min="12" max="13" width="11.25390625" style="2" bestFit="1" customWidth="1"/>
    <col min="14" max="14" width="10.125" style="2" bestFit="1" customWidth="1"/>
    <col min="15" max="15" width="12.00390625" style="2" bestFit="1" customWidth="1"/>
    <col min="16" max="16" width="12.625" style="2" customWidth="1"/>
    <col min="17" max="16384" width="9.125" style="2" customWidth="1"/>
  </cols>
  <sheetData>
    <row r="1" spans="1:13" ht="75" customHeight="1">
      <c r="A1" s="37" t="s">
        <v>78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3.5" customHeight="1">
      <c r="A3" s="47" t="s">
        <v>62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5" spans="2:17" ht="13.5" customHeight="1">
      <c r="B5" s="9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8"/>
      <c r="O5" s="8"/>
      <c r="P5" s="8"/>
      <c r="Q5" s="8"/>
    </row>
    <row r="6" spans="1:17" ht="13.5" customHeight="1">
      <c r="A6" s="66" t="s">
        <v>0</v>
      </c>
      <c r="B6" s="38" t="s">
        <v>63</v>
      </c>
      <c r="C6" s="33" t="s">
        <v>67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5"/>
      <c r="O6" s="33" t="s">
        <v>66</v>
      </c>
      <c r="P6" s="34"/>
      <c r="Q6" s="35"/>
    </row>
    <row r="7" spans="1:17" ht="13.5" customHeight="1">
      <c r="A7" s="67"/>
      <c r="B7" s="39"/>
      <c r="C7" s="40" t="s">
        <v>64</v>
      </c>
      <c r="D7" s="40" t="s">
        <v>1</v>
      </c>
      <c r="E7" s="40" t="s">
        <v>68</v>
      </c>
      <c r="F7" s="40" t="s">
        <v>69</v>
      </c>
      <c r="G7" s="40" t="s">
        <v>25</v>
      </c>
      <c r="H7" s="40" t="s">
        <v>26</v>
      </c>
      <c r="I7" s="73" t="s">
        <v>65</v>
      </c>
      <c r="J7" s="40" t="s">
        <v>14</v>
      </c>
      <c r="K7" s="40" t="s">
        <v>15</v>
      </c>
      <c r="L7" s="40" t="s">
        <v>16</v>
      </c>
      <c r="M7" s="40" t="s">
        <v>17</v>
      </c>
      <c r="N7" s="39" t="s">
        <v>18</v>
      </c>
      <c r="O7" s="36" t="s">
        <v>19</v>
      </c>
      <c r="P7" s="36" t="s">
        <v>20</v>
      </c>
      <c r="Q7" s="36" t="s">
        <v>21</v>
      </c>
    </row>
    <row r="8" spans="1:17" ht="13.5" customHeight="1">
      <c r="A8" s="67"/>
      <c r="B8" s="39"/>
      <c r="C8" s="36"/>
      <c r="D8" s="36"/>
      <c r="E8" s="36"/>
      <c r="F8" s="36"/>
      <c r="G8" s="36"/>
      <c r="H8" s="36"/>
      <c r="I8" s="73"/>
      <c r="J8" s="36"/>
      <c r="K8" s="36"/>
      <c r="L8" s="36"/>
      <c r="M8" s="36"/>
      <c r="N8" s="39"/>
      <c r="O8" s="36"/>
      <c r="P8" s="36"/>
      <c r="Q8" s="36"/>
    </row>
    <row r="9" spans="1:17" ht="11.25" customHeight="1">
      <c r="A9" s="67"/>
      <c r="B9" s="39"/>
      <c r="C9" s="36"/>
      <c r="D9" s="36"/>
      <c r="E9" s="36"/>
      <c r="F9" s="36"/>
      <c r="G9" s="36"/>
      <c r="H9" s="36"/>
      <c r="I9" s="73"/>
      <c r="J9" s="36"/>
      <c r="K9" s="36"/>
      <c r="L9" s="36"/>
      <c r="M9" s="36"/>
      <c r="N9" s="39"/>
      <c r="O9" s="36"/>
      <c r="P9" s="36"/>
      <c r="Q9" s="36"/>
    </row>
    <row r="10" spans="1:17" ht="11.25" customHeight="1">
      <c r="A10" s="68"/>
      <c r="B10" s="40"/>
      <c r="C10" s="36"/>
      <c r="D10" s="36"/>
      <c r="E10" s="36"/>
      <c r="F10" s="36"/>
      <c r="G10" s="36"/>
      <c r="H10" s="36"/>
      <c r="I10" s="74"/>
      <c r="J10" s="36"/>
      <c r="K10" s="36"/>
      <c r="L10" s="36"/>
      <c r="M10" s="36"/>
      <c r="N10" s="40"/>
      <c r="O10" s="36"/>
      <c r="P10" s="36"/>
      <c r="Q10" s="36"/>
    </row>
    <row r="11" spans="1:17" ht="11.25" customHeight="1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  <c r="J11" s="11">
        <v>10</v>
      </c>
      <c r="K11" s="11">
        <v>11</v>
      </c>
      <c r="L11" s="11">
        <v>12</v>
      </c>
      <c r="M11" s="11">
        <v>13</v>
      </c>
      <c r="N11" s="11">
        <v>14</v>
      </c>
      <c r="O11" s="11">
        <v>15</v>
      </c>
      <c r="P11" s="11">
        <v>16</v>
      </c>
      <c r="Q11" s="11">
        <v>17</v>
      </c>
    </row>
    <row r="12" spans="1:17" ht="13.5" customHeight="1">
      <c r="A12" s="11"/>
      <c r="B12" s="26" t="s">
        <v>76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8"/>
    </row>
    <row r="13" spans="1:17" ht="38.25" customHeight="1">
      <c r="A13" s="18" t="s">
        <v>45</v>
      </c>
      <c r="B13" s="19">
        <f>31903071497.87</f>
        <v>31903071497.87</v>
      </c>
      <c r="C13" s="19">
        <f>18701363064.68</f>
        <v>18701363064.68</v>
      </c>
      <c r="D13" s="19">
        <f>572869524.24</f>
        <v>572869524.24</v>
      </c>
      <c r="E13" s="19">
        <f>8727297.96</f>
        <v>8727297.96</v>
      </c>
      <c r="F13" s="19">
        <f>143032091.66</f>
        <v>143032091.66</v>
      </c>
      <c r="G13" s="19">
        <f>421110134.62</f>
        <v>421110134.62</v>
      </c>
      <c r="H13" s="19">
        <f>0</f>
        <v>0</v>
      </c>
      <c r="I13" s="19">
        <f>0</f>
        <v>0</v>
      </c>
      <c r="J13" s="19">
        <f>17597862119.79</f>
        <v>17597862119.79</v>
      </c>
      <c r="K13" s="19">
        <f>480145958.97</f>
        <v>480145958.97</v>
      </c>
      <c r="L13" s="19">
        <f>38798888.34</f>
        <v>38798888.34</v>
      </c>
      <c r="M13" s="19">
        <f>9814686.67</f>
        <v>9814686.67</v>
      </c>
      <c r="N13" s="19">
        <f>1871886.67</f>
        <v>1871886.67</v>
      </c>
      <c r="O13" s="19">
        <f>13201708433.19</f>
        <v>13201708433.19</v>
      </c>
      <c r="P13" s="19">
        <f>13201707751.03</f>
        <v>13201707751.03</v>
      </c>
      <c r="Q13" s="19">
        <f>682.16</f>
        <v>682.16</v>
      </c>
    </row>
    <row r="14" spans="1:17" ht="38.25" customHeight="1">
      <c r="A14" s="18" t="s">
        <v>46</v>
      </c>
      <c r="B14" s="19">
        <f>3138831000</f>
        <v>3138831000</v>
      </c>
      <c r="C14" s="19">
        <f>3138831000</f>
        <v>3138831000</v>
      </c>
      <c r="D14" s="19">
        <f>0</f>
        <v>0</v>
      </c>
      <c r="E14" s="19">
        <f>0</f>
        <v>0</v>
      </c>
      <c r="F14" s="19">
        <f>0</f>
        <v>0</v>
      </c>
      <c r="G14" s="19">
        <f>0</f>
        <v>0</v>
      </c>
      <c r="H14" s="19">
        <f>0</f>
        <v>0</v>
      </c>
      <c r="I14" s="19">
        <f>0</f>
        <v>0</v>
      </c>
      <c r="J14" s="19">
        <f>3138831000</f>
        <v>3138831000</v>
      </c>
      <c r="K14" s="19">
        <f>0</f>
        <v>0</v>
      </c>
      <c r="L14" s="19">
        <f>0</f>
        <v>0</v>
      </c>
      <c r="M14" s="19">
        <f>0</f>
        <v>0</v>
      </c>
      <c r="N14" s="19">
        <f>0</f>
        <v>0</v>
      </c>
      <c r="O14" s="19">
        <f>0</f>
        <v>0</v>
      </c>
      <c r="P14" s="19">
        <f>0</f>
        <v>0</v>
      </c>
      <c r="Q14" s="19">
        <f>0</f>
        <v>0</v>
      </c>
    </row>
    <row r="15" spans="1:17" ht="38.25" customHeight="1">
      <c r="A15" s="16" t="s">
        <v>47</v>
      </c>
      <c r="B15" s="20">
        <f>0</f>
        <v>0</v>
      </c>
      <c r="C15" s="20">
        <f>0</f>
        <v>0</v>
      </c>
      <c r="D15" s="20">
        <f>0</f>
        <v>0</v>
      </c>
      <c r="E15" s="20">
        <f>0</f>
        <v>0</v>
      </c>
      <c r="F15" s="20">
        <f>0</f>
        <v>0</v>
      </c>
      <c r="G15" s="20">
        <f>0</f>
        <v>0</v>
      </c>
      <c r="H15" s="20">
        <f>0</f>
        <v>0</v>
      </c>
      <c r="I15" s="20">
        <f>0</f>
        <v>0</v>
      </c>
      <c r="J15" s="20">
        <f>0</f>
        <v>0</v>
      </c>
      <c r="K15" s="20">
        <f>0</f>
        <v>0</v>
      </c>
      <c r="L15" s="20">
        <f>0</f>
        <v>0</v>
      </c>
      <c r="M15" s="20">
        <f>0</f>
        <v>0</v>
      </c>
      <c r="N15" s="20">
        <f>0</f>
        <v>0</v>
      </c>
      <c r="O15" s="20">
        <f>0</f>
        <v>0</v>
      </c>
      <c r="P15" s="20">
        <f>0</f>
        <v>0</v>
      </c>
      <c r="Q15" s="20">
        <f>0</f>
        <v>0</v>
      </c>
    </row>
    <row r="16" spans="1:17" ht="38.25" customHeight="1">
      <c r="A16" s="16" t="s">
        <v>48</v>
      </c>
      <c r="B16" s="20">
        <f>3138831000</f>
        <v>3138831000</v>
      </c>
      <c r="C16" s="20">
        <f>3138831000</f>
        <v>3138831000</v>
      </c>
      <c r="D16" s="20">
        <f>0</f>
        <v>0</v>
      </c>
      <c r="E16" s="20">
        <f>0</f>
        <v>0</v>
      </c>
      <c r="F16" s="20">
        <f>0</f>
        <v>0</v>
      </c>
      <c r="G16" s="20">
        <f>0</f>
        <v>0</v>
      </c>
      <c r="H16" s="20">
        <f>0</f>
        <v>0</v>
      </c>
      <c r="I16" s="20">
        <f>0</f>
        <v>0</v>
      </c>
      <c r="J16" s="20">
        <f>3138831000</f>
        <v>3138831000</v>
      </c>
      <c r="K16" s="20">
        <f>0</f>
        <v>0</v>
      </c>
      <c r="L16" s="20">
        <f>0</f>
        <v>0</v>
      </c>
      <c r="M16" s="20">
        <f>0</f>
        <v>0</v>
      </c>
      <c r="N16" s="20">
        <f>0</f>
        <v>0</v>
      </c>
      <c r="O16" s="20">
        <f>0</f>
        <v>0</v>
      </c>
      <c r="P16" s="20">
        <f>0</f>
        <v>0</v>
      </c>
      <c r="Q16" s="20">
        <f>0</f>
        <v>0</v>
      </c>
    </row>
    <row r="17" spans="1:17" ht="38.25" customHeight="1">
      <c r="A17" s="18" t="s">
        <v>49</v>
      </c>
      <c r="B17" s="19">
        <f>28744729841.65</f>
        <v>28744729841.65</v>
      </c>
      <c r="C17" s="19">
        <f>15543022120</f>
        <v>15543022120</v>
      </c>
      <c r="D17" s="19">
        <f>570156548.3</f>
        <v>570156548.3</v>
      </c>
      <c r="E17" s="19">
        <f>6881507.08</f>
        <v>6881507.08</v>
      </c>
      <c r="F17" s="19">
        <f>143032091.66</f>
        <v>143032091.66</v>
      </c>
      <c r="G17" s="19">
        <f>420242949.56</f>
        <v>420242949.56</v>
      </c>
      <c r="H17" s="19">
        <f>0</f>
        <v>0</v>
      </c>
      <c r="I17" s="19">
        <f>0</f>
        <v>0</v>
      </c>
      <c r="J17" s="19">
        <f>14459031119.79</f>
        <v>14459031119.79</v>
      </c>
      <c r="K17" s="19">
        <f>477332668.64</f>
        <v>477332668.64</v>
      </c>
      <c r="L17" s="19">
        <f>36129681.39</f>
        <v>36129681.39</v>
      </c>
      <c r="M17" s="19">
        <f>372101.88</f>
        <v>372101.88</v>
      </c>
      <c r="N17" s="19">
        <f>0</f>
        <v>0</v>
      </c>
      <c r="O17" s="19">
        <f>13201707721.65</f>
        <v>13201707721.65</v>
      </c>
      <c r="P17" s="19">
        <f>13201707721.65</f>
        <v>13201707721.65</v>
      </c>
      <c r="Q17" s="19">
        <f>0</f>
        <v>0</v>
      </c>
    </row>
    <row r="18" spans="1:17" ht="38.25" customHeight="1">
      <c r="A18" s="16" t="s">
        <v>50</v>
      </c>
      <c r="B18" s="20">
        <f>330232362.99</f>
        <v>330232362.99</v>
      </c>
      <c r="C18" s="20">
        <f>330232362.99</f>
        <v>330232362.99</v>
      </c>
      <c r="D18" s="20">
        <f>0</f>
        <v>0</v>
      </c>
      <c r="E18" s="20">
        <f>0</f>
        <v>0</v>
      </c>
      <c r="F18" s="20">
        <f>0</f>
        <v>0</v>
      </c>
      <c r="G18" s="20">
        <f>0</f>
        <v>0</v>
      </c>
      <c r="H18" s="20">
        <f>0</f>
        <v>0</v>
      </c>
      <c r="I18" s="20">
        <f>0</f>
        <v>0</v>
      </c>
      <c r="J18" s="20">
        <f>329963862.11</f>
        <v>329963862.11</v>
      </c>
      <c r="K18" s="20">
        <f>0</f>
        <v>0</v>
      </c>
      <c r="L18" s="20">
        <f>0</f>
        <v>0</v>
      </c>
      <c r="M18" s="20">
        <f>268500.88</f>
        <v>268500.88</v>
      </c>
      <c r="N18" s="20">
        <f>0</f>
        <v>0</v>
      </c>
      <c r="O18" s="20">
        <f>0</f>
        <v>0</v>
      </c>
      <c r="P18" s="20">
        <f>0</f>
        <v>0</v>
      </c>
      <c r="Q18" s="20">
        <f>0</f>
        <v>0</v>
      </c>
    </row>
    <row r="19" spans="1:17" ht="38.25" customHeight="1">
      <c r="A19" s="16" t="s">
        <v>51</v>
      </c>
      <c r="B19" s="20">
        <f>28414497478.66</f>
        <v>28414497478.66</v>
      </c>
      <c r="C19" s="20">
        <f>15212789757.01</f>
        <v>15212789757.01</v>
      </c>
      <c r="D19" s="20">
        <f>570156548.3</f>
        <v>570156548.3</v>
      </c>
      <c r="E19" s="20">
        <f>6881507.08</f>
        <v>6881507.08</v>
      </c>
      <c r="F19" s="20">
        <f>143032091.66</f>
        <v>143032091.66</v>
      </c>
      <c r="G19" s="20">
        <f>420242949.56</f>
        <v>420242949.56</v>
      </c>
      <c r="H19" s="20">
        <f>0</f>
        <v>0</v>
      </c>
      <c r="I19" s="20">
        <f>0</f>
        <v>0</v>
      </c>
      <c r="J19" s="20">
        <f>14129067257.68</f>
        <v>14129067257.68</v>
      </c>
      <c r="K19" s="20">
        <f>477332668.64</f>
        <v>477332668.64</v>
      </c>
      <c r="L19" s="20">
        <f>36129681.39</f>
        <v>36129681.39</v>
      </c>
      <c r="M19" s="20">
        <f>103601</f>
        <v>103601</v>
      </c>
      <c r="N19" s="20">
        <f>0</f>
        <v>0</v>
      </c>
      <c r="O19" s="20">
        <f>13201707721.65</f>
        <v>13201707721.65</v>
      </c>
      <c r="P19" s="20">
        <f>13201707721.65</f>
        <v>13201707721.65</v>
      </c>
      <c r="Q19" s="20">
        <f>0</f>
        <v>0</v>
      </c>
    </row>
    <row r="20" spans="1:17" ht="38.25" customHeight="1">
      <c r="A20" s="18" t="s">
        <v>52</v>
      </c>
      <c r="B20" s="19">
        <f>0</f>
        <v>0</v>
      </c>
      <c r="C20" s="19">
        <f>0</f>
        <v>0</v>
      </c>
      <c r="D20" s="19">
        <f>0</f>
        <v>0</v>
      </c>
      <c r="E20" s="19">
        <f>0</f>
        <v>0</v>
      </c>
      <c r="F20" s="19">
        <f>0</f>
        <v>0</v>
      </c>
      <c r="G20" s="19">
        <f>0</f>
        <v>0</v>
      </c>
      <c r="H20" s="19">
        <f>0</f>
        <v>0</v>
      </c>
      <c r="I20" s="19">
        <f>0</f>
        <v>0</v>
      </c>
      <c r="J20" s="19">
        <f>0</f>
        <v>0</v>
      </c>
      <c r="K20" s="19">
        <f>0</f>
        <v>0</v>
      </c>
      <c r="L20" s="19">
        <f>0</f>
        <v>0</v>
      </c>
      <c r="M20" s="19">
        <f>0</f>
        <v>0</v>
      </c>
      <c r="N20" s="19">
        <f>0</f>
        <v>0</v>
      </c>
      <c r="O20" s="19">
        <f>0</f>
        <v>0</v>
      </c>
      <c r="P20" s="19">
        <f>0</f>
        <v>0</v>
      </c>
      <c r="Q20" s="19">
        <f>0</f>
        <v>0</v>
      </c>
    </row>
    <row r="21" spans="1:17" ht="38.25" customHeight="1">
      <c r="A21" s="18" t="s">
        <v>77</v>
      </c>
      <c r="B21" s="19">
        <f>19510656.22</f>
        <v>19510656.22</v>
      </c>
      <c r="C21" s="19">
        <f>19509944.68</f>
        <v>19509944.68</v>
      </c>
      <c r="D21" s="19">
        <f>2712975.94</f>
        <v>2712975.94</v>
      </c>
      <c r="E21" s="19">
        <f>1845790.88</f>
        <v>1845790.88</v>
      </c>
      <c r="F21" s="19">
        <f>0</f>
        <v>0</v>
      </c>
      <c r="G21" s="19">
        <f>867185.06</f>
        <v>867185.06</v>
      </c>
      <c r="H21" s="19">
        <f>0</f>
        <v>0</v>
      </c>
      <c r="I21" s="19">
        <f>0</f>
        <v>0</v>
      </c>
      <c r="J21" s="19">
        <f>0</f>
        <v>0</v>
      </c>
      <c r="K21" s="19">
        <f>2813290.33</f>
        <v>2813290.33</v>
      </c>
      <c r="L21" s="19">
        <f>2669206.95</f>
        <v>2669206.95</v>
      </c>
      <c r="M21" s="19">
        <f>9442584.79</f>
        <v>9442584.79</v>
      </c>
      <c r="N21" s="19">
        <f>1871886.67</f>
        <v>1871886.67</v>
      </c>
      <c r="O21" s="19">
        <f>711.54</f>
        <v>711.54</v>
      </c>
      <c r="P21" s="19">
        <f>29.38</f>
        <v>29.38</v>
      </c>
      <c r="Q21" s="19">
        <f>682.16</f>
        <v>682.16</v>
      </c>
    </row>
    <row r="22" spans="1:17" ht="38.25" customHeight="1">
      <c r="A22" s="16" t="s">
        <v>53</v>
      </c>
      <c r="B22" s="20">
        <f>14582786.02</f>
        <v>14582786.02</v>
      </c>
      <c r="C22" s="20">
        <f>14582786.02</f>
        <v>14582786.02</v>
      </c>
      <c r="D22" s="20">
        <f>160</f>
        <v>160</v>
      </c>
      <c r="E22" s="20">
        <f>0</f>
        <v>0</v>
      </c>
      <c r="F22" s="20">
        <f>0</f>
        <v>0</v>
      </c>
      <c r="G22" s="20">
        <f>160</f>
        <v>160</v>
      </c>
      <c r="H22" s="20">
        <f>0</f>
        <v>0</v>
      </c>
      <c r="I22" s="20">
        <f>0</f>
        <v>0</v>
      </c>
      <c r="J22" s="20">
        <f>0</f>
        <v>0</v>
      </c>
      <c r="K22" s="20">
        <f>2813290.33</f>
        <v>2813290.33</v>
      </c>
      <c r="L22" s="20">
        <f>2653749.67</f>
        <v>2653749.67</v>
      </c>
      <c r="M22" s="20">
        <f>8035948.24</f>
        <v>8035948.24</v>
      </c>
      <c r="N22" s="20">
        <f>1079637.78</f>
        <v>1079637.78</v>
      </c>
      <c r="O22" s="20">
        <f>0</f>
        <v>0</v>
      </c>
      <c r="P22" s="20">
        <f>0</f>
        <v>0</v>
      </c>
      <c r="Q22" s="20">
        <f>0</f>
        <v>0</v>
      </c>
    </row>
    <row r="23" spans="1:17" ht="38.25" customHeight="1">
      <c r="A23" s="16" t="s">
        <v>54</v>
      </c>
      <c r="B23" s="20">
        <f>4927870.2</f>
        <v>4927870.2</v>
      </c>
      <c r="C23" s="20">
        <f>4927158.66</f>
        <v>4927158.66</v>
      </c>
      <c r="D23" s="20">
        <f>2712815.94</f>
        <v>2712815.94</v>
      </c>
      <c r="E23" s="20">
        <f>1845790.88</f>
        <v>1845790.88</v>
      </c>
      <c r="F23" s="20">
        <f>0</f>
        <v>0</v>
      </c>
      <c r="G23" s="20">
        <f>867025.06</f>
        <v>867025.06</v>
      </c>
      <c r="H23" s="20">
        <f>0</f>
        <v>0</v>
      </c>
      <c r="I23" s="20">
        <f>0</f>
        <v>0</v>
      </c>
      <c r="J23" s="20">
        <f>0</f>
        <v>0</v>
      </c>
      <c r="K23" s="20">
        <f>0</f>
        <v>0</v>
      </c>
      <c r="L23" s="20">
        <f>15457.28</f>
        <v>15457.28</v>
      </c>
      <c r="M23" s="20">
        <f>1406636.55</f>
        <v>1406636.55</v>
      </c>
      <c r="N23" s="20">
        <f>792248.89</f>
        <v>792248.89</v>
      </c>
      <c r="O23" s="20">
        <f>711.54</f>
        <v>711.54</v>
      </c>
      <c r="P23" s="20">
        <f>29.38</f>
        <v>29.38</v>
      </c>
      <c r="Q23" s="20">
        <f>682.16</f>
        <v>682.16</v>
      </c>
    </row>
    <row r="24" spans="1:17" ht="19.5" customHeight="1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ht="19.5" customHeight="1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19.5" customHeight="1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9.5" customHeight="1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9.5" customHeight="1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9.5" customHeight="1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3" ht="45.75" customHeight="1">
      <c r="A30" s="37" t="s">
        <v>78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</row>
    <row r="32" spans="1:13" ht="13.5" customHeight="1">
      <c r="A32" s="47" t="s">
        <v>9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</row>
    <row r="34" spans="1:17" ht="13.5" customHeight="1">
      <c r="A34" s="66" t="s">
        <v>0</v>
      </c>
      <c r="B34" s="38" t="s">
        <v>10</v>
      </c>
      <c r="C34" s="76" t="s">
        <v>12</v>
      </c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8"/>
      <c r="O34" s="76" t="s">
        <v>22</v>
      </c>
      <c r="P34" s="77"/>
      <c r="Q34" s="78"/>
    </row>
    <row r="35" spans="1:17" ht="13.5" customHeight="1">
      <c r="A35" s="67"/>
      <c r="B35" s="39"/>
      <c r="C35" s="39" t="s">
        <v>11</v>
      </c>
      <c r="D35" s="36" t="s">
        <v>13</v>
      </c>
      <c r="E35" s="36" t="s">
        <v>23</v>
      </c>
      <c r="F35" s="36" t="s">
        <v>24</v>
      </c>
      <c r="G35" s="36" t="s">
        <v>73</v>
      </c>
      <c r="H35" s="36" t="s">
        <v>26</v>
      </c>
      <c r="I35" s="36" t="s">
        <v>2</v>
      </c>
      <c r="J35" s="36" t="s">
        <v>14</v>
      </c>
      <c r="K35" s="36" t="s">
        <v>15</v>
      </c>
      <c r="L35" s="36" t="s">
        <v>16</v>
      </c>
      <c r="M35" s="36" t="s">
        <v>17</v>
      </c>
      <c r="N35" s="41" t="s">
        <v>18</v>
      </c>
      <c r="O35" s="36" t="s">
        <v>19</v>
      </c>
      <c r="P35" s="36" t="s">
        <v>20</v>
      </c>
      <c r="Q35" s="38" t="s">
        <v>21</v>
      </c>
    </row>
    <row r="36" spans="1:17" ht="11.25" customHeight="1">
      <c r="A36" s="67"/>
      <c r="B36" s="39"/>
      <c r="C36" s="39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41"/>
      <c r="O36" s="36"/>
      <c r="P36" s="36"/>
      <c r="Q36" s="39"/>
    </row>
    <row r="37" spans="1:17" ht="24.75" customHeight="1">
      <c r="A37" s="68"/>
      <c r="B37" s="40"/>
      <c r="C37" s="40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41"/>
      <c r="O37" s="36"/>
      <c r="P37" s="36"/>
      <c r="Q37" s="40"/>
    </row>
    <row r="38" spans="1:17" ht="13.5" customHeight="1">
      <c r="A38" s="11">
        <v>1</v>
      </c>
      <c r="B38" s="11">
        <v>2</v>
      </c>
      <c r="C38" s="11">
        <v>3</v>
      </c>
      <c r="D38" s="11">
        <v>4</v>
      </c>
      <c r="E38" s="11">
        <v>5</v>
      </c>
      <c r="F38" s="11">
        <v>6</v>
      </c>
      <c r="G38" s="11">
        <v>7</v>
      </c>
      <c r="H38" s="11">
        <v>8</v>
      </c>
      <c r="I38" s="11">
        <v>9</v>
      </c>
      <c r="J38" s="11">
        <v>10</v>
      </c>
      <c r="K38" s="11">
        <v>11</v>
      </c>
      <c r="L38" s="11">
        <v>12</v>
      </c>
      <c r="M38" s="11">
        <v>13</v>
      </c>
      <c r="N38" s="11">
        <v>14</v>
      </c>
      <c r="O38" s="11">
        <v>15</v>
      </c>
      <c r="P38" s="11">
        <v>16</v>
      </c>
      <c r="Q38" s="11">
        <v>17</v>
      </c>
    </row>
    <row r="39" spans="1:17" ht="12.75" customHeight="1">
      <c r="A39" s="10"/>
      <c r="B39" s="29" t="s">
        <v>76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1"/>
    </row>
    <row r="40" spans="1:17" ht="27.75" customHeight="1" hidden="1">
      <c r="A40" s="12" t="s">
        <v>27</v>
      </c>
      <c r="B40" s="13">
        <f>0</f>
        <v>0</v>
      </c>
      <c r="C40" s="13">
        <f>0</f>
        <v>0</v>
      </c>
      <c r="D40" s="13">
        <f>0</f>
        <v>0</v>
      </c>
      <c r="E40" s="13">
        <f>0</f>
        <v>0</v>
      </c>
      <c r="F40" s="13">
        <f>0</f>
        <v>0</v>
      </c>
      <c r="G40" s="13">
        <f>0</f>
        <v>0</v>
      </c>
      <c r="H40" s="13">
        <f>0</f>
        <v>0</v>
      </c>
      <c r="I40" s="13">
        <f>0</f>
        <v>0</v>
      </c>
      <c r="J40" s="13">
        <f>0</f>
        <v>0</v>
      </c>
      <c r="K40" s="13">
        <f>0</f>
        <v>0</v>
      </c>
      <c r="L40" s="13">
        <f>0</f>
        <v>0</v>
      </c>
      <c r="M40" s="13">
        <f>0</f>
        <v>0</v>
      </c>
      <c r="N40" s="13">
        <f>0</f>
        <v>0</v>
      </c>
      <c r="O40" s="13">
        <f>0</f>
        <v>0</v>
      </c>
      <c r="P40" s="13">
        <f>0</f>
        <v>0</v>
      </c>
      <c r="Q40" s="13">
        <f>0</f>
        <v>0</v>
      </c>
    </row>
    <row r="41" spans="1:17" ht="26.25" customHeight="1">
      <c r="A41" s="23" t="s">
        <v>40</v>
      </c>
      <c r="B41" s="21">
        <f>2443659.39</f>
        <v>2443659.39</v>
      </c>
      <c r="C41" s="21">
        <f>2443659.39</f>
        <v>2443659.39</v>
      </c>
      <c r="D41" s="21">
        <f>0</f>
        <v>0</v>
      </c>
      <c r="E41" s="21">
        <f>0</f>
        <v>0</v>
      </c>
      <c r="F41" s="21">
        <f>0</f>
        <v>0</v>
      </c>
      <c r="G41" s="21">
        <f>0</f>
        <v>0</v>
      </c>
      <c r="H41" s="21">
        <f>0</f>
        <v>0</v>
      </c>
      <c r="I41" s="21">
        <f>0</f>
        <v>0</v>
      </c>
      <c r="J41" s="21">
        <f>0</f>
        <v>0</v>
      </c>
      <c r="K41" s="21">
        <f>0</f>
        <v>0</v>
      </c>
      <c r="L41" s="21">
        <f>1050057.3</f>
        <v>1050057.3</v>
      </c>
      <c r="M41" s="21">
        <f>1393602.09</f>
        <v>1393602.09</v>
      </c>
      <c r="N41" s="21">
        <f>0</f>
        <v>0</v>
      </c>
      <c r="O41" s="21">
        <f>0</f>
        <v>0</v>
      </c>
      <c r="P41" s="21">
        <f>0</f>
        <v>0</v>
      </c>
      <c r="Q41" s="21">
        <f>0</f>
        <v>0</v>
      </c>
    </row>
    <row r="42" spans="1:17" ht="26.25" customHeight="1">
      <c r="A42" s="17" t="s">
        <v>28</v>
      </c>
      <c r="B42" s="22">
        <f>81826.5</f>
        <v>81826.5</v>
      </c>
      <c r="C42" s="22">
        <f>81826.5</f>
        <v>81826.5</v>
      </c>
      <c r="D42" s="22">
        <f>0</f>
        <v>0</v>
      </c>
      <c r="E42" s="22">
        <f>0</f>
        <v>0</v>
      </c>
      <c r="F42" s="22">
        <f>0</f>
        <v>0</v>
      </c>
      <c r="G42" s="22">
        <f>0</f>
        <v>0</v>
      </c>
      <c r="H42" s="22">
        <f>0</f>
        <v>0</v>
      </c>
      <c r="I42" s="22">
        <f>0</f>
        <v>0</v>
      </c>
      <c r="J42" s="22">
        <f>0</f>
        <v>0</v>
      </c>
      <c r="K42" s="22">
        <f>0</f>
        <v>0</v>
      </c>
      <c r="L42" s="22">
        <f>81826.5</f>
        <v>81826.5</v>
      </c>
      <c r="M42" s="22">
        <f>0</f>
        <v>0</v>
      </c>
      <c r="N42" s="22">
        <f>0</f>
        <v>0</v>
      </c>
      <c r="O42" s="22">
        <f>0</f>
        <v>0</v>
      </c>
      <c r="P42" s="22">
        <f>0</f>
        <v>0</v>
      </c>
      <c r="Q42" s="22">
        <f>0</f>
        <v>0</v>
      </c>
    </row>
    <row r="43" spans="1:17" ht="26.25" customHeight="1">
      <c r="A43" s="17" t="s">
        <v>29</v>
      </c>
      <c r="B43" s="22">
        <f>2361832.89</f>
        <v>2361832.89</v>
      </c>
      <c r="C43" s="22">
        <f>2361832.89</f>
        <v>2361832.89</v>
      </c>
      <c r="D43" s="22">
        <f>0</f>
        <v>0</v>
      </c>
      <c r="E43" s="22">
        <f>0</f>
        <v>0</v>
      </c>
      <c r="F43" s="22">
        <f>0</f>
        <v>0</v>
      </c>
      <c r="G43" s="22">
        <f>0</f>
        <v>0</v>
      </c>
      <c r="H43" s="22">
        <f>0</f>
        <v>0</v>
      </c>
      <c r="I43" s="22">
        <f>0</f>
        <v>0</v>
      </c>
      <c r="J43" s="22">
        <f>0</f>
        <v>0</v>
      </c>
      <c r="K43" s="22">
        <f>0</f>
        <v>0</v>
      </c>
      <c r="L43" s="22">
        <f>968230.8</f>
        <v>968230.8</v>
      </c>
      <c r="M43" s="22">
        <f>1393602.09</f>
        <v>1393602.09</v>
      </c>
      <c r="N43" s="22">
        <f>0</f>
        <v>0</v>
      </c>
      <c r="O43" s="22">
        <f>0</f>
        <v>0</v>
      </c>
      <c r="P43" s="22">
        <f>0</f>
        <v>0</v>
      </c>
      <c r="Q43" s="22">
        <f>0</f>
        <v>0</v>
      </c>
    </row>
    <row r="44" spans="1:17" ht="26.25" customHeight="1">
      <c r="A44" s="23" t="s">
        <v>41</v>
      </c>
      <c r="B44" s="21">
        <f>400526713.11</f>
        <v>400526713.11</v>
      </c>
      <c r="C44" s="21">
        <f>400526713.11</f>
        <v>400526713.11</v>
      </c>
      <c r="D44" s="21">
        <f>43161498.62</f>
        <v>43161498.62</v>
      </c>
      <c r="E44" s="21">
        <f>1427867.29</f>
        <v>1427867.29</v>
      </c>
      <c r="F44" s="21">
        <f>49069.99</f>
        <v>49069.99</v>
      </c>
      <c r="G44" s="21">
        <f>41684561.34</f>
        <v>41684561.34</v>
      </c>
      <c r="H44" s="21">
        <f>0</f>
        <v>0</v>
      </c>
      <c r="I44" s="21">
        <f>0</f>
        <v>0</v>
      </c>
      <c r="J44" s="21">
        <f>0</f>
        <v>0</v>
      </c>
      <c r="K44" s="21">
        <f>0</f>
        <v>0</v>
      </c>
      <c r="L44" s="21">
        <f>207260514.98</f>
        <v>207260514.98</v>
      </c>
      <c r="M44" s="21">
        <f>144416496.04</f>
        <v>144416496.04</v>
      </c>
      <c r="N44" s="21">
        <f>5688203.47</f>
        <v>5688203.47</v>
      </c>
      <c r="O44" s="21">
        <f>0</f>
        <v>0</v>
      </c>
      <c r="P44" s="21">
        <f>0</f>
        <v>0</v>
      </c>
      <c r="Q44" s="21">
        <f>0</f>
        <v>0</v>
      </c>
    </row>
    <row r="45" spans="1:17" ht="26.25" customHeight="1">
      <c r="A45" s="17" t="s">
        <v>30</v>
      </c>
      <c r="B45" s="22">
        <f>60868758.6</f>
        <v>60868758.6</v>
      </c>
      <c r="C45" s="22">
        <f>60868758.6</f>
        <v>60868758.6</v>
      </c>
      <c r="D45" s="22">
        <f>10259105.14</f>
        <v>10259105.14</v>
      </c>
      <c r="E45" s="22">
        <f>1420660.74</f>
        <v>1420660.74</v>
      </c>
      <c r="F45" s="22">
        <f>0</f>
        <v>0</v>
      </c>
      <c r="G45" s="22">
        <f>8838444.4</f>
        <v>8838444.4</v>
      </c>
      <c r="H45" s="22">
        <f>0</f>
        <v>0</v>
      </c>
      <c r="I45" s="22">
        <f>0</f>
        <v>0</v>
      </c>
      <c r="J45" s="22">
        <f>0</f>
        <v>0</v>
      </c>
      <c r="K45" s="22">
        <f>0</f>
        <v>0</v>
      </c>
      <c r="L45" s="22">
        <f>30469409.99</f>
        <v>30469409.99</v>
      </c>
      <c r="M45" s="22">
        <f>19523233.47</f>
        <v>19523233.47</v>
      </c>
      <c r="N45" s="22">
        <f>617010</f>
        <v>617010</v>
      </c>
      <c r="O45" s="22">
        <f>0</f>
        <v>0</v>
      </c>
      <c r="P45" s="22">
        <f>0</f>
        <v>0</v>
      </c>
      <c r="Q45" s="22">
        <f>0</f>
        <v>0</v>
      </c>
    </row>
    <row r="46" spans="1:17" ht="26.25" customHeight="1">
      <c r="A46" s="17" t="s">
        <v>31</v>
      </c>
      <c r="B46" s="22">
        <f>339657954.51</f>
        <v>339657954.51</v>
      </c>
      <c r="C46" s="22">
        <f>339657954.51</f>
        <v>339657954.51</v>
      </c>
      <c r="D46" s="22">
        <f>32902393.48</f>
        <v>32902393.48</v>
      </c>
      <c r="E46" s="22">
        <f>7206.55</f>
        <v>7206.55</v>
      </c>
      <c r="F46" s="22">
        <f>49069.99</f>
        <v>49069.99</v>
      </c>
      <c r="G46" s="22">
        <f>32846116.94</f>
        <v>32846116.94</v>
      </c>
      <c r="H46" s="22">
        <f>0</f>
        <v>0</v>
      </c>
      <c r="I46" s="22">
        <f>0</f>
        <v>0</v>
      </c>
      <c r="J46" s="22">
        <f>0</f>
        <v>0</v>
      </c>
      <c r="K46" s="22">
        <f>0</f>
        <v>0</v>
      </c>
      <c r="L46" s="22">
        <f>176791104.99</f>
        <v>176791104.99</v>
      </c>
      <c r="M46" s="22">
        <f>124893262.57</f>
        <v>124893262.57</v>
      </c>
      <c r="N46" s="22">
        <f>5071193.47</f>
        <v>5071193.47</v>
      </c>
      <c r="O46" s="22">
        <f>0</f>
        <v>0</v>
      </c>
      <c r="P46" s="22">
        <f>0</f>
        <v>0</v>
      </c>
      <c r="Q46" s="22">
        <f>0</f>
        <v>0</v>
      </c>
    </row>
    <row r="47" spans="1:17" ht="26.25" customHeight="1">
      <c r="A47" s="23" t="s">
        <v>42</v>
      </c>
      <c r="B47" s="21">
        <f>10009729490.66</f>
        <v>10009729490.66</v>
      </c>
      <c r="C47" s="21">
        <f>10009729490.66</f>
        <v>10009729490.66</v>
      </c>
      <c r="D47" s="21">
        <f>14504281.34</f>
        <v>14504281.34</v>
      </c>
      <c r="E47" s="21">
        <f>0</f>
        <v>0</v>
      </c>
      <c r="F47" s="21">
        <f>26801.92</f>
        <v>26801.92</v>
      </c>
      <c r="G47" s="21">
        <f>14477479.42</f>
        <v>14477479.42</v>
      </c>
      <c r="H47" s="21">
        <f>0</f>
        <v>0</v>
      </c>
      <c r="I47" s="21">
        <f>4325766.52</f>
        <v>4325766.52</v>
      </c>
      <c r="J47" s="21">
        <f>9990683332.4</f>
        <v>9990683332.4</v>
      </c>
      <c r="K47" s="21">
        <f>0</f>
        <v>0</v>
      </c>
      <c r="L47" s="21">
        <f>203681.62</f>
        <v>203681.62</v>
      </c>
      <c r="M47" s="21">
        <f>12428.78</f>
        <v>12428.78</v>
      </c>
      <c r="N47" s="21">
        <f>0</f>
        <v>0</v>
      </c>
      <c r="O47" s="21">
        <f>0</f>
        <v>0</v>
      </c>
      <c r="P47" s="21">
        <f>0</f>
        <v>0</v>
      </c>
      <c r="Q47" s="21">
        <f>0</f>
        <v>0</v>
      </c>
    </row>
    <row r="48" spans="1:17" ht="26.25" customHeight="1">
      <c r="A48" s="17" t="s">
        <v>32</v>
      </c>
      <c r="B48" s="22">
        <f>7324279.19</f>
        <v>7324279.19</v>
      </c>
      <c r="C48" s="22">
        <f>7324279.19</f>
        <v>7324279.19</v>
      </c>
      <c r="D48" s="22">
        <f>7324279.19</f>
        <v>7324279.19</v>
      </c>
      <c r="E48" s="22">
        <f>0</f>
        <v>0</v>
      </c>
      <c r="F48" s="22">
        <f>0</f>
        <v>0</v>
      </c>
      <c r="G48" s="22">
        <f>7324279.19</f>
        <v>7324279.19</v>
      </c>
      <c r="H48" s="22">
        <f>0</f>
        <v>0</v>
      </c>
      <c r="I48" s="22">
        <f>0</f>
        <v>0</v>
      </c>
      <c r="J48" s="22">
        <f>0</f>
        <v>0</v>
      </c>
      <c r="K48" s="22">
        <f>0</f>
        <v>0</v>
      </c>
      <c r="L48" s="22">
        <f>0</f>
        <v>0</v>
      </c>
      <c r="M48" s="22">
        <f>0</f>
        <v>0</v>
      </c>
      <c r="N48" s="22">
        <f>0</f>
        <v>0</v>
      </c>
      <c r="O48" s="22">
        <f>0</f>
        <v>0</v>
      </c>
      <c r="P48" s="22">
        <f>0</f>
        <v>0</v>
      </c>
      <c r="Q48" s="22">
        <f>0</f>
        <v>0</v>
      </c>
    </row>
    <row r="49" spans="1:17" ht="26.25" customHeight="1">
      <c r="A49" s="17" t="s">
        <v>33</v>
      </c>
      <c r="B49" s="22">
        <f>4875619234.53</f>
        <v>4875619234.53</v>
      </c>
      <c r="C49" s="22">
        <f>4875619234.53</f>
        <v>4875619234.53</v>
      </c>
      <c r="D49" s="22">
        <f>7066139.64</f>
        <v>7066139.64</v>
      </c>
      <c r="E49" s="22">
        <f>0</f>
        <v>0</v>
      </c>
      <c r="F49" s="22">
        <f>0</f>
        <v>0</v>
      </c>
      <c r="G49" s="22">
        <f>7066139.64</f>
        <v>7066139.64</v>
      </c>
      <c r="H49" s="22">
        <f>0</f>
        <v>0</v>
      </c>
      <c r="I49" s="22">
        <f>4325766.52</f>
        <v>4325766.52</v>
      </c>
      <c r="J49" s="22">
        <f>4864202460.38</f>
        <v>4864202460.38</v>
      </c>
      <c r="K49" s="22">
        <f>0</f>
        <v>0</v>
      </c>
      <c r="L49" s="22">
        <f>24867.99</f>
        <v>24867.99</v>
      </c>
      <c r="M49" s="22">
        <f>0</f>
        <v>0</v>
      </c>
      <c r="N49" s="22">
        <f>0</f>
        <v>0</v>
      </c>
      <c r="O49" s="22">
        <f>0</f>
        <v>0</v>
      </c>
      <c r="P49" s="22">
        <f>0</f>
        <v>0</v>
      </c>
      <c r="Q49" s="22">
        <f>0</f>
        <v>0</v>
      </c>
    </row>
    <row r="50" spans="1:17" ht="26.25" customHeight="1">
      <c r="A50" s="17" t="s">
        <v>34</v>
      </c>
      <c r="B50" s="22">
        <f>5126785976.94</f>
        <v>5126785976.94</v>
      </c>
      <c r="C50" s="22">
        <f>5126785976.94</f>
        <v>5126785976.94</v>
      </c>
      <c r="D50" s="22">
        <f>113862.51</f>
        <v>113862.51</v>
      </c>
      <c r="E50" s="22">
        <f>0</f>
        <v>0</v>
      </c>
      <c r="F50" s="22">
        <f>26801.92</f>
        <v>26801.92</v>
      </c>
      <c r="G50" s="22">
        <f>87060.59</f>
        <v>87060.59</v>
      </c>
      <c r="H50" s="22">
        <f>0</f>
        <v>0</v>
      </c>
      <c r="I50" s="22">
        <f>0</f>
        <v>0</v>
      </c>
      <c r="J50" s="22">
        <f>5126480872.02</f>
        <v>5126480872.02</v>
      </c>
      <c r="K50" s="22">
        <f>0</f>
        <v>0</v>
      </c>
      <c r="L50" s="22">
        <f>178813.63</f>
        <v>178813.63</v>
      </c>
      <c r="M50" s="22">
        <f>12428.78</f>
        <v>12428.78</v>
      </c>
      <c r="N50" s="22">
        <f>0</f>
        <v>0</v>
      </c>
      <c r="O50" s="22">
        <f>0</f>
        <v>0</v>
      </c>
      <c r="P50" s="22">
        <f>0</f>
        <v>0</v>
      </c>
      <c r="Q50" s="22">
        <f>0</f>
        <v>0</v>
      </c>
    </row>
    <row r="51" spans="1:17" ht="26.25" customHeight="1">
      <c r="A51" s="23" t="s">
        <v>43</v>
      </c>
      <c r="B51" s="21">
        <f>10269158402.2</f>
        <v>10269158402.2</v>
      </c>
      <c r="C51" s="21">
        <f>10249079472.6</f>
        <v>10249079472.6</v>
      </c>
      <c r="D51" s="21">
        <f>326904168.13</f>
        <v>326904168.13</v>
      </c>
      <c r="E51" s="21">
        <f>48446458.43</f>
        <v>48446458.43</v>
      </c>
      <c r="F51" s="21">
        <f>11911820.63</f>
        <v>11911820.63</v>
      </c>
      <c r="G51" s="21">
        <f>261895106.14</f>
        <v>261895106.14</v>
      </c>
      <c r="H51" s="21">
        <f>4650782.93</f>
        <v>4650782.93</v>
      </c>
      <c r="I51" s="21">
        <f>465477.32</f>
        <v>465477.32</v>
      </c>
      <c r="J51" s="21">
        <f>2676115.04</f>
        <v>2676115.04</v>
      </c>
      <c r="K51" s="21">
        <f>5004948.05</f>
        <v>5004948.05</v>
      </c>
      <c r="L51" s="21">
        <f>2136562573.5</f>
        <v>2136562573.5</v>
      </c>
      <c r="M51" s="21">
        <f>7709635096.07</f>
        <v>7709635096.07</v>
      </c>
      <c r="N51" s="21">
        <f>67831094.49</f>
        <v>67831094.49</v>
      </c>
      <c r="O51" s="21">
        <f>20078929.6</f>
        <v>20078929.6</v>
      </c>
      <c r="P51" s="21">
        <f>11019819.86</f>
        <v>11019819.86</v>
      </c>
      <c r="Q51" s="21">
        <f>9059109.74</f>
        <v>9059109.74</v>
      </c>
    </row>
    <row r="52" spans="1:17" ht="26.25" customHeight="1">
      <c r="A52" s="17" t="s">
        <v>35</v>
      </c>
      <c r="B52" s="22">
        <f>4740707816.58</f>
        <v>4740707816.58</v>
      </c>
      <c r="C52" s="22">
        <f>4739058552.34</f>
        <v>4739058552.34</v>
      </c>
      <c r="D52" s="22">
        <f>66566999.71</f>
        <v>66566999.71</v>
      </c>
      <c r="E52" s="22">
        <f>459019.75</f>
        <v>459019.75</v>
      </c>
      <c r="F52" s="22">
        <f>289803.41</f>
        <v>289803.41</v>
      </c>
      <c r="G52" s="22">
        <f>65776964.91</f>
        <v>65776964.91</v>
      </c>
      <c r="H52" s="22">
        <f>41211.64</f>
        <v>41211.64</v>
      </c>
      <c r="I52" s="22">
        <f>0</f>
        <v>0</v>
      </c>
      <c r="J52" s="22">
        <f>79896.77</f>
        <v>79896.77</v>
      </c>
      <c r="K52" s="22">
        <f>1268638.49</f>
        <v>1268638.49</v>
      </c>
      <c r="L52" s="22">
        <f>571675613.71</f>
        <v>571675613.71</v>
      </c>
      <c r="M52" s="22">
        <f>4066430455.24</f>
        <v>4066430455.24</v>
      </c>
      <c r="N52" s="22">
        <f>33036948.42</f>
        <v>33036948.42</v>
      </c>
      <c r="O52" s="22">
        <f>1649264.24</f>
        <v>1649264.24</v>
      </c>
      <c r="P52" s="22">
        <f>79364.42</f>
        <v>79364.42</v>
      </c>
      <c r="Q52" s="22">
        <f>1569899.82</f>
        <v>1569899.82</v>
      </c>
    </row>
    <row r="53" spans="1:17" ht="26.25" customHeight="1">
      <c r="A53" s="17" t="s">
        <v>36</v>
      </c>
      <c r="B53" s="22">
        <f>5528450585.62</f>
        <v>5528450585.62</v>
      </c>
      <c r="C53" s="22">
        <f>5510020920.26</f>
        <v>5510020920.26</v>
      </c>
      <c r="D53" s="22">
        <f>260337168.42</f>
        <v>260337168.42</v>
      </c>
      <c r="E53" s="22">
        <f>47987438.68</f>
        <v>47987438.68</v>
      </c>
      <c r="F53" s="22">
        <f>11622017.22</f>
        <v>11622017.22</v>
      </c>
      <c r="G53" s="22">
        <f>196118141.23</f>
        <v>196118141.23</v>
      </c>
      <c r="H53" s="22">
        <f>4609571.29</f>
        <v>4609571.29</v>
      </c>
      <c r="I53" s="22">
        <f>465477.32</f>
        <v>465477.32</v>
      </c>
      <c r="J53" s="22">
        <f>2596218.27</f>
        <v>2596218.27</v>
      </c>
      <c r="K53" s="22">
        <f>3736309.56</f>
        <v>3736309.56</v>
      </c>
      <c r="L53" s="22">
        <f>1564886959.79</f>
        <v>1564886959.79</v>
      </c>
      <c r="M53" s="22">
        <f>3643204640.83</f>
        <v>3643204640.83</v>
      </c>
      <c r="N53" s="22">
        <f>34794146.07</f>
        <v>34794146.07</v>
      </c>
      <c r="O53" s="22">
        <f>18429665.36</f>
        <v>18429665.36</v>
      </c>
      <c r="P53" s="22">
        <f>10940455.44</f>
        <v>10940455.44</v>
      </c>
      <c r="Q53" s="22">
        <f>7489209.92</f>
        <v>7489209.92</v>
      </c>
    </row>
    <row r="54" spans="1:17" ht="26.25" customHeight="1">
      <c r="A54" s="23" t="s">
        <v>44</v>
      </c>
      <c r="B54" s="21">
        <f>8970743306.94</f>
        <v>8970743306.94</v>
      </c>
      <c r="C54" s="21">
        <f>8959549432.14</f>
        <v>8959549432.14</v>
      </c>
      <c r="D54" s="21">
        <f>1033541337.9</f>
        <v>1033541337.9</v>
      </c>
      <c r="E54" s="21">
        <f>610808195.06</f>
        <v>610808195.06</v>
      </c>
      <c r="F54" s="21">
        <f>54565387.65</f>
        <v>54565387.65</v>
      </c>
      <c r="G54" s="21">
        <f>346353951.73</f>
        <v>346353951.73</v>
      </c>
      <c r="H54" s="21">
        <f>21813803.46</f>
        <v>21813803.46</v>
      </c>
      <c r="I54" s="21">
        <f>3020581.81</f>
        <v>3020581.81</v>
      </c>
      <c r="J54" s="21">
        <f>18554519.03</f>
        <v>18554519.03</v>
      </c>
      <c r="K54" s="21">
        <f>52815889.2</f>
        <v>52815889.2</v>
      </c>
      <c r="L54" s="21">
        <f>6045481721.3</f>
        <v>6045481721.3</v>
      </c>
      <c r="M54" s="21">
        <f>1675342810.62</f>
        <v>1675342810.62</v>
      </c>
      <c r="N54" s="21">
        <f>130792572.28</f>
        <v>130792572.28</v>
      </c>
      <c r="O54" s="21">
        <f>11193874.8</f>
        <v>11193874.8</v>
      </c>
      <c r="P54" s="21">
        <f>10475210.83</f>
        <v>10475210.83</v>
      </c>
      <c r="Q54" s="21">
        <f>718663.97</f>
        <v>718663.97</v>
      </c>
    </row>
    <row r="55" spans="1:17" ht="26.25" customHeight="1">
      <c r="A55" s="17" t="s">
        <v>37</v>
      </c>
      <c r="B55" s="22">
        <f>633953270.89</f>
        <v>633953270.89</v>
      </c>
      <c r="C55" s="22">
        <f>633792376.41</f>
        <v>633792376.41</v>
      </c>
      <c r="D55" s="22">
        <f>35090117.65</f>
        <v>35090117.65</v>
      </c>
      <c r="E55" s="22">
        <f>1622368.19</f>
        <v>1622368.19</v>
      </c>
      <c r="F55" s="22">
        <f>1681993.14</f>
        <v>1681993.14</v>
      </c>
      <c r="G55" s="22">
        <f>31458358.26</f>
        <v>31458358.26</v>
      </c>
      <c r="H55" s="22">
        <f>327398.06</f>
        <v>327398.06</v>
      </c>
      <c r="I55" s="22">
        <f>15600.43</f>
        <v>15600.43</v>
      </c>
      <c r="J55" s="22">
        <f>222019.25</f>
        <v>222019.25</v>
      </c>
      <c r="K55" s="22">
        <f>3759478.73</f>
        <v>3759478.73</v>
      </c>
      <c r="L55" s="22">
        <f>328061874.86</f>
        <v>328061874.86</v>
      </c>
      <c r="M55" s="22">
        <f>253580484.5</f>
        <v>253580484.5</v>
      </c>
      <c r="N55" s="22">
        <f>13062800.99</f>
        <v>13062800.99</v>
      </c>
      <c r="O55" s="22">
        <f>160894.48</f>
        <v>160894.48</v>
      </c>
      <c r="P55" s="22">
        <f>135798.52</f>
        <v>135798.52</v>
      </c>
      <c r="Q55" s="22">
        <f>25095.96</f>
        <v>25095.96</v>
      </c>
    </row>
    <row r="56" spans="1:17" ht="36.75" customHeight="1">
      <c r="A56" s="17" t="s">
        <v>38</v>
      </c>
      <c r="B56" s="22">
        <f>6023937525.93</f>
        <v>6023937525.93</v>
      </c>
      <c r="C56" s="22">
        <f>6014668022.53</f>
        <v>6014668022.53</v>
      </c>
      <c r="D56" s="22">
        <f>599707965.07</f>
        <v>599707965.07</v>
      </c>
      <c r="E56" s="22">
        <f>415892335.47</f>
        <v>415892335.47</v>
      </c>
      <c r="F56" s="22">
        <f>39617930.27</f>
        <v>39617930.27</v>
      </c>
      <c r="G56" s="22">
        <f>126718271.45</f>
        <v>126718271.45</v>
      </c>
      <c r="H56" s="22">
        <f>17479427.88</f>
        <v>17479427.88</v>
      </c>
      <c r="I56" s="22">
        <f>2786938.96</f>
        <v>2786938.96</v>
      </c>
      <c r="J56" s="22">
        <f>16627715.06</f>
        <v>16627715.06</v>
      </c>
      <c r="K56" s="22">
        <f>29702403.45</f>
        <v>29702403.45</v>
      </c>
      <c r="L56" s="22">
        <f>4511534825.38</f>
        <v>4511534825.38</v>
      </c>
      <c r="M56" s="22">
        <f>823754841.22</f>
        <v>823754841.22</v>
      </c>
      <c r="N56" s="22">
        <f>30553333.39</f>
        <v>30553333.39</v>
      </c>
      <c r="O56" s="22">
        <f>9269503.4</f>
        <v>9269503.4</v>
      </c>
      <c r="P56" s="22">
        <f>9218341.45</f>
        <v>9218341.45</v>
      </c>
      <c r="Q56" s="22">
        <f>51161.95</f>
        <v>51161.95</v>
      </c>
    </row>
    <row r="57" spans="1:17" ht="26.25" customHeight="1">
      <c r="A57" s="17" t="s">
        <v>39</v>
      </c>
      <c r="B57" s="22">
        <f>2312852510.12</f>
        <v>2312852510.12</v>
      </c>
      <c r="C57" s="22">
        <f>2311089033.2</f>
        <v>2311089033.2</v>
      </c>
      <c r="D57" s="22">
        <f>398743255.18</f>
        <v>398743255.18</v>
      </c>
      <c r="E57" s="22">
        <f>193293491.4</f>
        <v>193293491.4</v>
      </c>
      <c r="F57" s="22">
        <f>13265464.24</f>
        <v>13265464.24</v>
      </c>
      <c r="G57" s="22">
        <f>188177322.02</f>
        <v>188177322.02</v>
      </c>
      <c r="H57" s="22">
        <f>4006977.52</f>
        <v>4006977.52</v>
      </c>
      <c r="I57" s="22">
        <f>218042.42</f>
        <v>218042.42</v>
      </c>
      <c r="J57" s="22">
        <f>1704784.72</f>
        <v>1704784.72</v>
      </c>
      <c r="K57" s="22">
        <f>19354007.02</f>
        <v>19354007.02</v>
      </c>
      <c r="L57" s="22">
        <f>1205885021.06</f>
        <v>1205885021.06</v>
      </c>
      <c r="M57" s="22">
        <f>598007484.9</f>
        <v>598007484.9</v>
      </c>
      <c r="N57" s="22">
        <f>87176437.9</f>
        <v>87176437.9</v>
      </c>
      <c r="O57" s="22">
        <f>1763476.92</f>
        <v>1763476.92</v>
      </c>
      <c r="P57" s="22">
        <f>1121070.86</f>
        <v>1121070.86</v>
      </c>
      <c r="Q57" s="22">
        <f>642406.06</f>
        <v>642406.06</v>
      </c>
    </row>
    <row r="67" spans="1:13" ht="75" customHeight="1">
      <c r="A67" s="37" t="s">
        <v>78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</row>
    <row r="68" spans="2:13" ht="13.5" customHeight="1">
      <c r="B68" s="47" t="s">
        <v>3</v>
      </c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</row>
    <row r="70" spans="2:12" ht="13.5" customHeight="1">
      <c r="B70" s="48" t="s">
        <v>0</v>
      </c>
      <c r="C70" s="49"/>
      <c r="D70" s="49"/>
      <c r="E70" s="50"/>
      <c r="F70" s="69" t="s">
        <v>71</v>
      </c>
      <c r="G70" s="29" t="s">
        <v>70</v>
      </c>
      <c r="H70" s="30"/>
      <c r="I70" s="30"/>
      <c r="J70" s="30"/>
      <c r="K70" s="30"/>
      <c r="L70" s="31"/>
    </row>
    <row r="71" spans="2:12" ht="13.5" customHeight="1">
      <c r="B71" s="51"/>
      <c r="C71" s="52"/>
      <c r="D71" s="52"/>
      <c r="E71" s="53"/>
      <c r="F71" s="70"/>
      <c r="G71" s="72" t="s">
        <v>72</v>
      </c>
      <c r="H71" s="25" t="s">
        <v>68</v>
      </c>
      <c r="I71" s="25" t="s">
        <v>69</v>
      </c>
      <c r="J71" s="25" t="s">
        <v>73</v>
      </c>
      <c r="K71" s="25" t="s">
        <v>74</v>
      </c>
      <c r="L71" s="32" t="s">
        <v>75</v>
      </c>
    </row>
    <row r="72" spans="2:12" ht="13.5" customHeight="1">
      <c r="B72" s="51"/>
      <c r="C72" s="52"/>
      <c r="D72" s="52"/>
      <c r="E72" s="53"/>
      <c r="F72" s="70"/>
      <c r="G72" s="72"/>
      <c r="H72" s="25"/>
      <c r="I72" s="25"/>
      <c r="J72" s="25"/>
      <c r="K72" s="25"/>
      <c r="L72" s="32"/>
    </row>
    <row r="73" spans="2:12" ht="11.25" customHeight="1">
      <c r="B73" s="51"/>
      <c r="C73" s="52"/>
      <c r="D73" s="52"/>
      <c r="E73" s="53"/>
      <c r="F73" s="70"/>
      <c r="G73" s="72"/>
      <c r="H73" s="25"/>
      <c r="I73" s="25"/>
      <c r="J73" s="25"/>
      <c r="K73" s="25"/>
      <c r="L73" s="32"/>
    </row>
    <row r="74" spans="2:12" ht="11.25" customHeight="1">
      <c r="B74" s="54"/>
      <c r="C74" s="55"/>
      <c r="D74" s="55"/>
      <c r="E74" s="56"/>
      <c r="F74" s="71"/>
      <c r="G74" s="72"/>
      <c r="H74" s="25"/>
      <c r="I74" s="25"/>
      <c r="J74" s="25"/>
      <c r="K74" s="25"/>
      <c r="L74" s="32"/>
    </row>
    <row r="75" spans="2:12" ht="11.25" customHeight="1">
      <c r="B75" s="25">
        <v>1</v>
      </c>
      <c r="C75" s="25"/>
      <c r="D75" s="25"/>
      <c r="E75" s="25"/>
      <c r="F75" s="3">
        <v>2</v>
      </c>
      <c r="G75" s="3">
        <v>3</v>
      </c>
      <c r="H75" s="3">
        <v>4</v>
      </c>
      <c r="I75" s="3">
        <v>5</v>
      </c>
      <c r="J75" s="3">
        <v>6</v>
      </c>
      <c r="K75" s="3">
        <v>7</v>
      </c>
      <c r="L75" s="10">
        <v>8</v>
      </c>
    </row>
    <row r="76" spans="2:12" ht="11.25" customHeight="1">
      <c r="B76" s="24"/>
      <c r="C76" s="24"/>
      <c r="D76" s="24"/>
      <c r="E76" s="24"/>
      <c r="F76" s="25" t="s">
        <v>76</v>
      </c>
      <c r="G76" s="25"/>
      <c r="H76" s="25"/>
      <c r="I76" s="25"/>
      <c r="J76" s="25"/>
      <c r="K76" s="25"/>
      <c r="L76" s="25"/>
    </row>
    <row r="77" spans="2:12" ht="47.25" customHeight="1">
      <c r="B77" s="42" t="s">
        <v>55</v>
      </c>
      <c r="C77" s="43"/>
      <c r="D77" s="43"/>
      <c r="E77" s="44"/>
      <c r="F77" s="20">
        <f>1694090834.55</f>
        <v>1694090834.55</v>
      </c>
      <c r="G77" s="20">
        <f>638660163.01</f>
        <v>638660163.01</v>
      </c>
      <c r="H77" s="20">
        <f>19147000</f>
        <v>19147000</v>
      </c>
      <c r="I77" s="20">
        <f>482428950.16</f>
        <v>482428950.16</v>
      </c>
      <c r="J77" s="20">
        <f>137084212.85</f>
        <v>137084212.85</v>
      </c>
      <c r="K77" s="20">
        <f>0</f>
        <v>0</v>
      </c>
      <c r="L77" s="20">
        <f>1055430671.54</f>
        <v>1055430671.54</v>
      </c>
    </row>
    <row r="78" spans="2:12" ht="47.25" customHeight="1">
      <c r="B78" s="42" t="s">
        <v>56</v>
      </c>
      <c r="C78" s="43"/>
      <c r="D78" s="43"/>
      <c r="E78" s="44"/>
      <c r="F78" s="20">
        <f>0</f>
        <v>0</v>
      </c>
      <c r="G78" s="20">
        <f>0</f>
        <v>0</v>
      </c>
      <c r="H78" s="20">
        <f>0</f>
        <v>0</v>
      </c>
      <c r="I78" s="20">
        <f>0</f>
        <v>0</v>
      </c>
      <c r="J78" s="20">
        <f>0</f>
        <v>0</v>
      </c>
      <c r="K78" s="20">
        <f>0</f>
        <v>0</v>
      </c>
      <c r="L78" s="20">
        <f>0</f>
        <v>0</v>
      </c>
    </row>
    <row r="79" spans="2:12" ht="47.25" customHeight="1">
      <c r="B79" s="42" t="s">
        <v>57</v>
      </c>
      <c r="C79" s="43"/>
      <c r="D79" s="43"/>
      <c r="E79" s="44"/>
      <c r="F79" s="20">
        <f>10619743.1</f>
        <v>10619743.1</v>
      </c>
      <c r="G79" s="20">
        <f>1039743.1</f>
        <v>1039743.1</v>
      </c>
      <c r="H79" s="20">
        <f>0</f>
        <v>0</v>
      </c>
      <c r="I79" s="20">
        <f>0</f>
        <v>0</v>
      </c>
      <c r="J79" s="20">
        <f>1039743.1</f>
        <v>1039743.1</v>
      </c>
      <c r="K79" s="20">
        <f>0</f>
        <v>0</v>
      </c>
      <c r="L79" s="20">
        <f>9580000</f>
        <v>9580000</v>
      </c>
    </row>
    <row r="80" spans="2:12" ht="47.25" customHeight="1">
      <c r="B80" s="42" t="s">
        <v>58</v>
      </c>
      <c r="C80" s="43"/>
      <c r="D80" s="43"/>
      <c r="E80" s="44"/>
      <c r="F80" s="20">
        <f>9091546.84</f>
        <v>9091546.84</v>
      </c>
      <c r="G80" s="20">
        <f>63360.31</f>
        <v>63360.31</v>
      </c>
      <c r="H80" s="20">
        <f>0</f>
        <v>0</v>
      </c>
      <c r="I80" s="20">
        <f>0</f>
        <v>0</v>
      </c>
      <c r="J80" s="20">
        <f>63360.31</f>
        <v>63360.31</v>
      </c>
      <c r="K80" s="20">
        <f>0</f>
        <v>0</v>
      </c>
      <c r="L80" s="20">
        <f>9028186.53</f>
        <v>9028186.53</v>
      </c>
    </row>
    <row r="81" spans="2:12" ht="47.25" customHeight="1">
      <c r="B81" s="42" t="s">
        <v>59</v>
      </c>
      <c r="C81" s="43"/>
      <c r="D81" s="43"/>
      <c r="E81" s="44"/>
      <c r="F81" s="20">
        <f>60315.73</f>
        <v>60315.73</v>
      </c>
      <c r="G81" s="20">
        <f>765.53</f>
        <v>765.53</v>
      </c>
      <c r="H81" s="20">
        <f>0</f>
        <v>0</v>
      </c>
      <c r="I81" s="20">
        <f>0</f>
        <v>0</v>
      </c>
      <c r="J81" s="20">
        <f>765.53</f>
        <v>765.53</v>
      </c>
      <c r="K81" s="20">
        <f>0</f>
        <v>0</v>
      </c>
      <c r="L81" s="20">
        <f>59550.2</f>
        <v>59550.2</v>
      </c>
    </row>
    <row r="82" spans="2:12" ht="47.25" customHeight="1">
      <c r="B82" s="42" t="s">
        <v>60</v>
      </c>
      <c r="C82" s="43"/>
      <c r="D82" s="43"/>
      <c r="E82" s="44"/>
      <c r="F82" s="20">
        <f>1948028.53</f>
        <v>1948028.53</v>
      </c>
      <c r="G82" s="20">
        <f>1652262.74</f>
        <v>1652262.74</v>
      </c>
      <c r="H82" s="20">
        <f>0</f>
        <v>0</v>
      </c>
      <c r="I82" s="20">
        <f>0</f>
        <v>0</v>
      </c>
      <c r="J82" s="20">
        <f>1652262.74</f>
        <v>1652262.74</v>
      </c>
      <c r="K82" s="20">
        <f>0</f>
        <v>0</v>
      </c>
      <c r="L82" s="20">
        <f>295765.79</f>
        <v>295765.79</v>
      </c>
    </row>
    <row r="83" spans="2:12" ht="47.25" customHeight="1">
      <c r="B83" s="42" t="s">
        <v>61</v>
      </c>
      <c r="C83" s="43"/>
      <c r="D83" s="43"/>
      <c r="E83" s="44"/>
      <c r="F83" s="20">
        <f>62814.87</f>
        <v>62814.87</v>
      </c>
      <c r="G83" s="20">
        <f>62814.87</f>
        <v>62814.87</v>
      </c>
      <c r="H83" s="20">
        <f>0</f>
        <v>0</v>
      </c>
      <c r="I83" s="20">
        <f>0</f>
        <v>0</v>
      </c>
      <c r="J83" s="20">
        <f>62814.87</f>
        <v>62814.87</v>
      </c>
      <c r="K83" s="20">
        <f>0</f>
        <v>0</v>
      </c>
      <c r="L83" s="20">
        <f>0</f>
        <v>0</v>
      </c>
    </row>
    <row r="86" spans="1:13" ht="75" customHeight="1">
      <c r="A86" s="37" t="s">
        <v>78</v>
      </c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</row>
    <row r="87" ht="13.5" customHeight="1">
      <c r="B87" s="4"/>
    </row>
    <row r="88" spans="2:11" ht="13.5" customHeight="1">
      <c r="B88" s="5"/>
      <c r="C88" s="29"/>
      <c r="D88" s="30"/>
      <c r="E88" s="30"/>
      <c r="F88" s="31"/>
      <c r="G88" s="29" t="s">
        <v>4</v>
      </c>
      <c r="H88" s="31"/>
      <c r="I88" s="29" t="s">
        <v>5</v>
      </c>
      <c r="J88" s="31"/>
      <c r="K88" s="5"/>
    </row>
    <row r="89" spans="2:11" ht="13.5" customHeight="1">
      <c r="B89" s="6"/>
      <c r="C89" s="42" t="s">
        <v>6</v>
      </c>
      <c r="D89" s="43"/>
      <c r="E89" s="43"/>
      <c r="F89" s="44"/>
      <c r="G89" s="60">
        <f>63</f>
        <v>63</v>
      </c>
      <c r="H89" s="61"/>
      <c r="I89" s="45">
        <f>3874811857.26</f>
        <v>3874811857.26</v>
      </c>
      <c r="J89" s="46"/>
      <c r="K89" s="7"/>
    </row>
    <row r="90" spans="2:11" ht="13.5" customHeight="1">
      <c r="B90" s="6"/>
      <c r="C90" s="57" t="s">
        <v>7</v>
      </c>
      <c r="D90" s="58"/>
      <c r="E90" s="58"/>
      <c r="F90" s="59"/>
      <c r="G90" s="62">
        <f>3</f>
        <v>3</v>
      </c>
      <c r="H90" s="63"/>
      <c r="I90" s="64">
        <f>-35852229.71</f>
        <v>-35852229.71</v>
      </c>
      <c r="J90" s="65"/>
      <c r="K90" s="7"/>
    </row>
    <row r="91" spans="2:11" ht="13.5" customHeight="1">
      <c r="B91" s="6"/>
      <c r="C91" s="42" t="s">
        <v>8</v>
      </c>
      <c r="D91" s="43"/>
      <c r="E91" s="43"/>
      <c r="F91" s="44"/>
      <c r="G91" s="60">
        <f>0</f>
        <v>0</v>
      </c>
      <c r="H91" s="61"/>
      <c r="I91" s="45">
        <f>0</f>
        <v>0</v>
      </c>
      <c r="J91" s="46"/>
      <c r="K91" s="7"/>
    </row>
  </sheetData>
  <sheetProtection/>
  <mergeCells count="79">
    <mergeCell ref="A34:A37"/>
    <mergeCell ref="C35:C37"/>
    <mergeCell ref="E35:E37"/>
    <mergeCell ref="K71:K74"/>
    <mergeCell ref="F35:F37"/>
    <mergeCell ref="G35:G37"/>
    <mergeCell ref="H35:H37"/>
    <mergeCell ref="K35:K37"/>
    <mergeCell ref="I35:I37"/>
    <mergeCell ref="J35:J37"/>
    <mergeCell ref="Q7:Q10"/>
    <mergeCell ref="C34:N34"/>
    <mergeCell ref="L7:L10"/>
    <mergeCell ref="M7:M10"/>
    <mergeCell ref="N7:N10"/>
    <mergeCell ref="P7:P10"/>
    <mergeCell ref="A30:M30"/>
    <mergeCell ref="O34:Q34"/>
    <mergeCell ref="A32:M32"/>
    <mergeCell ref="B34:B37"/>
    <mergeCell ref="A1:M1"/>
    <mergeCell ref="C5:M5"/>
    <mergeCell ref="A3:M3"/>
    <mergeCell ref="K7:K10"/>
    <mergeCell ref="C7:C10"/>
    <mergeCell ref="B6:B10"/>
    <mergeCell ref="F70:F74"/>
    <mergeCell ref="G71:G74"/>
    <mergeCell ref="G7:G10"/>
    <mergeCell ref="F7:F10"/>
    <mergeCell ref="I7:I10"/>
    <mergeCell ref="J7:J10"/>
    <mergeCell ref="I91:J91"/>
    <mergeCell ref="I90:J90"/>
    <mergeCell ref="A6:A10"/>
    <mergeCell ref="C6:N6"/>
    <mergeCell ref="D7:D10"/>
    <mergeCell ref="E7:E10"/>
    <mergeCell ref="B81:E81"/>
    <mergeCell ref="B78:E78"/>
    <mergeCell ref="M35:M37"/>
    <mergeCell ref="B77:E77"/>
    <mergeCell ref="C89:F89"/>
    <mergeCell ref="C90:F90"/>
    <mergeCell ref="C91:F91"/>
    <mergeCell ref="G89:H89"/>
    <mergeCell ref="G88:H88"/>
    <mergeCell ref="G90:H90"/>
    <mergeCell ref="G91:H91"/>
    <mergeCell ref="I89:J89"/>
    <mergeCell ref="B68:M68"/>
    <mergeCell ref="I88:J88"/>
    <mergeCell ref="B75:E75"/>
    <mergeCell ref="B70:E74"/>
    <mergeCell ref="B83:E83"/>
    <mergeCell ref="A86:M86"/>
    <mergeCell ref="B79:E79"/>
    <mergeCell ref="B80:E80"/>
    <mergeCell ref="C88:F88"/>
    <mergeCell ref="Q35:Q37"/>
    <mergeCell ref="N35:N37"/>
    <mergeCell ref="O35:O37"/>
    <mergeCell ref="D35:D37"/>
    <mergeCell ref="H7:H10"/>
    <mergeCell ref="B82:E82"/>
    <mergeCell ref="G70:L70"/>
    <mergeCell ref="H71:H74"/>
    <mergeCell ref="I71:I74"/>
    <mergeCell ref="J71:J74"/>
    <mergeCell ref="B76:E76"/>
    <mergeCell ref="F76:L76"/>
    <mergeCell ref="B12:Q12"/>
    <mergeCell ref="B39:Q39"/>
    <mergeCell ref="L71:L74"/>
    <mergeCell ref="O6:Q6"/>
    <mergeCell ref="O7:O10"/>
    <mergeCell ref="A67:M67"/>
    <mergeCell ref="L35:L37"/>
    <mergeCell ref="P35:P37"/>
  </mergeCells>
  <printOptions/>
  <pageMargins left="0.1968503937007874" right="0.1968503937007874" top="0.1968503937007874" bottom="0.1968503937007874" header="0" footer="0"/>
  <pageSetup firstPageNumber="1" useFirstPageNumber="1" horizontalDpi="300" verticalDpi="300" orientation="landscape" paperSize="9" scale="69" r:id="rId1"/>
  <headerFooter alignWithMargins="0">
    <oddFooter>&amp;L&amp;D&amp;Rstrona &amp;P z 3</oddFooter>
  </headerFooter>
  <rowBreaks count="2" manualBreakCount="2">
    <brk id="29" max="255" man="1"/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 Karolak</dc:creator>
  <cp:keywords/>
  <dc:description/>
  <cp:lastModifiedBy>Lipiński Jacek</cp:lastModifiedBy>
  <cp:lastPrinted>2016-08-26T11:41:03Z</cp:lastPrinted>
  <dcterms:created xsi:type="dcterms:W3CDTF">2001-05-17T08:58:03Z</dcterms:created>
  <dcterms:modified xsi:type="dcterms:W3CDTF">2018-05-25T09:28:46Z</dcterms:modified>
  <cp:category/>
  <cp:version/>
  <cp:contentType/>
  <cp:contentStatus/>
</cp:coreProperties>
</file>