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/>
  <mc:AlternateContent xmlns:mc="http://schemas.openxmlformats.org/markup-compatibility/2006">
    <mc:Choice Requires="x15">
      <x15ac:absPath xmlns:x15ac="http://schemas.microsoft.com/office/spreadsheetml/2010/11/ac" url="C:\Users\mbielicka\Desktop\Nowy folder\"/>
    </mc:Choice>
  </mc:AlternateContent>
  <xr:revisionPtr revIDLastSave="0" documentId="13_ncr:1_{927870F8-5B91-463C-ACB9-ABAD6CE3E560}" xr6:coauthVersionLast="36" xr6:coauthVersionMax="36" xr10:uidLastSave="{00000000-0000-0000-0000-000000000000}"/>
  <bookViews>
    <workbookView xWindow="0" yWindow="0" windowWidth="28800" windowHeight="11328" xr2:uid="{00000000-000D-0000-FFFF-FFFF00000000}"/>
  </bookViews>
  <sheets>
    <sheet name="06 - &quot;LUBELSKIE&quot;" sheetId="7" r:id="rId1"/>
    <sheet name="pow podst" sheetId="3" r:id="rId2"/>
    <sheet name="gm podst" sheetId="5" r:id="rId3"/>
    <sheet name="pow rez" sheetId="4" r:id="rId4"/>
    <sheet name="gm rez" sheetId="6" r:id="rId5"/>
  </sheets>
  <definedNames>
    <definedName name="_xlnm._FilterDatabase" localSheetId="1" hidden="1">'pow podst'!$A$2:$AA$35</definedName>
    <definedName name="_xlnm.Print_Area" localSheetId="0">'06 - "LUBELSKIE"'!$A$1:$O$36</definedName>
    <definedName name="_xlnm.Print_Area" localSheetId="2">'gm podst'!$A$1:$X$97</definedName>
    <definedName name="_xlnm.Print_Area" localSheetId="4">'gm rez'!$A$1:$X$34</definedName>
    <definedName name="_xlnm.Print_Area" localSheetId="1">'pow podst'!$A$1:$W$40</definedName>
    <definedName name="_xlnm.Print_Area" localSheetId="3">'pow rez'!$A$1:$W$18</definedName>
    <definedName name="_xlnm.Print_Titles" localSheetId="2">'gm podst'!$1:$2</definedName>
    <definedName name="_xlnm.Print_Titles" localSheetId="4">'gm rez'!$1:$2</definedName>
    <definedName name="_xlnm.Print_Titles" localSheetId="1">'pow podst'!$1:$2</definedName>
    <definedName name="_xlnm.Print_Titles" localSheetId="3">'pow rez'!$1:$2</definedName>
  </definedNames>
  <calcPr calcId="191029"/>
</workbook>
</file>

<file path=xl/calcChain.xml><?xml version="1.0" encoding="utf-8"?>
<calcChain xmlns="http://schemas.openxmlformats.org/spreadsheetml/2006/main">
  <c r="C25" i="7" l="1"/>
  <c r="C26" i="7"/>
  <c r="B25" i="7"/>
  <c r="B26" i="7"/>
  <c r="G26" i="7"/>
  <c r="H26" i="7"/>
  <c r="I26" i="7"/>
  <c r="J26" i="7"/>
  <c r="K26" i="7"/>
  <c r="L26" i="7"/>
  <c r="M26" i="7"/>
  <c r="N26" i="7"/>
  <c r="O26" i="7"/>
  <c r="G25" i="7"/>
  <c r="H25" i="7"/>
  <c r="I25" i="7"/>
  <c r="J25" i="7"/>
  <c r="K25" i="7"/>
  <c r="L25" i="7"/>
  <c r="M25" i="7"/>
  <c r="N25" i="7"/>
  <c r="O25" i="7"/>
  <c r="G24" i="7"/>
  <c r="H24" i="7"/>
  <c r="I24" i="7"/>
  <c r="J24" i="7"/>
  <c r="K24" i="7"/>
  <c r="L24" i="7"/>
  <c r="M24" i="7"/>
  <c r="N24" i="7"/>
  <c r="O24" i="7"/>
  <c r="F25" i="7"/>
  <c r="F26" i="7"/>
  <c r="F24" i="7"/>
  <c r="E26" i="7"/>
  <c r="E25" i="7"/>
  <c r="E24" i="7"/>
  <c r="D26" i="7"/>
  <c r="D25" i="7"/>
  <c r="D24" i="7"/>
  <c r="C24" i="7"/>
  <c r="B24" i="7"/>
  <c r="X4" i="4"/>
  <c r="Y4" i="4"/>
  <c r="Z4" i="4" s="1"/>
  <c r="AA4" i="4"/>
  <c r="X5" i="4"/>
  <c r="Y5" i="4"/>
  <c r="Z5" i="4" s="1"/>
  <c r="AA5" i="4"/>
  <c r="X6" i="4"/>
  <c r="Y6" i="4"/>
  <c r="Z6" i="4" s="1"/>
  <c r="AA6" i="4"/>
  <c r="X7" i="4"/>
  <c r="Y7" i="4"/>
  <c r="Z7" i="4"/>
  <c r="AA7" i="4"/>
  <c r="X8" i="4"/>
  <c r="Y8" i="4"/>
  <c r="Z8" i="4" s="1"/>
  <c r="AA8" i="4"/>
  <c r="X9" i="4"/>
  <c r="Y9" i="4"/>
  <c r="Z9" i="4"/>
  <c r="AA9" i="4"/>
  <c r="X10" i="4"/>
  <c r="Y10" i="4"/>
  <c r="Z10" i="4" s="1"/>
  <c r="AA10" i="4"/>
  <c r="X11" i="4"/>
  <c r="Y11" i="4"/>
  <c r="Z11" i="4"/>
  <c r="AA11" i="4"/>
  <c r="X4" i="3"/>
  <c r="Y4" i="3"/>
  <c r="Z4" i="3"/>
  <c r="AA4" i="3"/>
  <c r="X5" i="3"/>
  <c r="Y5" i="3"/>
  <c r="Z5" i="3"/>
  <c r="AA5" i="3"/>
  <c r="X6" i="3"/>
  <c r="Y6" i="3"/>
  <c r="Z6" i="3"/>
  <c r="AA6" i="3"/>
  <c r="X7" i="3"/>
  <c r="Y7" i="3"/>
  <c r="Z7" i="3"/>
  <c r="AA7" i="3"/>
  <c r="X8" i="3"/>
  <c r="Y8" i="3"/>
  <c r="Z8" i="3"/>
  <c r="AA8" i="3"/>
  <c r="X9" i="3"/>
  <c r="Y9" i="3"/>
  <c r="Z9" i="3"/>
  <c r="AA9" i="3"/>
  <c r="X10" i="3"/>
  <c r="Y10" i="3"/>
  <c r="Z10" i="3"/>
  <c r="AA10" i="3"/>
  <c r="X11" i="3"/>
  <c r="Y11" i="3"/>
  <c r="Z11" i="3"/>
  <c r="AA11" i="3"/>
  <c r="X12" i="3"/>
  <c r="Y12" i="3"/>
  <c r="Z12" i="3"/>
  <c r="AA12" i="3"/>
  <c r="X13" i="3"/>
  <c r="Y13" i="3"/>
  <c r="Z13" i="3"/>
  <c r="AA13" i="3"/>
  <c r="X14" i="3"/>
  <c r="Y14" i="3"/>
  <c r="Z14" i="3"/>
  <c r="AA14" i="3"/>
  <c r="X15" i="3"/>
  <c r="Y15" i="3"/>
  <c r="Z15" i="3"/>
  <c r="AA15" i="3"/>
  <c r="X16" i="3"/>
  <c r="Y16" i="3"/>
  <c r="Z16" i="3"/>
  <c r="AA16" i="3"/>
  <c r="X17" i="3"/>
  <c r="Y17" i="3"/>
  <c r="Z17" i="3"/>
  <c r="AA17" i="3"/>
  <c r="X18" i="3"/>
  <c r="Y18" i="3"/>
  <c r="Z18" i="3"/>
  <c r="AA18" i="3"/>
  <c r="X19" i="3"/>
  <c r="Y19" i="3"/>
  <c r="Z19" i="3"/>
  <c r="AA19" i="3"/>
  <c r="X20" i="3"/>
  <c r="Y20" i="3"/>
  <c r="Z20" i="3"/>
  <c r="AA20" i="3"/>
  <c r="X21" i="3"/>
  <c r="Y21" i="3"/>
  <c r="Z21" i="3"/>
  <c r="AA21" i="3"/>
  <c r="X22" i="3"/>
  <c r="Y22" i="3"/>
  <c r="Z22" i="3"/>
  <c r="AA22" i="3"/>
  <c r="X23" i="3"/>
  <c r="Y23" i="3"/>
  <c r="Z23" i="3"/>
  <c r="AA23" i="3"/>
  <c r="X24" i="3"/>
  <c r="Y24" i="3"/>
  <c r="Z24" i="3"/>
  <c r="AA24" i="3"/>
  <c r="X25" i="3"/>
  <c r="Y25" i="3"/>
  <c r="Z25" i="3"/>
  <c r="AA25" i="3"/>
  <c r="X26" i="3"/>
  <c r="Y26" i="3"/>
  <c r="Z26" i="3"/>
  <c r="AA26" i="3"/>
  <c r="X27" i="3"/>
  <c r="Y27" i="3"/>
  <c r="Z27" i="3"/>
  <c r="AA27" i="3"/>
  <c r="X28" i="3"/>
  <c r="Y28" i="3"/>
  <c r="Z28" i="3"/>
  <c r="AA28" i="3"/>
  <c r="X29" i="3"/>
  <c r="Y29" i="3"/>
  <c r="Z29" i="3"/>
  <c r="AA29" i="3"/>
  <c r="X30" i="3"/>
  <c r="Y30" i="3"/>
  <c r="Z30" i="3"/>
  <c r="AA30" i="3"/>
  <c r="X31" i="3"/>
  <c r="Y31" i="3"/>
  <c r="Z31" i="3"/>
  <c r="AA31" i="3"/>
  <c r="K90" i="5" l="1"/>
  <c r="J32" i="3"/>
  <c r="O14" i="4"/>
  <c r="P14" i="4"/>
  <c r="Q14" i="4"/>
  <c r="R14" i="4"/>
  <c r="S14" i="4"/>
  <c r="T14" i="4"/>
  <c r="U14" i="4"/>
  <c r="V14" i="4"/>
  <c r="W14" i="4"/>
  <c r="N14" i="4"/>
  <c r="O13" i="4"/>
  <c r="P13" i="4"/>
  <c r="Q13" i="4"/>
  <c r="S13" i="4"/>
  <c r="T13" i="4"/>
  <c r="U13" i="4"/>
  <c r="V13" i="4"/>
  <c r="W13" i="4"/>
  <c r="N13" i="4"/>
  <c r="O12" i="4"/>
  <c r="P12" i="4"/>
  <c r="Q12" i="4"/>
  <c r="S12" i="4"/>
  <c r="T12" i="4"/>
  <c r="U12" i="4"/>
  <c r="V12" i="4"/>
  <c r="W12" i="4"/>
  <c r="H14" i="4"/>
  <c r="H13" i="4"/>
  <c r="N12" i="4"/>
  <c r="J14" i="4"/>
  <c r="J13" i="4"/>
  <c r="J12" i="4"/>
  <c r="L13" i="3" l="1"/>
  <c r="L24" i="3" l="1"/>
  <c r="K20" i="3" l="1"/>
  <c r="I89" i="5" l="1"/>
  <c r="K10" i="4"/>
  <c r="R10" i="4" s="1"/>
  <c r="H12" i="4"/>
  <c r="K11" i="4"/>
  <c r="K3" i="4"/>
  <c r="K4" i="4"/>
  <c r="M4" i="4" s="1"/>
  <c r="N38" i="5"/>
  <c r="L12" i="5"/>
  <c r="N12" i="5" s="1"/>
  <c r="N15" i="5"/>
  <c r="L87" i="5"/>
  <c r="M87" i="5" s="1"/>
  <c r="AB87" i="5" s="1"/>
  <c r="K30" i="3"/>
  <c r="L30" i="3" s="1"/>
  <c r="M13" i="3"/>
  <c r="M3" i="4" l="1"/>
  <c r="K14" i="4"/>
  <c r="L11" i="4"/>
  <c r="L14" i="4" s="1"/>
  <c r="Z87" i="5"/>
  <c r="AA87" i="5" s="1"/>
  <c r="S87" i="5"/>
  <c r="Y87" i="5" s="1"/>
  <c r="L10" i="4"/>
  <c r="M30" i="3"/>
  <c r="R30" i="3"/>
  <c r="O29" i="7"/>
  <c r="N29" i="7"/>
  <c r="M29" i="7"/>
  <c r="L29" i="7"/>
  <c r="K29" i="7"/>
  <c r="J29" i="7"/>
  <c r="I29" i="7"/>
  <c r="H29" i="7"/>
  <c r="G29" i="7"/>
  <c r="O28" i="7"/>
  <c r="N28" i="7"/>
  <c r="M28" i="7"/>
  <c r="L28" i="7"/>
  <c r="K28" i="7"/>
  <c r="I28" i="7"/>
  <c r="H28" i="7"/>
  <c r="G28" i="7"/>
  <c r="L83" i="5" l="1"/>
  <c r="M83" i="5" s="1"/>
  <c r="Z83" i="5" l="1"/>
  <c r="AA83" i="5" s="1"/>
  <c r="AB83" i="5"/>
  <c r="S83" i="5"/>
  <c r="Y83" i="5"/>
  <c r="L13" i="5"/>
  <c r="L14" i="5"/>
  <c r="M14" i="5" s="1"/>
  <c r="M15" i="5"/>
  <c r="L16" i="5"/>
  <c r="M16" i="5" s="1"/>
  <c r="L17" i="5"/>
  <c r="M17" i="5" s="1"/>
  <c r="L18" i="5"/>
  <c r="M18" i="5" s="1"/>
  <c r="L19" i="5"/>
  <c r="M19" i="5" s="1"/>
  <c r="L20" i="5"/>
  <c r="M20" i="5" s="1"/>
  <c r="L21" i="5"/>
  <c r="M21" i="5" s="1"/>
  <c r="L22" i="5"/>
  <c r="M22" i="5" s="1"/>
  <c r="L23" i="5"/>
  <c r="M23" i="5" s="1"/>
  <c r="L24" i="5"/>
  <c r="M24" i="5" s="1"/>
  <c r="L25" i="5"/>
  <c r="M25" i="5" s="1"/>
  <c r="L26" i="5"/>
  <c r="M26" i="5" s="1"/>
  <c r="L27" i="5"/>
  <c r="M27" i="5" s="1"/>
  <c r="L28" i="5"/>
  <c r="M28" i="5" s="1"/>
  <c r="L29" i="5"/>
  <c r="M29" i="5" s="1"/>
  <c r="L30" i="5"/>
  <c r="M30" i="5" s="1"/>
  <c r="L31" i="5"/>
  <c r="M31" i="5" s="1"/>
  <c r="L32" i="5"/>
  <c r="M32" i="5" s="1"/>
  <c r="L33" i="5"/>
  <c r="M33" i="5" s="1"/>
  <c r="L34" i="5"/>
  <c r="M34" i="5" s="1"/>
  <c r="L35" i="5"/>
  <c r="M35" i="5" s="1"/>
  <c r="L36" i="5"/>
  <c r="M36" i="5" s="1"/>
  <c r="L37" i="5"/>
  <c r="M37" i="5" s="1"/>
  <c r="M38" i="5"/>
  <c r="L39" i="5"/>
  <c r="M39" i="5" s="1"/>
  <c r="L40" i="5"/>
  <c r="M40" i="5" s="1"/>
  <c r="L41" i="5"/>
  <c r="M41" i="5" s="1"/>
  <c r="L42" i="5"/>
  <c r="M42" i="5" s="1"/>
  <c r="L43" i="5"/>
  <c r="M43" i="5" s="1"/>
  <c r="L44" i="5"/>
  <c r="M44" i="5" s="1"/>
  <c r="L45" i="5"/>
  <c r="M45" i="5" s="1"/>
  <c r="L46" i="5"/>
  <c r="M46" i="5" s="1"/>
  <c r="L47" i="5"/>
  <c r="M47" i="5" s="1"/>
  <c r="L48" i="5"/>
  <c r="M48" i="5" s="1"/>
  <c r="L49" i="5"/>
  <c r="M49" i="5" s="1"/>
  <c r="L50" i="5"/>
  <c r="M50" i="5" s="1"/>
  <c r="L51" i="5"/>
  <c r="M51" i="5" s="1"/>
  <c r="L52" i="5"/>
  <c r="M52" i="5" s="1"/>
  <c r="L53" i="5"/>
  <c r="M53" i="5" s="1"/>
  <c r="L54" i="5"/>
  <c r="M54" i="5" s="1"/>
  <c r="L55" i="5"/>
  <c r="M55" i="5" s="1"/>
  <c r="L56" i="5"/>
  <c r="M56" i="5" s="1"/>
  <c r="L57" i="5"/>
  <c r="M57" i="5" s="1"/>
  <c r="L58" i="5"/>
  <c r="M58" i="5" s="1"/>
  <c r="L59" i="5"/>
  <c r="M59" i="5" s="1"/>
  <c r="L60" i="5"/>
  <c r="M60" i="5" s="1"/>
  <c r="L61" i="5"/>
  <c r="M61" i="5" s="1"/>
  <c r="L62" i="5"/>
  <c r="M62" i="5" s="1"/>
  <c r="L63" i="5"/>
  <c r="M63" i="5" s="1"/>
  <c r="L64" i="5"/>
  <c r="M64" i="5" s="1"/>
  <c r="L65" i="5"/>
  <c r="M65" i="5" s="1"/>
  <c r="L66" i="5"/>
  <c r="M66" i="5" s="1"/>
  <c r="L67" i="5"/>
  <c r="M67" i="5" s="1"/>
  <c r="L68" i="5"/>
  <c r="M68" i="5" s="1"/>
  <c r="L69" i="5"/>
  <c r="M69" i="5" s="1"/>
  <c r="L70" i="5"/>
  <c r="M70" i="5" s="1"/>
  <c r="L71" i="5"/>
  <c r="M71" i="5" s="1"/>
  <c r="L72" i="5"/>
  <c r="M72" i="5" s="1"/>
  <c r="L73" i="5"/>
  <c r="M73" i="5" s="1"/>
  <c r="L74" i="5"/>
  <c r="M74" i="5" s="1"/>
  <c r="L75" i="5"/>
  <c r="M75" i="5" s="1"/>
  <c r="L76" i="5"/>
  <c r="M76" i="5" s="1"/>
  <c r="L77" i="5"/>
  <c r="M77" i="5" s="1"/>
  <c r="L78" i="5"/>
  <c r="M78" i="5" s="1"/>
  <c r="L79" i="5"/>
  <c r="M79" i="5" s="1"/>
  <c r="L80" i="5"/>
  <c r="M80" i="5" s="1"/>
  <c r="L81" i="5"/>
  <c r="M81" i="5" s="1"/>
  <c r="L82" i="5"/>
  <c r="M82" i="5" s="1"/>
  <c r="L84" i="5"/>
  <c r="M84" i="5" s="1"/>
  <c r="L85" i="5"/>
  <c r="M85" i="5" s="1"/>
  <c r="L86" i="5"/>
  <c r="M86" i="5" s="1"/>
  <c r="M13" i="5" l="1"/>
  <c r="L89" i="5"/>
  <c r="F29" i="7"/>
  <c r="F28" i="7"/>
  <c r="G27" i="7"/>
  <c r="H27" i="7"/>
  <c r="I27" i="7"/>
  <c r="K27" i="7"/>
  <c r="L27" i="7"/>
  <c r="M27" i="7"/>
  <c r="N27" i="7"/>
  <c r="O27" i="7"/>
  <c r="F27" i="7"/>
  <c r="E29" i="7"/>
  <c r="D29" i="7"/>
  <c r="C29" i="7"/>
  <c r="B29" i="7"/>
  <c r="B28" i="7"/>
  <c r="C28" i="7"/>
  <c r="C27" i="7"/>
  <c r="T28" i="6"/>
  <c r="U28" i="6"/>
  <c r="V28" i="6"/>
  <c r="W28" i="6"/>
  <c r="X28" i="6"/>
  <c r="T29" i="6"/>
  <c r="U29" i="6"/>
  <c r="V29" i="6"/>
  <c r="W29" i="6"/>
  <c r="X29" i="6"/>
  <c r="T30" i="6"/>
  <c r="U30" i="6"/>
  <c r="V30" i="6"/>
  <c r="W30" i="6"/>
  <c r="X30" i="6"/>
  <c r="S30" i="6"/>
  <c r="R30" i="6"/>
  <c r="R29" i="6"/>
  <c r="Q30" i="6"/>
  <c r="Q29" i="6"/>
  <c r="P30" i="6"/>
  <c r="P29" i="6"/>
  <c r="O30" i="6"/>
  <c r="O29" i="6"/>
  <c r="P28" i="6"/>
  <c r="Q28" i="6"/>
  <c r="R28" i="6"/>
  <c r="O28" i="6"/>
  <c r="M30" i="6"/>
  <c r="L30" i="6"/>
  <c r="K30" i="6"/>
  <c r="K29" i="6"/>
  <c r="K28" i="6"/>
  <c r="I30" i="6"/>
  <c r="I29" i="6"/>
  <c r="I28" i="6"/>
  <c r="L27" i="6"/>
  <c r="L26" i="6"/>
  <c r="L25" i="6"/>
  <c r="L24" i="6"/>
  <c r="L23" i="6"/>
  <c r="L22" i="6"/>
  <c r="L21" i="6"/>
  <c r="L20" i="6"/>
  <c r="L19" i="6"/>
  <c r="L18" i="6"/>
  <c r="L17" i="6"/>
  <c r="L16" i="6"/>
  <c r="L15" i="6"/>
  <c r="L14" i="6"/>
  <c r="L13" i="6"/>
  <c r="L12" i="6"/>
  <c r="L11" i="6"/>
  <c r="L10" i="6"/>
  <c r="L9" i="6"/>
  <c r="L8" i="6"/>
  <c r="L7" i="6"/>
  <c r="L6" i="6"/>
  <c r="L5" i="6"/>
  <c r="L4" i="6"/>
  <c r="L3" i="6"/>
  <c r="K9" i="4"/>
  <c r="K8" i="4"/>
  <c r="K7" i="4"/>
  <c r="K6" i="4"/>
  <c r="K5" i="4"/>
  <c r="K13" i="4" l="1"/>
  <c r="K12" i="4"/>
  <c r="L9" i="4"/>
  <c r="R3" i="4"/>
  <c r="Y3" i="4"/>
  <c r="Z3" i="4" s="1"/>
  <c r="R9" i="4"/>
  <c r="R5" i="4"/>
  <c r="R7" i="4"/>
  <c r="L4" i="4"/>
  <c r="R6" i="4"/>
  <c r="R8" i="4"/>
  <c r="M7" i="6"/>
  <c r="AB7" i="6" s="1"/>
  <c r="Z7" i="6"/>
  <c r="AA7" i="6" s="1"/>
  <c r="S15" i="6"/>
  <c r="Y15" i="6" s="1"/>
  <c r="Z15" i="6"/>
  <c r="AA15" i="6" s="1"/>
  <c r="S23" i="6"/>
  <c r="Y23" i="6" s="1"/>
  <c r="Z23" i="6"/>
  <c r="AA23" i="6" s="1"/>
  <c r="S4" i="6"/>
  <c r="Y4" i="6" s="1"/>
  <c r="Z4" i="6"/>
  <c r="AA4" i="6" s="1"/>
  <c r="S8" i="6"/>
  <c r="Y8" i="6" s="1"/>
  <c r="Z8" i="6"/>
  <c r="AA8" i="6" s="1"/>
  <c r="M12" i="6"/>
  <c r="AB12" i="6" s="1"/>
  <c r="Z12" i="6"/>
  <c r="AA12" i="6" s="1"/>
  <c r="M16" i="6"/>
  <c r="AB16" i="6" s="1"/>
  <c r="Z16" i="6"/>
  <c r="AA16" i="6" s="1"/>
  <c r="M20" i="6"/>
  <c r="AB20" i="6" s="1"/>
  <c r="Z20" i="6"/>
  <c r="AA20" i="6" s="1"/>
  <c r="S24" i="6"/>
  <c r="Y24" i="6" s="1"/>
  <c r="Z24" i="6"/>
  <c r="AA24" i="6" s="1"/>
  <c r="M3" i="6"/>
  <c r="AB3" i="6" s="1"/>
  <c r="Z3" i="6"/>
  <c r="AA3" i="6" s="1"/>
  <c r="S5" i="6"/>
  <c r="Y5" i="6" s="1"/>
  <c r="Z5" i="6"/>
  <c r="AA5" i="6" s="1"/>
  <c r="M9" i="6"/>
  <c r="AB9" i="6" s="1"/>
  <c r="Z9" i="6"/>
  <c r="AA9" i="6" s="1"/>
  <c r="S13" i="6"/>
  <c r="Y13" i="6" s="1"/>
  <c r="Z13" i="6"/>
  <c r="AA13" i="6" s="1"/>
  <c r="S17" i="6"/>
  <c r="Y17" i="6" s="1"/>
  <c r="Z17" i="6"/>
  <c r="AA17" i="6" s="1"/>
  <c r="S21" i="6"/>
  <c r="Y21" i="6" s="1"/>
  <c r="Z21" i="6"/>
  <c r="AA21" i="6" s="1"/>
  <c r="S25" i="6"/>
  <c r="Y25" i="6" s="1"/>
  <c r="Z25" i="6"/>
  <c r="AA25" i="6" s="1"/>
  <c r="S11" i="6"/>
  <c r="Y11" i="6" s="1"/>
  <c r="Z11" i="6"/>
  <c r="AA11" i="6" s="1"/>
  <c r="S19" i="6"/>
  <c r="Y19" i="6" s="1"/>
  <c r="Z19" i="6"/>
  <c r="AA19" i="6" s="1"/>
  <c r="S27" i="6"/>
  <c r="Y27" i="6" s="1"/>
  <c r="Z27" i="6"/>
  <c r="AA27" i="6" s="1"/>
  <c r="S6" i="6"/>
  <c r="Y6" i="6" s="1"/>
  <c r="Z6" i="6"/>
  <c r="AA6" i="6" s="1"/>
  <c r="S10" i="6"/>
  <c r="Y10" i="6" s="1"/>
  <c r="Z10" i="6"/>
  <c r="AA10" i="6" s="1"/>
  <c r="M14" i="6"/>
  <c r="AB14" i="6" s="1"/>
  <c r="Z14" i="6"/>
  <c r="AA14" i="6" s="1"/>
  <c r="M18" i="6"/>
  <c r="AB18" i="6" s="1"/>
  <c r="Z18" i="6"/>
  <c r="AA18" i="6" s="1"/>
  <c r="M22" i="6"/>
  <c r="AB22" i="6" s="1"/>
  <c r="Z22" i="6"/>
  <c r="AA22" i="6" s="1"/>
  <c r="M26" i="6"/>
  <c r="AB26" i="6" s="1"/>
  <c r="Z26" i="6"/>
  <c r="AA26" i="6" s="1"/>
  <c r="L29" i="6"/>
  <c r="E28" i="7"/>
  <c r="L28" i="6"/>
  <c r="E27" i="7"/>
  <c r="R4" i="4"/>
  <c r="L8" i="4"/>
  <c r="L6" i="4"/>
  <c r="M10" i="6"/>
  <c r="AB10" i="6" s="1"/>
  <c r="M25" i="6"/>
  <c r="AB25" i="6" s="1"/>
  <c r="S3" i="6"/>
  <c r="M6" i="6"/>
  <c r="AB6" i="6" s="1"/>
  <c r="S18" i="6"/>
  <c r="Y18" i="6" s="1"/>
  <c r="M21" i="6"/>
  <c r="AB21" i="6" s="1"/>
  <c r="S14" i="6"/>
  <c r="Y14" i="6" s="1"/>
  <c r="M17" i="6"/>
  <c r="AB17" i="6" s="1"/>
  <c r="M13" i="6"/>
  <c r="AB13" i="6" s="1"/>
  <c r="S26" i="6"/>
  <c r="Y26" i="6" s="1"/>
  <c r="S7" i="6"/>
  <c r="Y7" i="6" s="1"/>
  <c r="S22" i="6"/>
  <c r="Y22" i="6" s="1"/>
  <c r="M5" i="6"/>
  <c r="AB5" i="6" s="1"/>
  <c r="M24" i="6"/>
  <c r="AB24" i="6" s="1"/>
  <c r="M4" i="6"/>
  <c r="AB4" i="6" s="1"/>
  <c r="M8" i="6"/>
  <c r="AB8" i="6" s="1"/>
  <c r="S9" i="6"/>
  <c r="Y9" i="6" s="1"/>
  <c r="M11" i="6"/>
  <c r="AB11" i="6" s="1"/>
  <c r="S12" i="6"/>
  <c r="Y12" i="6" s="1"/>
  <c r="M15" i="6"/>
  <c r="AB15" i="6" s="1"/>
  <c r="S16" i="6"/>
  <c r="Y16" i="6" s="1"/>
  <c r="M19" i="6"/>
  <c r="AB19" i="6" s="1"/>
  <c r="S20" i="6"/>
  <c r="Y20" i="6" s="1"/>
  <c r="M23" i="6"/>
  <c r="AB23" i="6" s="1"/>
  <c r="M27" i="6"/>
  <c r="AB27" i="6" s="1"/>
  <c r="L5" i="4"/>
  <c r="L7" i="4"/>
  <c r="L3" i="4"/>
  <c r="L13" i="4" s="1"/>
  <c r="R13" i="4" l="1"/>
  <c r="R12" i="4"/>
  <c r="X3" i="4"/>
  <c r="AA3" i="4"/>
  <c r="L12" i="4"/>
  <c r="Y3" i="6"/>
  <c r="J28" i="7"/>
  <c r="Q28" i="7" s="1"/>
  <c r="S29" i="6"/>
  <c r="S28" i="6"/>
  <c r="J27" i="7"/>
  <c r="M29" i="6"/>
  <c r="M28" i="6"/>
  <c r="D28" i="7"/>
  <c r="D27" i="7"/>
  <c r="Y13" i="5"/>
  <c r="Z14" i="5"/>
  <c r="AA14" i="5" s="1"/>
  <c r="Y15" i="5"/>
  <c r="Z16" i="5"/>
  <c r="AA16" i="5" s="1"/>
  <c r="Z17" i="5"/>
  <c r="AA17" i="5" s="1"/>
  <c r="S27" i="5"/>
  <c r="S35" i="5"/>
  <c r="S40" i="5"/>
  <c r="S43" i="5"/>
  <c r="S48" i="5"/>
  <c r="S52" i="5"/>
  <c r="S54" i="5"/>
  <c r="S55" i="5"/>
  <c r="S56" i="5"/>
  <c r="S61" i="5"/>
  <c r="Y61" i="5" s="1"/>
  <c r="Z63" i="5"/>
  <c r="AA63" i="5" s="1"/>
  <c r="S64" i="5"/>
  <c r="S68" i="5"/>
  <c r="S69" i="5"/>
  <c r="S70" i="5"/>
  <c r="Z71" i="5"/>
  <c r="AA71" i="5" s="1"/>
  <c r="S72" i="5"/>
  <c r="S78" i="5"/>
  <c r="Z79" i="5"/>
  <c r="AA79" i="5" s="1"/>
  <c r="S80" i="5"/>
  <c r="S85" i="5"/>
  <c r="Z12" i="5"/>
  <c r="AA12" i="5" s="1"/>
  <c r="M12" i="5" l="1"/>
  <c r="S12" i="5"/>
  <c r="Y12" i="5" s="1"/>
  <c r="AB64" i="5"/>
  <c r="AB70" i="5"/>
  <c r="AB52" i="5"/>
  <c r="Y69" i="5"/>
  <c r="AB78" i="5"/>
  <c r="AB72" i="5"/>
  <c r="S16" i="5"/>
  <c r="Y16" i="5" s="1"/>
  <c r="S86" i="5"/>
  <c r="Y86" i="5" s="1"/>
  <c r="S53" i="5"/>
  <c r="Y53" i="5" s="1"/>
  <c r="AB44" i="5"/>
  <c r="S62" i="5"/>
  <c r="Y62" i="5" s="1"/>
  <c r="S44" i="5"/>
  <c r="Y44" i="5" s="1"/>
  <c r="M88" i="5"/>
  <c r="AB88" i="5" s="1"/>
  <c r="AB80" i="5"/>
  <c r="AB54" i="5"/>
  <c r="AB48" i="5"/>
  <c r="S77" i="5"/>
  <c r="Y77" i="5" s="1"/>
  <c r="AB68" i="5"/>
  <c r="AB56" i="5"/>
  <c r="AB28" i="5"/>
  <c r="Y14" i="5"/>
  <c r="AB47" i="5"/>
  <c r="AB39" i="5"/>
  <c r="AB31" i="5"/>
  <c r="AB23" i="5"/>
  <c r="S23" i="5"/>
  <c r="Y23" i="5" s="1"/>
  <c r="S74" i="5"/>
  <c r="Y74" i="5" s="1"/>
  <c r="AB81" i="5"/>
  <c r="Z81" i="5"/>
  <c r="AA81" i="5" s="1"/>
  <c r="Z76" i="5"/>
  <c r="AA76" i="5" s="1"/>
  <c r="AB65" i="5"/>
  <c r="Z65" i="5"/>
  <c r="AA65" i="5" s="1"/>
  <c r="Z60" i="5"/>
  <c r="AA60" i="5" s="1"/>
  <c r="AB49" i="5"/>
  <c r="Z49" i="5"/>
  <c r="AA49" i="5" s="1"/>
  <c r="AB41" i="5"/>
  <c r="Z41" i="5"/>
  <c r="AA41" i="5" s="1"/>
  <c r="S41" i="5"/>
  <c r="Y41" i="5" s="1"/>
  <c r="S36" i="5"/>
  <c r="Y36" i="5" s="1"/>
  <c r="Z36" i="5"/>
  <c r="AA36" i="5" s="1"/>
  <c r="AB25" i="5"/>
  <c r="Z25" i="5"/>
  <c r="AA25" i="5" s="1"/>
  <c r="S25" i="5"/>
  <c r="Y25" i="5" s="1"/>
  <c r="Z20" i="5"/>
  <c r="AA20" i="5" s="1"/>
  <c r="S20" i="5"/>
  <c r="Y20" i="5" s="1"/>
  <c r="S81" i="5"/>
  <c r="Y81" i="5" s="1"/>
  <c r="S26" i="5"/>
  <c r="Y26" i="5" s="1"/>
  <c r="AB76" i="5"/>
  <c r="AB60" i="5"/>
  <c r="Z55" i="5"/>
  <c r="AA55" i="5" s="1"/>
  <c r="Z47" i="5"/>
  <c r="AA47" i="5" s="1"/>
  <c r="Z39" i="5"/>
  <c r="AA39" i="5" s="1"/>
  <c r="AB36" i="5"/>
  <c r="Z31" i="5"/>
  <c r="AA31" i="5" s="1"/>
  <c r="Z23" i="5"/>
  <c r="AA23" i="5" s="1"/>
  <c r="AB20" i="5"/>
  <c r="AB84" i="5"/>
  <c r="AB75" i="5"/>
  <c r="AB67" i="5"/>
  <c r="AB62" i="5"/>
  <c r="AB59" i="5"/>
  <c r="AB51" i="5"/>
  <c r="AB46" i="5"/>
  <c r="S46" i="5"/>
  <c r="Y46" i="5" s="1"/>
  <c r="AB43" i="5"/>
  <c r="Y43" i="5"/>
  <c r="AB38" i="5"/>
  <c r="AB35" i="5"/>
  <c r="Y35" i="5"/>
  <c r="AB30" i="5"/>
  <c r="AB27" i="5"/>
  <c r="Y27" i="5"/>
  <c r="AB22" i="5"/>
  <c r="AB19" i="5"/>
  <c r="S19" i="5"/>
  <c r="Y19" i="5" s="1"/>
  <c r="S76" i="5"/>
  <c r="Y76" i="5" s="1"/>
  <c r="S60" i="5"/>
  <c r="Y60" i="5" s="1"/>
  <c r="S31" i="5"/>
  <c r="Y31" i="5" s="1"/>
  <c r="S22" i="5"/>
  <c r="Y22" i="5" s="1"/>
  <c r="Z88" i="5"/>
  <c r="AA88" i="5" s="1"/>
  <c r="Z78" i="5"/>
  <c r="AA78" i="5" s="1"/>
  <c r="Z70" i="5"/>
  <c r="AA70" i="5" s="1"/>
  <c r="Z62" i="5"/>
  <c r="AA62" i="5" s="1"/>
  <c r="Z54" i="5"/>
  <c r="AA54" i="5" s="1"/>
  <c r="Z46" i="5"/>
  <c r="AA46" i="5" s="1"/>
  <c r="Z38" i="5"/>
  <c r="AA38" i="5" s="1"/>
  <c r="Z30" i="5"/>
  <c r="AA30" i="5" s="1"/>
  <c r="Z22" i="5"/>
  <c r="AA22" i="5" s="1"/>
  <c r="AB79" i="5"/>
  <c r="AB71" i="5"/>
  <c r="AB63" i="5"/>
  <c r="Y85" i="5"/>
  <c r="Z85" i="5"/>
  <c r="AA85" i="5" s="1"/>
  <c r="AB73" i="5"/>
  <c r="Z73" i="5"/>
  <c r="AA73" i="5" s="1"/>
  <c r="Y68" i="5"/>
  <c r="Z68" i="5"/>
  <c r="AA68" i="5" s="1"/>
  <c r="AB57" i="5"/>
  <c r="Z57" i="5"/>
  <c r="AA57" i="5" s="1"/>
  <c r="Y52" i="5"/>
  <c r="Z52" i="5"/>
  <c r="AA52" i="5" s="1"/>
  <c r="Z44" i="5"/>
  <c r="AA44" i="5" s="1"/>
  <c r="AB33" i="5"/>
  <c r="Z33" i="5"/>
  <c r="AA33" i="5" s="1"/>
  <c r="S33" i="5"/>
  <c r="Y33" i="5" s="1"/>
  <c r="S28" i="5"/>
  <c r="Y28" i="5" s="1"/>
  <c r="Z28" i="5"/>
  <c r="AA28" i="5" s="1"/>
  <c r="AB17" i="5"/>
  <c r="S73" i="5"/>
  <c r="Y73" i="5" s="1"/>
  <c r="S65" i="5"/>
  <c r="Y65" i="5" s="1"/>
  <c r="S57" i="5"/>
  <c r="Y57" i="5" s="1"/>
  <c r="S49" i="5"/>
  <c r="Y49" i="5" s="1"/>
  <c r="S34" i="5"/>
  <c r="Y34" i="5" s="1"/>
  <c r="AB85" i="5"/>
  <c r="AB86" i="5"/>
  <c r="Z86" i="5"/>
  <c r="AA86" i="5" s="1"/>
  <c r="Y80" i="5"/>
  <c r="Z80" i="5"/>
  <c r="AA80" i="5" s="1"/>
  <c r="AB77" i="5"/>
  <c r="Z77" i="5"/>
  <c r="AA77" i="5" s="1"/>
  <c r="AB74" i="5"/>
  <c r="Y72" i="5"/>
  <c r="Z72" i="5"/>
  <c r="AA72" i="5" s="1"/>
  <c r="AB69" i="5"/>
  <c r="Z69" i="5"/>
  <c r="AA69" i="5" s="1"/>
  <c r="AB66" i="5"/>
  <c r="Y64" i="5"/>
  <c r="Z64" i="5"/>
  <c r="AA64" i="5" s="1"/>
  <c r="AB61" i="5"/>
  <c r="Z61" i="5"/>
  <c r="AA61" i="5" s="1"/>
  <c r="AB58" i="5"/>
  <c r="Y56" i="5"/>
  <c r="Z56" i="5"/>
  <c r="AA56" i="5" s="1"/>
  <c r="AB53" i="5"/>
  <c r="Z53" i="5"/>
  <c r="AA53" i="5" s="1"/>
  <c r="AB50" i="5"/>
  <c r="Y48" i="5"/>
  <c r="Z48" i="5"/>
  <c r="AA48" i="5" s="1"/>
  <c r="AB45" i="5"/>
  <c r="Z45" i="5"/>
  <c r="AA45" i="5" s="1"/>
  <c r="S45" i="5"/>
  <c r="Y45" i="5" s="1"/>
  <c r="Y40" i="5"/>
  <c r="Z40" i="5"/>
  <c r="AA40" i="5" s="1"/>
  <c r="AB37" i="5"/>
  <c r="Z37" i="5"/>
  <c r="AA37" i="5" s="1"/>
  <c r="S37" i="5"/>
  <c r="Y37" i="5" s="1"/>
  <c r="AB34" i="5"/>
  <c r="S32" i="5"/>
  <c r="Y32" i="5" s="1"/>
  <c r="Z32" i="5"/>
  <c r="AA32" i="5" s="1"/>
  <c r="AB29" i="5"/>
  <c r="Z29" i="5"/>
  <c r="AA29" i="5" s="1"/>
  <c r="S29" i="5"/>
  <c r="Y29" i="5" s="1"/>
  <c r="Y24" i="5"/>
  <c r="Z24" i="5"/>
  <c r="AA24" i="5" s="1"/>
  <c r="AB21" i="5"/>
  <c r="Z21" i="5"/>
  <c r="AA21" i="5" s="1"/>
  <c r="AB18" i="5"/>
  <c r="AB16" i="5"/>
  <c r="AB13" i="5"/>
  <c r="Z13" i="5"/>
  <c r="AA13" i="5" s="1"/>
  <c r="S84" i="5"/>
  <c r="Y84" i="5" s="1"/>
  <c r="S79" i="5"/>
  <c r="Y79" i="5" s="1"/>
  <c r="S75" i="5"/>
  <c r="Y75" i="5" s="1"/>
  <c r="S71" i="5"/>
  <c r="Y71" i="5" s="1"/>
  <c r="S67" i="5"/>
  <c r="Y67" i="5" s="1"/>
  <c r="S63" i="5"/>
  <c r="Y63" i="5" s="1"/>
  <c r="S59" i="5"/>
  <c r="Y59" i="5" s="1"/>
  <c r="S51" i="5"/>
  <c r="Y51" i="5" s="1"/>
  <c r="S47" i="5"/>
  <c r="Y47" i="5" s="1"/>
  <c r="S39" i="5"/>
  <c r="Y39" i="5" s="1"/>
  <c r="S30" i="5"/>
  <c r="Y30" i="5" s="1"/>
  <c r="S21" i="5"/>
  <c r="Y21" i="5" s="1"/>
  <c r="Y88" i="5"/>
  <c r="Z84" i="5"/>
  <c r="AA84" i="5" s="1"/>
  <c r="Y78" i="5"/>
  <c r="Z75" i="5"/>
  <c r="AA75" i="5" s="1"/>
  <c r="Y70" i="5"/>
  <c r="Z67" i="5"/>
  <c r="AA67" i="5" s="1"/>
  <c r="Z59" i="5"/>
  <c r="AA59" i="5" s="1"/>
  <c r="Y54" i="5"/>
  <c r="Z51" i="5"/>
  <c r="AA51" i="5" s="1"/>
  <c r="Z43" i="5"/>
  <c r="AA43" i="5" s="1"/>
  <c r="AB40" i="5"/>
  <c r="Y38" i="5"/>
  <c r="Z35" i="5"/>
  <c r="AA35" i="5" s="1"/>
  <c r="AB32" i="5"/>
  <c r="Z27" i="5"/>
  <c r="AA27" i="5" s="1"/>
  <c r="AB24" i="5"/>
  <c r="Z19" i="5"/>
  <c r="AA19" i="5" s="1"/>
  <c r="Y17" i="5"/>
  <c r="AB14" i="5"/>
  <c r="AB82" i="5"/>
  <c r="AB55" i="5"/>
  <c r="Y55" i="5"/>
  <c r="AB42" i="5"/>
  <c r="S42" i="5"/>
  <c r="Y42" i="5" s="1"/>
  <c r="AB26" i="5"/>
  <c r="AB15" i="5"/>
  <c r="Z15" i="5"/>
  <c r="AA15" i="5" s="1"/>
  <c r="S82" i="5"/>
  <c r="Y82" i="5" s="1"/>
  <c r="S66" i="5"/>
  <c r="Y66" i="5" s="1"/>
  <c r="S58" i="5"/>
  <c r="Y58" i="5" s="1"/>
  <c r="S50" i="5"/>
  <c r="Y50" i="5" s="1"/>
  <c r="S18" i="5"/>
  <c r="Y18" i="5" s="1"/>
  <c r="Z82" i="5"/>
  <c r="AA82" i="5" s="1"/>
  <c r="Z74" i="5"/>
  <c r="AA74" i="5" s="1"/>
  <c r="Z66" i="5"/>
  <c r="AA66" i="5" s="1"/>
  <c r="Z58" i="5"/>
  <c r="AA58" i="5" s="1"/>
  <c r="Z50" i="5"/>
  <c r="AA50" i="5" s="1"/>
  <c r="Z42" i="5"/>
  <c r="AA42" i="5" s="1"/>
  <c r="Z34" i="5"/>
  <c r="AA34" i="5" s="1"/>
  <c r="Z26" i="5"/>
  <c r="AA26" i="5" s="1"/>
  <c r="Z18" i="5"/>
  <c r="AA18" i="5" s="1"/>
  <c r="K15" i="3"/>
  <c r="K16" i="3"/>
  <c r="K17" i="3"/>
  <c r="R17" i="3" s="1"/>
  <c r="K18" i="3"/>
  <c r="K19" i="3"/>
  <c r="R20" i="3"/>
  <c r="K21" i="3"/>
  <c r="R21" i="3" s="1"/>
  <c r="K22" i="3"/>
  <c r="K23" i="3"/>
  <c r="L23" i="3" s="1"/>
  <c r="K25" i="3"/>
  <c r="R25" i="3" s="1"/>
  <c r="K26" i="3"/>
  <c r="K27" i="3"/>
  <c r="L27" i="3" s="1"/>
  <c r="K28" i="3"/>
  <c r="K29" i="3"/>
  <c r="K14" i="3"/>
  <c r="R14" i="3" l="1"/>
  <c r="L14" i="3"/>
  <c r="AB12" i="5"/>
  <c r="M89" i="5"/>
  <c r="L17" i="3"/>
  <c r="R27" i="3"/>
  <c r="L21" i="3"/>
  <c r="L20" i="3"/>
  <c r="L16" i="3"/>
  <c r="L31" i="3"/>
  <c r="R16" i="3"/>
  <c r="R29" i="3"/>
  <c r="L29" i="3"/>
  <c r="R26" i="3"/>
  <c r="L19" i="3"/>
  <c r="L15" i="3"/>
  <c r="R23" i="3"/>
  <c r="R15" i="3"/>
  <c r="L28" i="3"/>
  <c r="L22" i="3"/>
  <c r="R22" i="3"/>
  <c r="L18" i="3"/>
  <c r="R18" i="3"/>
  <c r="R28" i="3"/>
  <c r="L26" i="3"/>
  <c r="R19" i="3"/>
  <c r="L25" i="3"/>
  <c r="B19" i="7" l="1"/>
  <c r="B18" i="7"/>
  <c r="B17" i="7"/>
  <c r="B15" i="7"/>
  <c r="B14" i="7"/>
  <c r="B13" i="7"/>
  <c r="O19" i="7"/>
  <c r="N19" i="7"/>
  <c r="M19" i="7"/>
  <c r="L19" i="7"/>
  <c r="K19" i="7"/>
  <c r="J19" i="7"/>
  <c r="I19" i="7"/>
  <c r="H19" i="7"/>
  <c r="G19" i="7"/>
  <c r="F19" i="7"/>
  <c r="E19" i="7"/>
  <c r="D19" i="7"/>
  <c r="N18" i="7"/>
  <c r="M18" i="7"/>
  <c r="L18" i="7"/>
  <c r="K18" i="7"/>
  <c r="J18" i="7"/>
  <c r="I18" i="7"/>
  <c r="H18" i="7"/>
  <c r="G18" i="7"/>
  <c r="F18" i="7"/>
  <c r="E18" i="7"/>
  <c r="D18" i="7"/>
  <c r="O17" i="7"/>
  <c r="N17" i="7"/>
  <c r="M17" i="7"/>
  <c r="L17" i="7"/>
  <c r="K17" i="7"/>
  <c r="J17" i="7"/>
  <c r="I17" i="7"/>
  <c r="H17" i="7"/>
  <c r="G17" i="7"/>
  <c r="F17" i="7"/>
  <c r="E17" i="7"/>
  <c r="D17" i="7"/>
  <c r="O14" i="7"/>
  <c r="N15" i="7"/>
  <c r="N14" i="7"/>
  <c r="M15" i="7"/>
  <c r="M14" i="7"/>
  <c r="L15" i="7"/>
  <c r="L14" i="7"/>
  <c r="K15" i="7"/>
  <c r="K14" i="7"/>
  <c r="J15" i="7"/>
  <c r="J14" i="7"/>
  <c r="I15" i="7"/>
  <c r="I14" i="7"/>
  <c r="H15" i="7"/>
  <c r="H14" i="7"/>
  <c r="G15" i="7"/>
  <c r="G14" i="7"/>
  <c r="F15" i="7"/>
  <c r="F14" i="7"/>
  <c r="E14" i="7"/>
  <c r="D14" i="7"/>
  <c r="O13" i="7"/>
  <c r="N13" i="7"/>
  <c r="M13" i="7"/>
  <c r="L13" i="7"/>
  <c r="K13" i="7"/>
  <c r="J13" i="7"/>
  <c r="I13" i="7"/>
  <c r="H13" i="7"/>
  <c r="G13" i="7"/>
  <c r="F13" i="7"/>
  <c r="E13" i="7"/>
  <c r="D13" i="7"/>
  <c r="C19" i="7"/>
  <c r="C18" i="7"/>
  <c r="C17" i="7"/>
  <c r="P28" i="7" l="1"/>
  <c r="C15" i="7"/>
  <c r="C14" i="7"/>
  <c r="C13" i="7"/>
  <c r="Q29" i="7" l="1"/>
  <c r="P29" i="7"/>
  <c r="Q26" i="7"/>
  <c r="P26" i="7"/>
  <c r="Q25" i="7"/>
  <c r="P25" i="7"/>
  <c r="O32" i="7"/>
  <c r="N32" i="7"/>
  <c r="M32" i="7"/>
  <c r="L32" i="7"/>
  <c r="K32" i="7"/>
  <c r="J32" i="7"/>
  <c r="I32" i="7"/>
  <c r="H32" i="7"/>
  <c r="G32" i="7"/>
  <c r="F32" i="7"/>
  <c r="E32" i="7"/>
  <c r="D32" i="7"/>
  <c r="C32" i="7"/>
  <c r="B32" i="7"/>
  <c r="O31" i="7"/>
  <c r="N31" i="7"/>
  <c r="M31" i="7"/>
  <c r="L31" i="7"/>
  <c r="K31" i="7"/>
  <c r="J31" i="7"/>
  <c r="I31" i="7"/>
  <c r="H31" i="7"/>
  <c r="G31" i="7"/>
  <c r="F31" i="7"/>
  <c r="E31" i="7"/>
  <c r="D31" i="7"/>
  <c r="C31" i="7"/>
  <c r="B31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O21" i="7"/>
  <c r="O34" i="7" s="1"/>
  <c r="N21" i="7"/>
  <c r="N34" i="7" s="1"/>
  <c r="M21" i="7"/>
  <c r="M34" i="7" s="1"/>
  <c r="L21" i="7"/>
  <c r="L34" i="7" s="1"/>
  <c r="K21" i="7"/>
  <c r="K34" i="7" s="1"/>
  <c r="J21" i="7"/>
  <c r="J34" i="7" s="1"/>
  <c r="I21" i="7"/>
  <c r="I34" i="7" s="1"/>
  <c r="H21" i="7"/>
  <c r="H34" i="7" s="1"/>
  <c r="G21" i="7"/>
  <c r="G34" i="7" s="1"/>
  <c r="F21" i="7"/>
  <c r="F34" i="7" s="1"/>
  <c r="E21" i="7"/>
  <c r="E34" i="7" s="1"/>
  <c r="D21" i="7"/>
  <c r="D34" i="7" s="1"/>
  <c r="C21" i="7"/>
  <c r="C34" i="7" s="1"/>
  <c r="B21" i="7"/>
  <c r="B34" i="7" s="1"/>
  <c r="V35" i="3"/>
  <c r="U35" i="3"/>
  <c r="T35" i="3"/>
  <c r="S35" i="3"/>
  <c r="R35" i="3"/>
  <c r="Q35" i="3"/>
  <c r="P35" i="3"/>
  <c r="O35" i="3"/>
  <c r="N35" i="3"/>
  <c r="W34" i="3"/>
  <c r="V34" i="3"/>
  <c r="U34" i="3"/>
  <c r="T34" i="3"/>
  <c r="S34" i="3"/>
  <c r="R34" i="3"/>
  <c r="Q34" i="3"/>
  <c r="P34" i="3"/>
  <c r="O34" i="3"/>
  <c r="N34" i="3"/>
  <c r="W33" i="3"/>
  <c r="V33" i="3"/>
  <c r="U33" i="3"/>
  <c r="T33" i="3"/>
  <c r="S33" i="3"/>
  <c r="R33" i="3"/>
  <c r="Q33" i="3"/>
  <c r="P33" i="3"/>
  <c r="O33" i="3"/>
  <c r="N33" i="3"/>
  <c r="J35" i="3"/>
  <c r="L34" i="3"/>
  <c r="K34" i="3"/>
  <c r="J34" i="3"/>
  <c r="J33" i="3"/>
  <c r="H34" i="3"/>
  <c r="H33" i="3"/>
  <c r="X92" i="5"/>
  <c r="W92" i="5"/>
  <c r="V92" i="5"/>
  <c r="U92" i="5"/>
  <c r="T92" i="5"/>
  <c r="S92" i="5"/>
  <c r="R92" i="5"/>
  <c r="Q92" i="5"/>
  <c r="P92" i="5"/>
  <c r="O92" i="5"/>
  <c r="W91" i="5"/>
  <c r="V91" i="5"/>
  <c r="U91" i="5"/>
  <c r="T91" i="5"/>
  <c r="S91" i="5"/>
  <c r="R91" i="5"/>
  <c r="Q91" i="5"/>
  <c r="P91" i="5"/>
  <c r="O91" i="5"/>
  <c r="X90" i="5"/>
  <c r="W90" i="5"/>
  <c r="V90" i="5"/>
  <c r="U90" i="5"/>
  <c r="T90" i="5"/>
  <c r="S90" i="5"/>
  <c r="R90" i="5"/>
  <c r="Q90" i="5"/>
  <c r="P90" i="5"/>
  <c r="O90" i="5"/>
  <c r="M92" i="5"/>
  <c r="L92" i="5"/>
  <c r="K92" i="5"/>
  <c r="M91" i="5"/>
  <c r="L91" i="5"/>
  <c r="K91" i="5"/>
  <c r="M90" i="5"/>
  <c r="L90" i="5"/>
  <c r="I91" i="5"/>
  <c r="I90" i="5"/>
  <c r="AB29" i="6"/>
  <c r="Q19" i="7"/>
  <c r="P19" i="7"/>
  <c r="P18" i="7"/>
  <c r="Q17" i="7"/>
  <c r="P17" i="7"/>
  <c r="Q14" i="7"/>
  <c r="P14" i="7"/>
  <c r="Q13" i="7"/>
  <c r="P13" i="7"/>
  <c r="Y13" i="4" l="1"/>
  <c r="Z90" i="5"/>
  <c r="H35" i="7"/>
  <c r="Q34" i="7"/>
  <c r="E35" i="7"/>
  <c r="M35" i="7"/>
  <c r="D35" i="7"/>
  <c r="L35" i="7"/>
  <c r="P34" i="7"/>
  <c r="Y29" i="6"/>
  <c r="I35" i="7"/>
  <c r="C35" i="7"/>
  <c r="G35" i="7"/>
  <c r="K35" i="7"/>
  <c r="B35" i="7"/>
  <c r="F35" i="7"/>
  <c r="J35" i="7"/>
  <c r="N35" i="7"/>
  <c r="Z29" i="6"/>
  <c r="AA13" i="4"/>
  <c r="P32" i="7"/>
  <c r="Q32" i="7"/>
  <c r="Q31" i="7"/>
  <c r="P31" i="7"/>
  <c r="P22" i="7"/>
  <c r="P21" i="7"/>
  <c r="Q21" i="7"/>
  <c r="AB90" i="5"/>
  <c r="Y90" i="5"/>
  <c r="X13" i="4"/>
  <c r="K33" i="3"/>
  <c r="X33" i="3" s="1"/>
  <c r="P35" i="7" l="1"/>
  <c r="L33" i="3"/>
  <c r="AA33" i="3" s="1"/>
  <c r="Y33" i="3"/>
  <c r="N23" i="7"/>
  <c r="N36" i="7" s="1"/>
  <c r="M23" i="7"/>
  <c r="M36" i="7" s="1"/>
  <c r="L23" i="7"/>
  <c r="L36" i="7" s="1"/>
  <c r="K23" i="7"/>
  <c r="K36" i="7" s="1"/>
  <c r="J23" i="7"/>
  <c r="J36" i="7" s="1"/>
  <c r="I23" i="7"/>
  <c r="I36" i="7" s="1"/>
  <c r="H23" i="7"/>
  <c r="H36" i="7" s="1"/>
  <c r="G23" i="7"/>
  <c r="G36" i="7" s="1"/>
  <c r="F23" i="7"/>
  <c r="F36" i="7" s="1"/>
  <c r="C23" i="7"/>
  <c r="C36" i="7" s="1"/>
  <c r="B23" i="7"/>
  <c r="B36" i="7" s="1"/>
  <c r="B27" i="7"/>
  <c r="I92" i="5"/>
  <c r="H35" i="3"/>
  <c r="H30" i="7" l="1"/>
  <c r="L30" i="7"/>
  <c r="P24" i="7"/>
  <c r="G30" i="7"/>
  <c r="K30" i="7"/>
  <c r="O30" i="7"/>
  <c r="Q24" i="7"/>
  <c r="P27" i="7"/>
  <c r="Q27" i="7"/>
  <c r="J30" i="7"/>
  <c r="E30" i="7"/>
  <c r="I30" i="7"/>
  <c r="M30" i="7"/>
  <c r="F30" i="7"/>
  <c r="N30" i="7"/>
  <c r="C30" i="7"/>
  <c r="D30" i="7"/>
  <c r="B30" i="7"/>
  <c r="Y12" i="4"/>
  <c r="Z30" i="6"/>
  <c r="AB30" i="6"/>
  <c r="Z91" i="5"/>
  <c r="AB91" i="5"/>
  <c r="Z92" i="5"/>
  <c r="AB92" i="5"/>
  <c r="Y34" i="3"/>
  <c r="X34" i="3"/>
  <c r="AA34" i="3"/>
  <c r="B16" i="7"/>
  <c r="N16" i="7"/>
  <c r="M16" i="7"/>
  <c r="L16" i="7"/>
  <c r="K16" i="7"/>
  <c r="J16" i="7"/>
  <c r="I16" i="7"/>
  <c r="H16" i="7"/>
  <c r="N12" i="7"/>
  <c r="M12" i="7"/>
  <c r="L12" i="7"/>
  <c r="K12" i="7"/>
  <c r="J12" i="7"/>
  <c r="I12" i="7"/>
  <c r="H12" i="7"/>
  <c r="Z28" i="6"/>
  <c r="AB28" i="6"/>
  <c r="Y3" i="5"/>
  <c r="Z3" i="5"/>
  <c r="AA3" i="5" s="1"/>
  <c r="AB3" i="5"/>
  <c r="Y4" i="5"/>
  <c r="Z4" i="5"/>
  <c r="AA4" i="5" s="1"/>
  <c r="AB4" i="5"/>
  <c r="Y5" i="5"/>
  <c r="Z5" i="5"/>
  <c r="AA5" i="5" s="1"/>
  <c r="AB5" i="5"/>
  <c r="Y6" i="5"/>
  <c r="Z6" i="5"/>
  <c r="AA6" i="5" s="1"/>
  <c r="AB6" i="5"/>
  <c r="Y7" i="5"/>
  <c r="Z7" i="5"/>
  <c r="AA7" i="5" s="1"/>
  <c r="AB7" i="5"/>
  <c r="Y8" i="5"/>
  <c r="Z8" i="5"/>
  <c r="AA8" i="5" s="1"/>
  <c r="AB8" i="5"/>
  <c r="Y9" i="5"/>
  <c r="Z9" i="5"/>
  <c r="AA9" i="5" s="1"/>
  <c r="AB9" i="5"/>
  <c r="Y10" i="5"/>
  <c r="Z10" i="5"/>
  <c r="AA10" i="5" s="1"/>
  <c r="AB10" i="5"/>
  <c r="Y11" i="5"/>
  <c r="Z11" i="5"/>
  <c r="AA11" i="5" s="1"/>
  <c r="AB11" i="5"/>
  <c r="O16" i="7"/>
  <c r="N20" i="7" l="1"/>
  <c r="N33" i="7" s="1"/>
  <c r="M20" i="7"/>
  <c r="M33" i="7" s="1"/>
  <c r="O18" i="7"/>
  <c r="X91" i="5"/>
  <c r="Y91" i="5" s="1"/>
  <c r="K20" i="7"/>
  <c r="K33" i="7" s="1"/>
  <c r="H20" i="7"/>
  <c r="H33" i="7" s="1"/>
  <c r="I20" i="7"/>
  <c r="I33" i="7" s="1"/>
  <c r="J20" i="7"/>
  <c r="J33" i="7" s="1"/>
  <c r="Q30" i="7"/>
  <c r="P30" i="7"/>
  <c r="L20" i="7"/>
  <c r="L33" i="7" s="1"/>
  <c r="Y28" i="6"/>
  <c r="AA12" i="4"/>
  <c r="Y30" i="6"/>
  <c r="X12" i="4"/>
  <c r="Y92" i="5"/>
  <c r="O32" i="3"/>
  <c r="X3" i="3"/>
  <c r="Y3" i="3"/>
  <c r="Z3" i="3" s="1"/>
  <c r="Q18" i="7" l="1"/>
  <c r="O22" i="7"/>
  <c r="O15" i="7"/>
  <c r="W35" i="3"/>
  <c r="O12" i="7"/>
  <c r="O20" i="7" s="1"/>
  <c r="O33" i="7" s="1"/>
  <c r="Q22" i="7" l="1"/>
  <c r="O35" i="7"/>
  <c r="Q35" i="7" s="1"/>
  <c r="O23" i="7"/>
  <c r="O36" i="7" s="1"/>
  <c r="E16" i="7" l="1"/>
  <c r="G12" i="7" l="1"/>
  <c r="G16" i="7"/>
  <c r="F16" i="7"/>
  <c r="F12" i="7"/>
  <c r="C16" i="7"/>
  <c r="C12" i="7"/>
  <c r="X89" i="5"/>
  <c r="W89" i="5"/>
  <c r="V89" i="5"/>
  <c r="U89" i="5"/>
  <c r="T89" i="5"/>
  <c r="S89" i="5"/>
  <c r="R89" i="5"/>
  <c r="Q89" i="5"/>
  <c r="P89" i="5"/>
  <c r="O89" i="5"/>
  <c r="K89" i="5"/>
  <c r="W32" i="3"/>
  <c r="V32" i="3"/>
  <c r="U32" i="3"/>
  <c r="T32" i="3"/>
  <c r="S32" i="3"/>
  <c r="R32" i="3"/>
  <c r="Q32" i="3"/>
  <c r="P32" i="3"/>
  <c r="N32" i="3"/>
  <c r="H32" i="3"/>
  <c r="AA3" i="3"/>
  <c r="Y89" i="5" l="1"/>
  <c r="C20" i="7"/>
  <c r="C33" i="7" s="1"/>
  <c r="Q16" i="7"/>
  <c r="F20" i="7"/>
  <c r="G20" i="7"/>
  <c r="G33" i="7" s="1"/>
  <c r="Z89" i="5"/>
  <c r="X14" i="4"/>
  <c r="Y14" i="4"/>
  <c r="D16" i="7"/>
  <c r="P16" i="7" s="1"/>
  <c r="AB89" i="5"/>
  <c r="AA14" i="4"/>
  <c r="F33" i="7" l="1"/>
  <c r="K32" i="3" l="1"/>
  <c r="X32" i="3" s="1"/>
  <c r="K35" i="3"/>
  <c r="X35" i="3" s="1"/>
  <c r="E12" i="7"/>
  <c r="Q12" i="7" s="1"/>
  <c r="B12" i="7"/>
  <c r="B20" i="7" s="1"/>
  <c r="B33" i="7" s="1"/>
  <c r="E15" i="7"/>
  <c r="Q15" i="7" s="1"/>
  <c r="M24" i="3"/>
  <c r="D15" i="7"/>
  <c r="Y32" i="3" l="1"/>
  <c r="E20" i="7"/>
  <c r="D23" i="7"/>
  <c r="P15" i="7"/>
  <c r="Y35" i="3"/>
  <c r="E23" i="7"/>
  <c r="D12" i="7"/>
  <c r="L32" i="3"/>
  <c r="AA32" i="3" s="1"/>
  <c r="L35" i="3"/>
  <c r="AA35" i="3" s="1"/>
  <c r="E33" i="7" l="1"/>
  <c r="Q33" i="7" s="1"/>
  <c r="Q20" i="7"/>
  <c r="Q23" i="7"/>
  <c r="E36" i="7"/>
  <c r="Q36" i="7" s="1"/>
  <c r="P12" i="7"/>
  <c r="D20" i="7"/>
  <c r="P23" i="7"/>
  <c r="D36" i="7"/>
  <c r="P36" i="7" l="1"/>
  <c r="P20" i="7"/>
  <c r="D33" i="7"/>
  <c r="P33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Magdalena Nieradko</author>
  </authors>
  <commentList>
    <comment ref="R31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Magdalena Nieradko:</t>
        </r>
        <r>
          <rPr>
            <sz val="9"/>
            <color indexed="81"/>
            <rFont val="Tahoma"/>
            <family val="2"/>
            <charset val="238"/>
          </rPr>
          <t xml:space="preserve">
* Kwota dofinansowania zmniejszona do limitu dostępnych środków Rządowego Funduszu Rozwoju Dróg; zwiększenie dofinansowania możliwe w przypadku wystąpienia oszczędności. W przypadku braku oszczędności w Funduszu, realizacja zadania będzie wymagała zabezpieczenia wkładu własnego wnioskodawcy w większej wysokości.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Magdalena Nieradko</author>
  </authors>
  <commentList>
    <comment ref="S88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Magdalena Nieradko:</t>
        </r>
        <r>
          <rPr>
            <sz val="9"/>
            <color indexed="81"/>
            <rFont val="Tahoma"/>
            <family val="2"/>
            <charset val="238"/>
          </rPr>
          <t xml:space="preserve">
* Kwota dofinansowania zmniejszona do limitu dostępnych środków Rządowego Funduszu Rozwoju Dróg; zwiększenie dofinansowania możliwe w przypadku wystąpienia oszczędności. W przypadku braku oszczędności w Funduszu, realizacja zadania będzie wymagała zabezpieczenia wkładu własnego wnioskodawcy w większej wysokości.</t>
        </r>
      </text>
    </comment>
  </commentList>
</comments>
</file>

<file path=xl/sharedStrings.xml><?xml version="1.0" encoding="utf-8"?>
<sst xmlns="http://schemas.openxmlformats.org/spreadsheetml/2006/main" count="1337" uniqueCount="611">
  <si>
    <t>Podsumowanie naboru:</t>
  </si>
  <si>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</si>
  <si>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</si>
  <si>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</si>
  <si>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</si>
  <si>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</si>
  <si>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</si>
  <si>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</si>
  <si>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Długość odcinka (w km)</t>
  </si>
  <si>
    <t>Ogółem wartość projektu  (w zł)</t>
  </si>
  <si>
    <t>Wnioskowana kwota dofinansowania (w zł)</t>
  </si>
  <si>
    <t>% dofinansowania</t>
  </si>
  <si>
    <t>Kwota dofinansowania w podziale na lata</t>
  </si>
  <si>
    <t>Deklarowana kwota środków własnych (w zł)</t>
  </si>
  <si>
    <t>x</t>
  </si>
  <si>
    <t>Powiat</t>
  </si>
  <si>
    <t>Wnioskowana kwota dofinansowania
(w zł)</t>
  </si>
  <si>
    <t>Wnioskowana kwota dofinansowania
 (w zł)</t>
  </si>
  <si>
    <t>ZATWIERDZAM</t>
  </si>
  <si>
    <t>………………………………………………………………………………….</t>
  </si>
  <si>
    <t>Wartość zadań ogółem</t>
  </si>
  <si>
    <t>Deklarowana kwota środków własnych</t>
  </si>
  <si>
    <t>Kwota dofinasowania ogółem</t>
  </si>
  <si>
    <t>RAZEM listy rezerwowe</t>
  </si>
  <si>
    <t>Okres realizacji zadania</t>
  </si>
  <si>
    <t>B - budowa (rozbudowa), P - przebudowa, R - remont</t>
  </si>
  <si>
    <t>kolorem czerwonym oznaczono zadania wieloletnie</t>
  </si>
  <si>
    <t>Rodzaj zadania</t>
  </si>
  <si>
    <r>
      <t>Okres realizacji zadania</t>
    </r>
    <r>
      <rPr>
        <b/>
        <vertAlign val="superscript"/>
        <sz val="8"/>
        <color rgb="FF000000"/>
        <rFont val="Arial"/>
        <family val="2"/>
        <charset val="238"/>
      </rPr>
      <t/>
    </r>
  </si>
  <si>
    <t>spr-lata</t>
  </si>
  <si>
    <t>spr-procent</t>
  </si>
  <si>
    <t>spr-dof</t>
  </si>
  <si>
    <t>spr-montaż</t>
  </si>
  <si>
    <t>TERC</t>
  </si>
  <si>
    <t>RAZEM listy</t>
  </si>
  <si>
    <t>Liczba zadań</t>
  </si>
  <si>
    <t>N - zadanie nowe, W - nowe zadanie wieloletnie</t>
  </si>
  <si>
    <t>powiatowe - lista podstawowa, z tego:</t>
  </si>
  <si>
    <t>kontynuowane zadania wieloletnie</t>
  </si>
  <si>
    <t>nowe zadania jednoroczne</t>
  </si>
  <si>
    <t>nowe zadania wieloletnie</t>
  </si>
  <si>
    <t>gminne - lista podstawowa, z tego:</t>
  </si>
  <si>
    <t>RAZEM listy podstawowe, z tego:</t>
  </si>
  <si>
    <t>N - nowe zadanie jednoroczne, K - kontynuowane zadanie wieloletnie z wcześniejszego naboru, W - nowe zadanie wieloletnie</t>
  </si>
  <si>
    <t>Zadanie nowe/kontynuowane/wieloletnie [N/K/W]</t>
  </si>
  <si>
    <t>RAZEM, z tego:</t>
  </si>
  <si>
    <t>Zadanie nowe/wieloletnie [N/W]</t>
  </si>
  <si>
    <t>Lista zadań rekomendowanych do dofinansowania w ramach Rządowego Funduszu Rozwoju Dróg</t>
  </si>
  <si>
    <t>* Kwota dofinansowania zmniejszona do limitu dostępnych środków Rządowego Funduszu Rozwoju Dróg; zwiększenie dofinansowania możliwe w przypadku wystąpienia oszczędności. W przypadku braku oszczędności w Funduszu, realizacja zadania będzie wymagała zabezpieczenia wkładu własnego wnioskodawcy w większej wysokości.</t>
  </si>
  <si>
    <t>FDS/P/53/2021</t>
  </si>
  <si>
    <t>K</t>
  </si>
  <si>
    <t>Powiat Chełmski</t>
  </si>
  <si>
    <t>Przebudowa drogi powiatowej Nr 1823L od km 4+118 do km 20+533 na odcinku Nowiny - Rudka, drogi powiatowej nr 1824L od km 0+000 do km 6+519,65 na odcinku Ruda-Kolonia - Rudka oraz drogi powiatowej Nr 1828L od km 0+000 do km 5+548,08 na odcinku Srebrzyszcze - Gotówka</t>
  </si>
  <si>
    <t>P</t>
  </si>
  <si>
    <t>FDS/P/51/2021</t>
  </si>
  <si>
    <t>Budowa i przebudowa drogi powiatowej Nr 1805L od km 8+700 do km 20+180,01 na odcinku Święcica - Czułczyce Duże oraz drogi powiatowej Nr 1819L od km 0+000 do km 1+554,05 oraz od km 5+690 do km 7+500,03 na odcinku Staw - Krobonosz</t>
  </si>
  <si>
    <t>B</t>
  </si>
  <si>
    <t>FDS/P/27/2021</t>
  </si>
  <si>
    <t>Powiat Kraśnicki</t>
  </si>
  <si>
    <t>Rozbudowa drogi powiatowej nr 2745L Al.Tysiąclecia w Kraśniku na odcinku od km 0+026 do km 1+243</t>
  </si>
  <si>
    <t>FDS/P/24/2021</t>
  </si>
  <si>
    <t>Powiat Bialski</t>
  </si>
  <si>
    <t>Rozbudowa dróg powiatowych Nr 1006L (Olszanka) gr.woj. - Kożuszki - Krzewica odc. dr. kraj Nr 2 - Kożuszki i Nr 1007L (Próchenki) gr.woj. - Kożuszki - gr.woj. (Mostów-Huszlew)</t>
  </si>
  <si>
    <t>FDS/P/17/2021</t>
  </si>
  <si>
    <t>Powiat Rycki</t>
  </si>
  <si>
    <t>Przebudowa drogi powiatowej Nr 1438L od km 1+535 do km 8+670 oraz drogi powiatowej Nr 1440L od km 2+941 do km 4+372 w ramach zadania pn.: „Szybciej i bezpieczniej z Dęblina do Ryk – II etap”</t>
  </si>
  <si>
    <t>FDS/P/52/2021</t>
  </si>
  <si>
    <t>Przebudowa drogi powiatowej nr 1814L od km 0+000 do km 8+288,12 na odcinku Pawłów-Liszno, drogi powiatowej nr 1815L od km 0+000 do km 4+647,75 na odcinku ul. Chełmska w Mieście Rejowiec Fabryczny - Krasne oraz drogi powiatowej Nr 1869L na odcinku od km 0+000 do km 1+369,11, ul. Wiejska w mieście Rejowiec Fabryczny</t>
  </si>
  <si>
    <t>RFRD/20/P/2022</t>
  </si>
  <si>
    <t>Powiat Biłgorajski</t>
  </si>
  <si>
    <t>Przebudowa dróg powiatowych Nr 2930L - ul. Graniczna i 2994L - ul. Polna w Biłgoraju</t>
  </si>
  <si>
    <t>RFRD/40/P/2022</t>
  </si>
  <si>
    <t>Powiat Opolski</t>
  </si>
  <si>
    <t>Przebudowa ciągu drogowego dróg powiatowych nr 2637L Józefów nad Wisłą - Chruślina - Wierzbica dł. 4,300 km oraz 2635L Niesiołowice - Nietrzeba, dł. 3,920 km</t>
  </si>
  <si>
    <t>RFRD/31/P/2022</t>
  </si>
  <si>
    <t>Rozbudowa drogi powiatowej nr 1010L Międzyrzec Podlaski (ul. Drohicka) - Zasiadki - gr.woj. (Huszlew) oraz przebudowa drogi powiatowej nr 1008L Łuniew - Łukowisko - Manie - dr.kraj. Nr 2</t>
  </si>
  <si>
    <t>RFRD/50/P/2022</t>
  </si>
  <si>
    <t>Przebudowa drogi powiatowej Nr 2639L Józefów - Dzierzkowice</t>
  </si>
  <si>
    <t>FDS/G/141/2021</t>
  </si>
  <si>
    <t>Gmina Zakrzówek</t>
  </si>
  <si>
    <t>0607102</t>
  </si>
  <si>
    <t>kraśnicki</t>
  </si>
  <si>
    <t>Budowa drogi gminnej nr 108348L wraz z mostem w miejscowości Bystrzyca na rzece Bystrzyca</t>
  </si>
  <si>
    <t>RFRD/109/G/2022</t>
  </si>
  <si>
    <t>Gmina Zamość</t>
  </si>
  <si>
    <t>0620142</t>
  </si>
  <si>
    <t>zamojski</t>
  </si>
  <si>
    <t xml:space="preserve">Rozbudowa dróg gminnych nr 110381L i 110382L w m. Szopinek </t>
  </si>
  <si>
    <t>RFRD/170/G/2022</t>
  </si>
  <si>
    <t>Gmina Miasto Biłgoraj</t>
  </si>
  <si>
    <t>0602011</t>
  </si>
  <si>
    <t>biłgorajski</t>
  </si>
  <si>
    <t>Rozbudowa drogi gminnej nr 115209L ulica Piłsudskiego od km 0+004,50 do km 0+210 oraz od km 0+234 do km 1+406 w Biłgoraju</t>
  </si>
  <si>
    <t>RFRD/262/G/2022</t>
  </si>
  <si>
    <t>Gmina Ryki</t>
  </si>
  <si>
    <t>0616043</t>
  </si>
  <si>
    <t>rycki</t>
  </si>
  <si>
    <t xml:space="preserve">Budowa ciągu dróg gminnych w m. Ryki i Swaty od km 0+000 do km 2+369 oraz od km 0+000 do km 1+113 </t>
  </si>
  <si>
    <t>RFRD/169/G/2022</t>
  </si>
  <si>
    <t>Przebudowa drogi gminnej nr 115205L - ulica Narutowicza od km 0+004,70 do km 0+495,50 oraz budowa drogi gminnej nr 115205L - ulica Narutowicza od km 0+495,50 do km 1+208,06 w Biłgoraju</t>
  </si>
  <si>
    <t>RFRD/81/G/2022</t>
  </si>
  <si>
    <t>Gmina Miejska Świdnik</t>
  </si>
  <si>
    <t>0617011</t>
  </si>
  <si>
    <t>świdnicki</t>
  </si>
  <si>
    <t>Budowa ul. Chryzantemowej w Świdniku</t>
  </si>
  <si>
    <t>RFRD/79/G/2022</t>
  </si>
  <si>
    <t>Gmina Jabłonna</t>
  </si>
  <si>
    <t>0609062</t>
  </si>
  <si>
    <t>lubelski</t>
  </si>
  <si>
    <t>Przebudowa dróg gminnych Nr 107172L od km 0+158 do km 1+119, Nr 107173L od km 1+550 do km 1+971, Nr 107175L od km 0+003 do km 1+379 w Jabłonnie Drugiej</t>
  </si>
  <si>
    <t>RFRD/69/G/2022</t>
  </si>
  <si>
    <t>Gmina Włodawa</t>
  </si>
  <si>
    <t>0619062</t>
  </si>
  <si>
    <t>włodawski</t>
  </si>
  <si>
    <t>Rozbudowa drogi gminnej nr 117331L na odcinku od km 0+000 do km 1+702,82, rozbudowa drogi gminnej nr 104159L na odcinku od km 0+000 do km 0+409,46 oraz na dz.nr 552 na odcinku od km 0+000 do km 0+494,11 w miejscowości Stawki</t>
  </si>
  <si>
    <t>RFRD/116/G/2022</t>
  </si>
  <si>
    <t>Budowa drogi gminnej nr 108358L w miejscowości Sulów na odcinku 450 mb wraz z budową mostu na rzece Bystrzyca</t>
  </si>
  <si>
    <t>0661011</t>
  </si>
  <si>
    <t>0662011</t>
  </si>
  <si>
    <t>0664011</t>
  </si>
  <si>
    <t>0614083</t>
  </si>
  <si>
    <t>0609142</t>
  </si>
  <si>
    <t>0610033</t>
  </si>
  <si>
    <t>0617022</t>
  </si>
  <si>
    <t>0606011</t>
  </si>
  <si>
    <t>0609102</t>
  </si>
  <si>
    <t>0609132</t>
  </si>
  <si>
    <t>0618011</t>
  </si>
  <si>
    <t>0601021</t>
  </si>
  <si>
    <t>0609052</t>
  </si>
  <si>
    <t>0620052</t>
  </si>
  <si>
    <t>0607092</t>
  </si>
  <si>
    <t>0608072</t>
  </si>
  <si>
    <t>0610062</t>
  </si>
  <si>
    <t>0607083</t>
  </si>
  <si>
    <t>0603113</t>
  </si>
  <si>
    <t>0620133</t>
  </si>
  <si>
    <t>0620092</t>
  </si>
  <si>
    <t>0608032</t>
  </si>
  <si>
    <t>0611102</t>
  </si>
  <si>
    <t>0607042</t>
  </si>
  <si>
    <t>0611042</t>
  </si>
  <si>
    <t>0611032</t>
  </si>
  <si>
    <t>0608103</t>
  </si>
  <si>
    <t>0614112</t>
  </si>
  <si>
    <t>0618112</t>
  </si>
  <si>
    <t>0608063</t>
  </si>
  <si>
    <t>0602123</t>
  </si>
  <si>
    <t>0617033</t>
  </si>
  <si>
    <t>0609122</t>
  </si>
  <si>
    <t>0615042</t>
  </si>
  <si>
    <t>0611011</t>
  </si>
  <si>
    <t>0602063</t>
  </si>
  <si>
    <t>0605063</t>
  </si>
  <si>
    <t>0614092</t>
  </si>
  <si>
    <t>0605053</t>
  </si>
  <si>
    <t>0601011</t>
  </si>
  <si>
    <t>0607023</t>
  </si>
  <si>
    <t>0602053</t>
  </si>
  <si>
    <t>0611062</t>
  </si>
  <si>
    <t>0617042</t>
  </si>
  <si>
    <t>0608112</t>
  </si>
  <si>
    <t>0603092</t>
  </si>
  <si>
    <t>0611112</t>
  </si>
  <si>
    <t>0618032</t>
  </si>
  <si>
    <t>0605032</t>
  </si>
  <si>
    <t>0602082</t>
  </si>
  <si>
    <t>0611072</t>
  </si>
  <si>
    <t>0605022</t>
  </si>
  <si>
    <t>0603142</t>
  </si>
  <si>
    <t>0604052</t>
  </si>
  <si>
    <t>0614052</t>
  </si>
  <si>
    <t>0620153</t>
  </si>
  <si>
    <t>0603082</t>
  </si>
  <si>
    <t>0613012</t>
  </si>
  <si>
    <t>0601052</t>
  </si>
  <si>
    <t>0603042</t>
  </si>
  <si>
    <t>0609092</t>
  </si>
  <si>
    <t>0602092</t>
  </si>
  <si>
    <t>0614011</t>
  </si>
  <si>
    <t>bialski</t>
  </si>
  <si>
    <t>chełmski</t>
  </si>
  <si>
    <t>janowski</t>
  </si>
  <si>
    <t>krasnostawski</t>
  </si>
  <si>
    <t>lubartowski</t>
  </si>
  <si>
    <t>łęczyński</t>
  </si>
  <si>
    <t>łukowski</t>
  </si>
  <si>
    <t>parczewski</t>
  </si>
  <si>
    <t>puławski</t>
  </si>
  <si>
    <t>radzyński</t>
  </si>
  <si>
    <t>tomaszowski</t>
  </si>
  <si>
    <t>hrubieszowski</t>
  </si>
  <si>
    <t>0614</t>
  </si>
  <si>
    <t>0610</t>
  </si>
  <si>
    <t>0611</t>
  </si>
  <si>
    <t>0609</t>
  </si>
  <si>
    <t>0602</t>
  </si>
  <si>
    <t>0616</t>
  </si>
  <si>
    <t>0615</t>
  </si>
  <si>
    <t>0612</t>
  </si>
  <si>
    <t>0613</t>
  </si>
  <si>
    <t>0607</t>
  </si>
  <si>
    <t>0605</t>
  </si>
  <si>
    <t>0608</t>
  </si>
  <si>
    <t>0620</t>
  </si>
  <si>
    <t>0606</t>
  </si>
  <si>
    <t>0601</t>
  </si>
  <si>
    <t>0603</t>
  </si>
  <si>
    <t>RFRD/23/P/2023</t>
  </si>
  <si>
    <t>W</t>
  </si>
  <si>
    <t>Przebudowa drogi powiatowej nr 2726L Wilkołaz - Zakrzówek</t>
  </si>
  <si>
    <t>06.2023-09.2024</t>
  </si>
  <si>
    <t>RFRD/20/P/2023</t>
  </si>
  <si>
    <t>N</t>
  </si>
  <si>
    <t>Powiat Lubelski</t>
  </si>
  <si>
    <t>Rozbudowa drogi powiatowej nr 2264L Lublin - Zemborzyce Tereszyńskie - rondo "Marynin" na odcinku od obwodnicy do granicy z miastem Lublin (skrzyżowanie z ul. Sarnią) - etap I</t>
  </si>
  <si>
    <t>04.2023 - 12.2023</t>
  </si>
  <si>
    <t>RFRD/10/P/2023</t>
  </si>
  <si>
    <t>Powiat Łukowski</t>
  </si>
  <si>
    <t>Przebudowa dróg powiatowych: 1213 km 2+140 do 4+135 w miejscowości Malcanów i nr 1320L km 0+028 do 8+602 odcinek Świdry - Rzymy - Rzymki</t>
  </si>
  <si>
    <t>07.2023 - 06.2024</t>
  </si>
  <si>
    <t>RFRD/27/P/2023</t>
  </si>
  <si>
    <t>Powiat Łęczyński</t>
  </si>
  <si>
    <t>Przebudowa wraz z rozbudową drogi powiatowej nr 2015L Puchaczów - Ciechanki - Kajetanówka od km 0+008,73 do km 8+255,00</t>
  </si>
  <si>
    <t>05.2023 - 12.2023</t>
  </si>
  <si>
    <t>RFRD/21/P/2023</t>
  </si>
  <si>
    <t>Rozbudowa drogi powiatowej nr 2290L Sobieszczany - Załucze, gmina Niedrzwica Duża i gmina Strzyżewice z wyłączeniem odcinka pod budowę S-19</t>
  </si>
  <si>
    <t>RFRD/17/P/2023</t>
  </si>
  <si>
    <t>Miasto Zamość</t>
  </si>
  <si>
    <t xml:space="preserve">Przebudowa ulic: Wojska Polskiego i Starowiejskiej </t>
  </si>
  <si>
    <t>04.2023 - 11.2023</t>
  </si>
  <si>
    <t>RFRD/16/P/2023</t>
  </si>
  <si>
    <t>Powiat Krasnostawski</t>
  </si>
  <si>
    <t>Rozbudowa drogi powiatowej nr 3147L Wólka Orłowska - Kalinówka - Skierbieszów od km 5+080 do km 7+589</t>
  </si>
  <si>
    <t>05.2023 - 11.2023</t>
  </si>
  <si>
    <t>RFRD/7/P/2023</t>
  </si>
  <si>
    <t>Powiat Zamojski</t>
  </si>
  <si>
    <t>Budowa drogi powiatowej Nr 3272L Karp - Cześniki - Wolica Śniatycka na odcinku od km 3+210,00 do km 5+505,25</t>
  </si>
  <si>
    <t>RFRD/8/P/2023</t>
  </si>
  <si>
    <t>Przebudowa drogi powiatowej Nr 2934L Księżpol - Harasiuki - etap I</t>
  </si>
  <si>
    <t>05.2023 - 10.2023</t>
  </si>
  <si>
    <t>RFRD/11/P/2023</t>
  </si>
  <si>
    <t>Przebudowa drogi powiatowej Nr 1311L km 2+673 do 4+243 odcinek Wólka Świątkowa, km 7+691 do 9+867 odcinek Krynka - granica powiatu</t>
  </si>
  <si>
    <t>RFRD/13/P/2023</t>
  </si>
  <si>
    <t>Powiat Radzyński</t>
  </si>
  <si>
    <t>Przebudowa drogi powiatowej Nr 1250L na odcinku Borki - Tchórzew - Bełcząc od km 0+021 do km 8+873</t>
  </si>
  <si>
    <t>05.2023 - 04.2024</t>
  </si>
  <si>
    <t>RFRD/5/P/2023</t>
  </si>
  <si>
    <t>Rozbudowa drogi powiatowej nr 1068L Biała Podlaska (ul. Sidorska) - Ogrodniki - Piszczac w miejscowości Czosnówka</t>
  </si>
  <si>
    <t>05.2023 - 08.2025</t>
  </si>
  <si>
    <t>RFRD/6/P/2023</t>
  </si>
  <si>
    <t>Przebudowa drogi powiatowej Nr 3240L Świdniki - Żuków - Żuków Łagodziński - Rozdoły</t>
  </si>
  <si>
    <t>RFRD/4/P/2023</t>
  </si>
  <si>
    <t>Budowa drogi powiatowej nr 1114L Sławacinek Nowy - Porosiuki - Sokule - Dołha - Sitno - Wysokie w miejscowości Sokule</t>
  </si>
  <si>
    <t>RFRD/14/P/2023</t>
  </si>
  <si>
    <t>Powiat Janowski</t>
  </si>
  <si>
    <t>Przebudowa drogi powiatowej nr 2828L Janów Lubelski ul. Okopowa w lokalizacji od km 0+010 do km 0+680</t>
  </si>
  <si>
    <t>RFRD/22/P/2023</t>
  </si>
  <si>
    <t>Przebudowa drogi powiatowej nr 2644L Bliskowice - Księżomierz</t>
  </si>
  <si>
    <t>06.2023 - 09.2024</t>
  </si>
  <si>
    <t>RFRD/2/P/2023</t>
  </si>
  <si>
    <t>Powiat Puławski</t>
  </si>
  <si>
    <t>Przebudowa drogi powiatowej nr 2537L od km 0+030 do km 0+410 i od km 1+630 do km 4+160</t>
  </si>
  <si>
    <t>06.2023 - 05.2024</t>
  </si>
  <si>
    <t>RFRD/1/P/2023</t>
  </si>
  <si>
    <t>Powiat Parczewski</t>
  </si>
  <si>
    <t>Przebudowa drogi powiatowej nr 1610L na odcinku od torów kolejowych do miejscowości Gródek Szlachecki</t>
  </si>
  <si>
    <t>03.2023 - 12.2023</t>
  </si>
  <si>
    <t>RFRD/24/P/2023</t>
  </si>
  <si>
    <t>Powiat Lubartowski</t>
  </si>
  <si>
    <t>Przebudowa drogi powiatowej nr 1359L ((Admów - Krzówka) - Przytoczno - do dr.kraj. Nr 48) - etap I</t>
  </si>
  <si>
    <t>RFRD/19/P/2023</t>
  </si>
  <si>
    <t>Przebudowa drogi powiatowej nr 2247L Chodel - Borzechów - Wilkołaz na odcinku od km 3+029 do km 7+095, dł. 4,066 km</t>
  </si>
  <si>
    <t>03.2023 - 11.2023</t>
  </si>
  <si>
    <t>RFRD/26/P/2023</t>
  </si>
  <si>
    <t>Przebudowa drogi powiatowej nr 1808L w miejscowości Stręczyn od km 3+280,00 do km 7+312,00</t>
  </si>
  <si>
    <t>RFRD/3/P/2023</t>
  </si>
  <si>
    <t>Przebudowa drogi powiatowej nr 2521L Leokadiów - Piskorów na odcinku od km 8+229 do km 10+986</t>
  </si>
  <si>
    <t>RFRD/25/P/2023</t>
  </si>
  <si>
    <t>Przebudowa drogi powiatowej nr 1566L w miejscowości Nowa Jedlanka</t>
  </si>
  <si>
    <t>RFRD/29/P/2023</t>
  </si>
  <si>
    <t>Przebudowa drogi powiatowej nr 3129L od km 4+238,35 do km 6+289,78 na odcinku Niedziałowice Drugie - Bańkowszczyzna</t>
  </si>
  <si>
    <t>RFRD/18/P/2023</t>
  </si>
  <si>
    <t>Przebudowa drogi powiatowej nr 2604L Wilków - Majdany - Zakrzów - Janiszów na odcinku od km 15+390 do km 17+870 dł. 2,480 km</t>
  </si>
  <si>
    <t>RFRD/9/P/2023</t>
  </si>
  <si>
    <t>Przebudowa drogi powiatowej Nr 2944L Podsośnina Łukowska - Tarnogród - etap I</t>
  </si>
  <si>
    <t>RFRD/12/P/2023</t>
  </si>
  <si>
    <t>Przebudowa drogi powiatowej Nr 1206L od dr. krajowej nr 63 Stok - Gąsiory - Główne od km 0+012 do km 10+022</t>
  </si>
  <si>
    <t>RFRD/28/P/2023</t>
  </si>
  <si>
    <t>Przebudowa drogi powiatowej nr 1859L od km 11+286,59 do km 13+258,94 na odcinku Putnowice Wielkie - Busieniec</t>
  </si>
  <si>
    <t>RFRD/13/G/2023</t>
  </si>
  <si>
    <t>Miasto Tomaszów Lubelski</t>
  </si>
  <si>
    <t>Rozbudowa drogi gminnej Nr 112080L - ul. Krucza w Tomaszowie Lubelskim</t>
  </si>
  <si>
    <t>03.2023 - 01.2024</t>
  </si>
  <si>
    <t>RFRD/87/G/2023</t>
  </si>
  <si>
    <t>Gmina Miejska Biała Podlaska</t>
  </si>
  <si>
    <t>miasto na prawach powiatu Biała Podlaska</t>
  </si>
  <si>
    <t>Budowa ulicy łączącej ulicę Warszawską i ulicę Koncertową wraz z budową mostu na rzece Krzna w Białej Podlaskiej od km 0+000 do km 0+974,29</t>
  </si>
  <si>
    <t>04.2023 - 12.2024</t>
  </si>
  <si>
    <t>RFRD/65/G/2023</t>
  </si>
  <si>
    <t>Rozbudowa drogi gminnej nr 110378L w m. Sitaniec</t>
  </si>
  <si>
    <t>RFRD/61/G/2023</t>
  </si>
  <si>
    <t>Miasto Łuków</t>
  </si>
  <si>
    <t>Budowa ul. Królik (102416L) w m. Łuków</t>
  </si>
  <si>
    <t>04.2023 - 09.2024</t>
  </si>
  <si>
    <t>RFRD/95/G/2023</t>
  </si>
  <si>
    <t>Gmina Głusk</t>
  </si>
  <si>
    <t>Rozbudowa drogi gminnej nr 107098L ulicy Lipowej w miejscowości Kalinówka poprzez budowę chodnika wraz z budową oświetlenia drogowego</t>
  </si>
  <si>
    <t>RFRD/60/G/2023</t>
  </si>
  <si>
    <t>Budowa ul. R. Stankiewicza (114389L) i ul. B. Łukasiewicza w m. Łuków</t>
  </si>
  <si>
    <t>05.2023 - 10.2024</t>
  </si>
  <si>
    <t>RFRD/88/G/2023</t>
  </si>
  <si>
    <t>Gmina Wilkołaz</t>
  </si>
  <si>
    <t>Przebudowa drogi gminnej nr 108337L od km 0+000 do km 2+481 w m. Zalesie gm. Wilkołaz</t>
  </si>
  <si>
    <t>04.2023 - 10.2023</t>
  </si>
  <si>
    <t>RFRD/149/G/2023</t>
  </si>
  <si>
    <t>Miasto Chełm</t>
  </si>
  <si>
    <t>miasto na prawach powiatu Chełm</t>
  </si>
  <si>
    <t>Rozbudowa i przebudowa ul. Henryka Wiercieńskiego i ul. Bazylany w Chełmie wraz z infrastrukturą towarzyszącą</t>
  </si>
  <si>
    <t>02.2023 - 10.2023</t>
  </si>
  <si>
    <t>RFRD/25/G/2023</t>
  </si>
  <si>
    <t>Gmina Rejowiec Fabryczny</t>
  </si>
  <si>
    <t>Przebudowa drogi gminnej w m. Liszno (nr 104600L)</t>
  </si>
  <si>
    <t>RFRD/86/G/2023</t>
  </si>
  <si>
    <t>Budowa ulicy Jastrzębiej w Białej Podlaskiej wraz z budową kanalizacji deszczowej oraz kanału technologicznego</t>
  </si>
  <si>
    <t>RFRD/9/G/2023</t>
  </si>
  <si>
    <t>Gmina Wólka</t>
  </si>
  <si>
    <t>Przebudowa drogi gminnej nr 106065L w miejscowości Bystrzyca Gmina Wólka od km 0+000,00 do km 1+557,59</t>
  </si>
  <si>
    <t>06.2023 - 10.2023</t>
  </si>
  <si>
    <t>RFRD/45/G/2023</t>
  </si>
  <si>
    <t>Gmina Tomaszów Lubelski</t>
  </si>
  <si>
    <t>Budowa drogi gminnej w miejscowości Rogóźno, od km 0+000,00 do km 0+535,38</t>
  </si>
  <si>
    <t>RFRD/5/G/2023</t>
  </si>
  <si>
    <t xml:space="preserve">Budowa dróg gminnych: ul. Konstantego Ildefonsa Gałczyńskiego od km 0+000 do km 0+351; ul. Hansa Christiana Andersena od km 0+000 do km 0+545,50; ul. Aleksandra Fredry od km 0+000 do km 0+111 w Biłgoraju </t>
  </si>
  <si>
    <t>05.2023 - 12.2024</t>
  </si>
  <si>
    <t>RFRD/122/G/2023</t>
  </si>
  <si>
    <t>Miasto Krasnystaw</t>
  </si>
  <si>
    <t xml:space="preserve">Rozbudowa ulicy Rybiej i ul. Kołowrót w Krasnymstawie </t>
  </si>
  <si>
    <t>RFRD/77/G/2023</t>
  </si>
  <si>
    <t>Miasto Puławy</t>
  </si>
  <si>
    <t>Przebudowa drogi gminnej nr 107557L w ul. Kaniowczyków w Puławach od km 0+273,27 do km 0+724,66</t>
  </si>
  <si>
    <t>06.2023 - 12.2023</t>
  </si>
  <si>
    <t>RFRD/22/G/2023</t>
  </si>
  <si>
    <t>Rozbudowa drogi gminnej nr 107107L Kolonia Wilczopole - Majdan Mętowski wraz z budową oświetlenia drogowego</t>
  </si>
  <si>
    <t>RFRD/135/G/2023</t>
  </si>
  <si>
    <t>Miasto Międzyrzec Podlaski</t>
  </si>
  <si>
    <t>Przebudowa drogi gminnej nr 101670L od km 1+590,00 do km 2+546,00 ulica Warszawska w Międzyrzecu Podlaskim</t>
  </si>
  <si>
    <t>RFRD/109/G/2023</t>
  </si>
  <si>
    <t>Gmina Annopol</t>
  </si>
  <si>
    <t>Przebudowa drogi gminnej w Annopolu - ul. Świeciechowska od km 0+004 do km 0+410</t>
  </si>
  <si>
    <t>RFRD/46/G/2023</t>
  </si>
  <si>
    <t>Budowa ulicy Witolda Pileckiego w Świdniku wraz z infrastrukturą towarzyszącą</t>
  </si>
  <si>
    <t>RFRD/27/G/2023</t>
  </si>
  <si>
    <t>Przebudowa drogi gminnej nr 108345L od km 0+000 do km 1+870 w m. Ostrów gm. Wilkołaz</t>
  </si>
  <si>
    <t>RFRD/6/G/2023</t>
  </si>
  <si>
    <t>Przebudowa drogi gminnej nr 109251 L ul. Melchiora Wańkowicza od km 0+004,50 do km 0+316,50 oraz łącznika od km 0+000,00 do km 0+086,36 w Biłgoraju</t>
  </si>
  <si>
    <t xml:space="preserve">04.2023 - 12.2023 </t>
  </si>
  <si>
    <t>RFRD/70/G/2023</t>
  </si>
  <si>
    <t>Gmina Żyrzyn</t>
  </si>
  <si>
    <t>Przebudowa drogi gminnej nr 107459L na odcinku od km 0+007,30 do km 0+698,20 w miejscowości Żyrzyn</t>
  </si>
  <si>
    <t>04.2023 - 09.2023</t>
  </si>
  <si>
    <t>RFRD/76/G/2023</t>
  </si>
  <si>
    <t>Przebudowa drogi gminnej nr 107565L w ul. Kościuszki w Puławach od km 0+000,00 do km 0+407,00</t>
  </si>
  <si>
    <t>06.2023 - 11.2023</t>
  </si>
  <si>
    <t>RFRFD/97/G/2023</t>
  </si>
  <si>
    <t>Gmina Siedliszcze</t>
  </si>
  <si>
    <t>Przebudowa drogi gminnej nr 104564L relacji Anusin-Lipówki od km 0+000 do km 0+380</t>
  </si>
  <si>
    <t>02.2023 - 11.2023</t>
  </si>
  <si>
    <t>RFRD/83/G/2023</t>
  </si>
  <si>
    <t>Gmina Zwierzyniec</t>
  </si>
  <si>
    <t>Przebudowa drogi gminnej nr 110776L w miejscowości Bagno</t>
  </si>
  <si>
    <t>RFRD/90/G/2023</t>
  </si>
  <si>
    <t>Gmina Łabunie</t>
  </si>
  <si>
    <t>Przebudowa drogi gminnej nr 110886L od km 0+023,64 do km 1+497,22 w miejscowości Łabuńki Pierwsze</t>
  </si>
  <si>
    <t>07.2023 - 11.2023</t>
  </si>
  <si>
    <t>RFRD/66/G/2023</t>
  </si>
  <si>
    <t>Budowa drogi gminnej nr 102878L ul. Myśliwska od km 0+002,50 do km 1+305,52 w miejscowości Ryki</t>
  </si>
  <si>
    <t>07.2023 - 12.2024</t>
  </si>
  <si>
    <t>RFRD/137/G/2023</t>
  </si>
  <si>
    <t>Gmina Końskowola</t>
  </si>
  <si>
    <t>Przebudowa drogi gminnej nr 107703L na odcinku od km 0+005,75 do km 0+724,00 i od km 0+724,00 do km 1+182,60 w msc. Młynki</t>
  </si>
  <si>
    <t>07.2023 - 01.2024</t>
  </si>
  <si>
    <t>RFRD/56/G/2023</t>
  </si>
  <si>
    <t>Budowa drogi gminnej nr 104222L (ul. Wąwozowej) w miejscowości Różanka</t>
  </si>
  <si>
    <t>07.2023 - 12.2023</t>
  </si>
  <si>
    <t>RFRD/54/G/2023</t>
  </si>
  <si>
    <t>Gmina Niedrzwica Duża</t>
  </si>
  <si>
    <t>Przebudowa odcinka drogi gminnej nr 107070L od 0+000,00 km do 0+644,70 km w miejscowości Marianka</t>
  </si>
  <si>
    <t>RFRD/50/G/2023</t>
  </si>
  <si>
    <t>Przebudowa drogi gminnej nr 107150L w Skrzynicach Drugich od km 1+513 do km 2+708</t>
  </si>
  <si>
    <t>RFRD/142/G/2023</t>
  </si>
  <si>
    <t>Gmina Ostrówek</t>
  </si>
  <si>
    <t xml:space="preserve">Przebudowa drogi gminnej nr 103331L od km 0+005,62 do km 0+995,00 w miejscowości Zawada </t>
  </si>
  <si>
    <t>03.2023 - 08.2023</t>
  </si>
  <si>
    <t>RFRD/57/G/2023</t>
  </si>
  <si>
    <t>Przebudowa drogi gminnej nr 104105L w miejscowości Krasówka</t>
  </si>
  <si>
    <t>RFRD/114/G/2023</t>
  </si>
  <si>
    <t>Gmina Wojcieszków</t>
  </si>
  <si>
    <t>Przebudowa drogi wewnętrznej w miejscowości Wojcieszków (ul. Parkowa) - od km 0+059 do km 0+845</t>
  </si>
  <si>
    <t>RFRD/80/G/2023</t>
  </si>
  <si>
    <t>Gmina Ostrów Lubelski</t>
  </si>
  <si>
    <t>Przebudowa drogi gminnej nr 103628L w Rozkopaczewie</t>
  </si>
  <si>
    <t>RFRD/21/G/2023</t>
  </si>
  <si>
    <t>Gmina Modliborzyce</t>
  </si>
  <si>
    <t>Przebudowa drogi wewnętrznej w miejscowości Modliborzyce od km 0+000,00 do km 0+926,00</t>
  </si>
  <si>
    <t>RFRD/69/G/2023</t>
  </si>
  <si>
    <t>Gmina Dzwola</t>
  </si>
  <si>
    <t>Przebudowa dróg gminnych nr 108994L w km 0+070 do km 0+409 oraz drogi nr 109031L w km od 0+000 do km 0+236 w miejscowości Zofianka Dolna</t>
  </si>
  <si>
    <t>RFRD/143/G/2023</t>
  </si>
  <si>
    <t>Przebudowa drogi wewnętrznej w miejscowości Kamienowola od km 0+006,31 d km 0+502,10</t>
  </si>
  <si>
    <t>RFRD/51/G/2023</t>
  </si>
  <si>
    <t>Przebudowa drogi gminnej nr 107152L w Skrzynicach Pierwszych od km 0+011 do km 0+319 oraz od km 1+360 do km 2+990</t>
  </si>
  <si>
    <t>RFRD/7/G/2023</t>
  </si>
  <si>
    <t>Gmina Firlej</t>
  </si>
  <si>
    <t xml:space="preserve">Budowa drogi gminnej nr 103666 L w miejscowościach Nowy Antonin, Majdan Sobolewski - odcinek II </t>
  </si>
  <si>
    <t>RFRD/62/G/2023</t>
  </si>
  <si>
    <t>Gmina Mircze</t>
  </si>
  <si>
    <t>Przebudowa drogi gminnej nr 111450L w miejscowości Małków Nowy od km 0+000 do km 0+998</t>
  </si>
  <si>
    <t>06.2023-09.2023</t>
  </si>
  <si>
    <t>RFRD/39/G/2023</t>
  </si>
  <si>
    <t>Gmina Strzyżewice</t>
  </si>
  <si>
    <t>Przebudowa drogi gminnej nr 107133L w Pawłowie na odcinku 835 mb</t>
  </si>
  <si>
    <t>RFRD/82/G/2023</t>
  </si>
  <si>
    <t>Budowa dróg gminnych nr 116626L (ul. Nadrzeczna), nr 116649 (ul. Jóźwiakowskiego) i nr 116650 (ul. Derlatki) w Zwierzyńcu</t>
  </si>
  <si>
    <t>RFRD/17/G/2023</t>
  </si>
  <si>
    <t xml:space="preserve">Gmina Adamów </t>
  </si>
  <si>
    <t>Przebudowa drogi gminnej nr 102782L w Zakępiu</t>
  </si>
  <si>
    <t>05.2023 - 07.2023</t>
  </si>
  <si>
    <t>RFRD/139/G/2023</t>
  </si>
  <si>
    <t>Gmina Stanin</t>
  </si>
  <si>
    <t>Przebudowa drogi gminnej nr 114385L od km 0+390,00 do km 1+330,00 w miejscowości Zastawie oraz drogi wewnętrznej w miejscowości Zastawie od km 0+000,00 do km 0+145,00</t>
  </si>
  <si>
    <t>RFRD/64/G/2023</t>
  </si>
  <si>
    <t>Budowa drogi gminnej nr 110438L w m. Wólka Panieńska i Szopinek</t>
  </si>
  <si>
    <t>RFRD/78/G/2023</t>
  </si>
  <si>
    <t>Gmina Żmudź</t>
  </si>
  <si>
    <t>Przebudowa drogi gminnej nr 104993L w miejscowości Żmudź</t>
  </si>
  <si>
    <t>RFRD/104/G/2023</t>
  </si>
  <si>
    <t>Gmina Kąkolewnica</t>
  </si>
  <si>
    <t>Przebudowa dróg gminnych nr 101775L i 101776L w Grabowcu</t>
  </si>
  <si>
    <t>RFRD/58/G/2023</t>
  </si>
  <si>
    <t>Gmina Krzywda</t>
  </si>
  <si>
    <t xml:space="preserve">Przebudowa drogi gminnej nr 127059L w miejscowości Huta Dąbrowa od km 0+000,00 do km 0+893,00 </t>
  </si>
  <si>
    <t>05.2023 - 09.2023</t>
  </si>
  <si>
    <t>RFRD/26/G/2023</t>
  </si>
  <si>
    <t>Gmina Nałęczów</t>
  </si>
  <si>
    <t>Rozbudowa drogi gminnej w miejscowości Sadurki od km 0+002,80 do km 0+800</t>
  </si>
  <si>
    <t>RFRD/2/G/2023</t>
  </si>
  <si>
    <t>miasto na prawach powiatu Zamość</t>
  </si>
  <si>
    <t>Budowa drogi gminnej nr 110978L od km 0+000 do km 0+361 ulicy L. Rydla w Zamościu</t>
  </si>
  <si>
    <t>RFRD/1/G/2023</t>
  </si>
  <si>
    <t>Gmina Dębowa Kłoda</t>
  </si>
  <si>
    <t>RFRD/120/G/2023</t>
  </si>
  <si>
    <t>Przebudowa drogi gminnej nr 108353L w miejscowości Rudnik Drugi</t>
  </si>
  <si>
    <t>RFRD/85/G/2023</t>
  </si>
  <si>
    <t>Gmina Tarnogród</t>
  </si>
  <si>
    <t xml:space="preserve">Rozbudowa drogi gminnej nr 109510L ul. Kościuszki w Tarnogrodzie oraz budowa drogi gminnej w Tarnogrodzie </t>
  </si>
  <si>
    <t>RFRD/145/G/2023</t>
  </si>
  <si>
    <t>Gmina Lubartów</t>
  </si>
  <si>
    <t>Budowa dróg gminnych w miejscowości Chlewiska - odc. III, gm. Lubartów</t>
  </si>
  <si>
    <t>06.2023 - 09.2023</t>
  </si>
  <si>
    <t>RFRD/144/G/2023</t>
  </si>
  <si>
    <t>Budowa dróg gminnych w miejscowości Chlewiska - odc. II, gm. Lubartów</t>
  </si>
  <si>
    <t>RFRD/52/G/2023</t>
  </si>
  <si>
    <t>Gmina Szczebrzeszyn</t>
  </si>
  <si>
    <t>Przebudowa drogi gminnej nr 110372L Wielącza Kolonia</t>
  </si>
  <si>
    <t>05.2023- 12.2023</t>
  </si>
  <si>
    <t>RFRD/84/G/2023</t>
  </si>
  <si>
    <t xml:space="preserve">Przebudowa drogi gminnej w miejscowości Różaniec Pierwszy </t>
  </si>
  <si>
    <t>RFRD/136/G/2023</t>
  </si>
  <si>
    <t>Przebudowa drogi gminnej nr 107716L na odcinku od km 0+008 do km 0+312 w msc. Nowy Pożóg</t>
  </si>
  <si>
    <t>RFRD/117/G/2023</t>
  </si>
  <si>
    <t>Gmina Janów Podlaski</t>
  </si>
  <si>
    <t>Budowa drogi gminnej nr 100120L - ul. Ogrodowa w miejscowości Janów Podlaski</t>
  </si>
  <si>
    <t>RFRD/79/G/2023</t>
  </si>
  <si>
    <t>Przebudowa drogi gminnej nr 122379L w miejscowości Żmudź</t>
  </si>
  <si>
    <t>RFRD/127/G/2023</t>
  </si>
  <si>
    <t>Gmina Piaski</t>
  </si>
  <si>
    <t>Przebudowa drogi gminnej nr 105710L od km 0+009,00 do km 0+455,00 w miejscowości Brzeziczki</t>
  </si>
  <si>
    <t>RFRD/24/G/2023</t>
  </si>
  <si>
    <t xml:space="preserve">Gmina Krzczonów </t>
  </si>
  <si>
    <t>Przebudowa drogi gminnej nr 128524L w miejscowości Krzczonów od km 0+000 do km 0+226</t>
  </si>
  <si>
    <t>RFRD/19/G/2023</t>
  </si>
  <si>
    <t>Gmina Goraj</t>
  </si>
  <si>
    <t>Przebudowa drogi gminnej nr 109149L w miejscowości Zagrody</t>
  </si>
  <si>
    <t>RFRD/89/G/2023</t>
  </si>
  <si>
    <t>Gmina Ruda Huta</t>
  </si>
  <si>
    <t xml:space="preserve">Przebudowa drogi gminnej nr 104908L </t>
  </si>
  <si>
    <t>RFRD/115/G/2023</t>
  </si>
  <si>
    <t>Przebudowa drogi gminnej nr 102703L oraz drogi gminnej nr 102709L w miejscowości Ciężkie</t>
  </si>
  <si>
    <t>RFRD/107/G/2023</t>
  </si>
  <si>
    <t>Gmina Dorohusk</t>
  </si>
  <si>
    <t>Przebudowa drogi gminnej nr 115676L od km 0+003,28 do km 0+303,28 w miejscowości Wólka Okopska</t>
  </si>
  <si>
    <t>04.2023 - 07.2023</t>
  </si>
  <si>
    <t>RFRD/16/G/2023</t>
  </si>
  <si>
    <t>Gmina Sitno</t>
  </si>
  <si>
    <t>Przebudowa drogi gminnej Nr 116278L od km 0+000 do km 0+583,90 w m. Cześniki Kolonia, gm. Sitno</t>
  </si>
  <si>
    <t>09.2023 - 06.2024</t>
  </si>
  <si>
    <t>RFRD/116/G/2023</t>
  </si>
  <si>
    <t>Budowa drogi gminnej nr 100064L - ul. Kwiatowa w miejscowości Janów Podlaski</t>
  </si>
  <si>
    <t>RFRD/37/G/2023</t>
  </si>
  <si>
    <t>Gmina Kock</t>
  </si>
  <si>
    <t>Przebudowa drogi gminnej nr 112625 L w miejscowości Annopol</t>
  </si>
  <si>
    <t>RFRD/148/G/2023</t>
  </si>
  <si>
    <t>Przebudowa dróg gminnych - ul. Piaskowej, ul. Marii Curie-Skłodowskiej i ul. Wojciecha Kossaka w Chełmie</t>
  </si>
  <si>
    <t>RFRD/38/G/2023</t>
  </si>
  <si>
    <t>Przebudowa drogi gminnej nr 107143L w Kiełczewicach Górnych na odcinku 730 mb</t>
  </si>
  <si>
    <t>RFRD/10/G/2023</t>
  </si>
  <si>
    <t>Gmina Gościeradów</t>
  </si>
  <si>
    <t>Przebudowa drogi gminnej Nr 108576L Szczecyn - Wólka Szczecka od km 0+995,00 do km 1+497,08 w miejscowości Szczecyn, Gmina Gościeradów</t>
  </si>
  <si>
    <t>RFRD/74/G/2023</t>
  </si>
  <si>
    <t>Gmina Jarczów</t>
  </si>
  <si>
    <t>Przebudowa drogi wewnętrznej w miejscowości Jarczów ul. Kopernika od km 0+000,00 do km 0+210,00 o długości 0,210 km</t>
  </si>
  <si>
    <t>RFRD/67/G/2023</t>
  </si>
  <si>
    <t>Przebudowa drogi gminnej nr 102858L ul. Górna od km +010,50 do km 0+998 w miejscowości Ryki</t>
  </si>
  <si>
    <t>RFRD/123/G/2023</t>
  </si>
  <si>
    <t>Przebudowa drogi gminnej nr 109796L ul. Makowej w Krasnymstawie</t>
  </si>
  <si>
    <t>RFRD/68/G/2023</t>
  </si>
  <si>
    <t>Przebudowa drogi gminnej nr 109026L w km 0+720 do km 1+580 w miejscowości Kocudza Trzecia</t>
  </si>
  <si>
    <t>RFRD/99/G/2023</t>
  </si>
  <si>
    <t>Gmina Wola Mysłowska</t>
  </si>
  <si>
    <t>Przebudowa drogi gminnej nr 102612L od km 2+610,00 do km 3+609,00 w miejscowości Wólka Ciechomska</t>
  </si>
  <si>
    <t>RFRD/47/G/2023</t>
  </si>
  <si>
    <t>Budowa ulicy Kopera w Świdniku wraz z infrastrukturą towarzyszącą</t>
  </si>
  <si>
    <t>RFRD/59/G/2023</t>
  </si>
  <si>
    <t>Przebudowa drogi gminnej nr 127040L w miejscowości Szczałb od km 0+000,00 do km 0+380,00</t>
  </si>
  <si>
    <t xml:space="preserve">05.2023 - 09.2023 </t>
  </si>
  <si>
    <t>RFRD/96/G/2023</t>
  </si>
  <si>
    <t>Gmina Serokomla</t>
  </si>
  <si>
    <t>Przebudowa drogi wewnętrznej (ul. Ogrodowej) na działce nr 1242/3 od 0+000,00 do km 0+328,50 w miejscowości Serokomla</t>
  </si>
  <si>
    <t>RFRD/125/G/2023</t>
  </si>
  <si>
    <t>Gmina Puławy</t>
  </si>
  <si>
    <t>Przebudowa drogi gminnej nr 107518L od km 0+000,00 do km 0+271,00 w miejscowości Zarzecze</t>
  </si>
  <si>
    <t>RFRD/121/G/2023</t>
  </si>
  <si>
    <t>Przebudowa drogi gminnej nr 108697L Bystrzyca - Rudnik Pierwszy do km 0+000 do km 0+875</t>
  </si>
  <si>
    <t>RFRD/3/G/2023</t>
  </si>
  <si>
    <t>Gmina Spiczyn</t>
  </si>
  <si>
    <t>Przebudowa drogi gminnej nr 105115L w m. Jawidz, gmina Spiczyn</t>
  </si>
  <si>
    <t>RFRD/113/G/2023</t>
  </si>
  <si>
    <t>Gmina Wojciechów</t>
  </si>
  <si>
    <t>Przebudowa drogi gminnej nr 112576L w miejscowości Maszki od km 0+000 do km 0+835,00</t>
  </si>
  <si>
    <t>03.2023 - 10.2023</t>
  </si>
  <si>
    <t>RFRD/12/G/2023</t>
  </si>
  <si>
    <t>Gmina Łukowa</t>
  </si>
  <si>
    <t>Przebudowa drogi gminnej nr 109563L w m. Osuchy</t>
  </si>
  <si>
    <t>RFRD/118/G/2023</t>
  </si>
  <si>
    <t>Gmina Rybczewice</t>
  </si>
  <si>
    <t>Przebudowa drogi gminnej nr 105784L w miejscowości Stryjno - Kolonia</t>
  </si>
  <si>
    <t>11.2023 - 10.2024</t>
  </si>
  <si>
    <t>RFRD/102/G/2023</t>
  </si>
  <si>
    <t>Gmina Frampol</t>
  </si>
  <si>
    <t>Remont drogi gminnej nr 109192L ulica Orzechowa w miejscowości Frampol od km 0+000 do km 0+258</t>
  </si>
  <si>
    <t>R</t>
  </si>
  <si>
    <t>RFRD/94/G/2023</t>
  </si>
  <si>
    <t>Gmina Urzędów</t>
  </si>
  <si>
    <t>Remont drogi gminnej nr 108309L od km 0+000 do km 1+730,88 w m. Wierzbica-Kolonia</t>
  </si>
  <si>
    <t xml:space="preserve">06.2023 - 11.2023 </t>
  </si>
  <si>
    <t>RFRD/112/G/2023</t>
  </si>
  <si>
    <t>Przebudowa drogi wewnętrznej w miejscowości Maszki od km 0+000 do km 0+450,00</t>
  </si>
  <si>
    <t>RFRD/140/G/2023</t>
  </si>
  <si>
    <t>Gmina Mełgiew</t>
  </si>
  <si>
    <t>Remont drogi gminnej nr 105530L - ul. Spokojna w miejscowości Franciszków, gm. Mełgiew na odcinku od km 0+000,00 do km 1+190,94</t>
  </si>
  <si>
    <t>RFRD/105/G/2023</t>
  </si>
  <si>
    <t>Przebudowa drogi gminnej nr 101742L w Olszewnicy</t>
  </si>
  <si>
    <t>RFRD/28/G/2023</t>
  </si>
  <si>
    <t>Gmina Księżpol</t>
  </si>
  <si>
    <t>Remont drogi gminnej 109414L w m. Zynie</t>
  </si>
  <si>
    <t>RFRD/119/G/2023</t>
  </si>
  <si>
    <t>Przebudowa drogi gminnej nr 105789Lod km 0+006 do km 0+826 w miejscowości Rybczewice Drugie</t>
  </si>
  <si>
    <t>RFRD/75/G/2023</t>
  </si>
  <si>
    <t>Przebudowa drogi gminnej nr 111941L w miejscowości Jurów od km 0+000,00 do km 0+260,00</t>
  </si>
  <si>
    <t>RFRD/31/G/2023</t>
  </si>
  <si>
    <t>Gmina Chrzanów</t>
  </si>
  <si>
    <t>Remont drogi gminnej nr 108843L w miejscowości Chrzanów Pierwszy od km 0+000 do km 0+990</t>
  </si>
  <si>
    <t>RFRD/33/G/2023</t>
  </si>
  <si>
    <t>Gmina Łęczna</t>
  </si>
  <si>
    <t>Przebudowa ul. Obrońców Pokoju w Łęcznej</t>
  </si>
  <si>
    <t>RFRD/130/G/2023</t>
  </si>
  <si>
    <t>Gmina Miasto Terespol</t>
  </si>
  <si>
    <t>Przebudowa odcinka drogi gminnej nr 100853L ul. Akacjowej w Terespolu od km 0+000 do km 0+268 o długości 0,268 km</t>
  </si>
  <si>
    <t>RFRD/106/G/2023</t>
  </si>
  <si>
    <t>Przebudowa drogi gminnej nr 104936L od km 0+000,00 do km 0+730,05 w miejscowości Okopy</t>
  </si>
  <si>
    <t>RFRD/18/G/2023</t>
  </si>
  <si>
    <t>Gmina Janów Lubelski</t>
  </si>
  <si>
    <t>Przebudowa drogi wewnętrznej ul. Majora Dobrzańskiego w Janowie Lubelskim</t>
  </si>
  <si>
    <t>RFRD/141/G/2023</t>
  </si>
  <si>
    <t>Przebudowa drogi gminnej nr 105527L w miejscowości Jacków, gm. Mełgiew na odcinku 827 m</t>
  </si>
  <si>
    <t>RFRD/126/G/2023</t>
  </si>
  <si>
    <t>Przebudowa drogi wewnętrznej w m. Wierzchowiska Drugie od km 0+000 do km 0+318,20</t>
  </si>
  <si>
    <t>06.2021 - 02.2023</t>
  </si>
  <si>
    <t>07.2022 - 12.2023</t>
  </si>
  <si>
    <t>04.2022 - 01.2024</t>
  </si>
  <si>
    <t>06.2022 - 08.2023</t>
  </si>
  <si>
    <t>05.2022 - 02.2024</t>
  </si>
  <si>
    <t>03.2022 - 06.2023</t>
  </si>
  <si>
    <t>07.2022- 12.2023</t>
  </si>
  <si>
    <t>08.2022 - 07.2024</t>
  </si>
  <si>
    <t>05.2021 - 07.2023</t>
  </si>
  <si>
    <t xml:space="preserve">07.2021 - 11.2023 </t>
  </si>
  <si>
    <t>05.2021- 06.2023</t>
  </si>
  <si>
    <t>05.2021- 07.2023</t>
  </si>
  <si>
    <t>05.2021- 11.2023</t>
  </si>
  <si>
    <t>08.2021 - 03.2023</t>
  </si>
  <si>
    <t>06.2022 - 07.2023</t>
  </si>
  <si>
    <t>05.2022 - 08.2023</t>
  </si>
  <si>
    <t>05.2022 - 07.2024</t>
  </si>
  <si>
    <t>07.2022 - 10.2023</t>
  </si>
  <si>
    <t>Budowa drogi w miejscowości Białka od km 0+000,00 do km 1+088,26</t>
  </si>
  <si>
    <r>
      <t>Dofinansowanie przyznane w naborze</t>
    </r>
    <r>
      <rPr>
        <b/>
        <sz val="10"/>
        <color theme="1"/>
        <rFont val="Times New Roman"/>
        <family val="1"/>
        <charset val="238"/>
      </rPr>
      <t>:</t>
    </r>
    <r>
      <rPr>
        <sz val="10"/>
        <color theme="1"/>
        <rFont val="Times New Roman"/>
        <family val="1"/>
        <charset val="238"/>
      </rPr>
      <t xml:space="preserve"> [2023]</t>
    </r>
  </si>
  <si>
    <t>Województwo: LUBELSKIE</t>
  </si>
  <si>
    <t>86*</t>
  </si>
  <si>
    <t>29*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</si>
</sst>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\ _z_ł_-;\-* #,##0.00\ _z_ł_-;_-* &quot;-&quot;??\ _z_ł_-;_-@_-"/>
    <numFmt numFmtId="164" formatCode="_-* #,##0.00_-;\-* #,##0.00_-;_-* &quot;-&quot;??_-;_-@_-"/>
    <numFmt numFmtId="165" formatCode="0.0000"/>
    <numFmt numFmtId="166" formatCode="#,##0.00\ &quot;zł&quot;"/>
    <numFmt numFmtId="167" formatCode="#,##0.000"/>
    <numFmt numFmtId="168" formatCode="[$-415]#,##0.00"/>
    <numFmt numFmtId="169" formatCode="0.000"/>
    <numFmt numFmtId="170" formatCode="#,##0.0000"/>
    <numFmt numFmtId="178" formatCode="#,##0.00000000000"/>
  </numFmts>
  <fonts count="4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b/>
      <vertAlign val="superscript"/>
      <sz val="8"/>
      <color rgb="FF00000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  <charset val="238"/>
    </font>
    <font>
      <b/>
      <sz val="14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8"/>
      <color theme="5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  <font>
      <b/>
      <sz val="10"/>
      <color theme="9"/>
      <name val="Times New Roman"/>
      <family val="1"/>
      <charset val="238"/>
    </font>
    <font>
      <sz val="9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9C0006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7">
    <xf numFmtId="0" fontId="0" fillId="0" borderId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34" fillId="0" borderId="0"/>
    <xf numFmtId="164" fontId="5" fillId="0" borderId="0" applyFont="0" applyFill="0" applyBorder="0" applyAlignment="0" applyProtection="0"/>
  </cellStyleXfs>
  <cellXfs count="36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/>
    <xf numFmtId="0" fontId="0" fillId="0" borderId="0" xfId="0" applyFill="1"/>
    <xf numFmtId="0" fontId="2" fillId="0" borderId="0" xfId="0" applyFont="1" applyFill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wrapText="1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Alignment="1"/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0" fillId="0" borderId="0" xfId="0" applyNumberFormat="1" applyFill="1" applyBorder="1" applyAlignment="1">
      <alignment vertical="center"/>
    </xf>
    <xf numFmtId="4" fontId="10" fillId="0" borderId="0" xfId="0" applyNumberFormat="1" applyFont="1" applyFill="1" applyBorder="1" applyAlignment="1"/>
    <xf numFmtId="4" fontId="10" fillId="0" borderId="0" xfId="0" applyNumberFormat="1" applyFont="1" applyBorder="1" applyAlignment="1"/>
    <xf numFmtId="0" fontId="10" fillId="0" borderId="0" xfId="0" applyFont="1" applyBorder="1"/>
    <xf numFmtId="4" fontId="11" fillId="0" borderId="0" xfId="0" applyNumberFormat="1" applyFont="1" applyFill="1" applyBorder="1" applyAlignment="1"/>
    <xf numFmtId="4" fontId="11" fillId="0" borderId="0" xfId="0" applyNumberFormat="1" applyFont="1" applyBorder="1" applyAlignment="1"/>
    <xf numFmtId="0" fontId="1" fillId="0" borderId="0" xfId="0" applyFont="1"/>
    <xf numFmtId="4" fontId="11" fillId="0" borderId="0" xfId="0" applyNumberFormat="1" applyFont="1" applyFill="1" applyBorder="1" applyAlignment="1">
      <alignment vertical="top"/>
    </xf>
    <xf numFmtId="4" fontId="11" fillId="0" borderId="0" xfId="0" applyNumberFormat="1" applyFont="1" applyBorder="1" applyAlignment="1">
      <alignment vertical="top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16" fillId="0" borderId="0" xfId="1" applyFont="1" applyFill="1" applyAlignment="1">
      <alignment vertical="center"/>
    </xf>
    <xf numFmtId="0" fontId="15" fillId="0" borderId="0" xfId="1" applyFont="1" applyFill="1" applyAlignment="1">
      <alignment vertical="center"/>
    </xf>
    <xf numFmtId="4" fontId="0" fillId="0" borderId="0" xfId="0" applyNumberFormat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 shrinkToFit="1"/>
    </xf>
    <xf numFmtId="0" fontId="17" fillId="0" borderId="0" xfId="0" applyFont="1" applyAlignment="1">
      <alignment vertical="center"/>
    </xf>
    <xf numFmtId="4" fontId="10" fillId="0" borderId="0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18" fillId="0" borderId="0" xfId="0" applyFont="1" applyFill="1" applyAlignment="1">
      <alignment vertical="center"/>
    </xf>
    <xf numFmtId="166" fontId="13" fillId="5" borderId="23" xfId="0" applyNumberFormat="1" applyFont="1" applyFill="1" applyBorder="1" applyAlignment="1">
      <alignment vertical="center"/>
    </xf>
    <xf numFmtId="166" fontId="19" fillId="5" borderId="23" xfId="0" applyNumberFormat="1" applyFont="1" applyFill="1" applyBorder="1" applyAlignment="1">
      <alignment vertical="center"/>
    </xf>
    <xf numFmtId="167" fontId="24" fillId="2" borderId="1" xfId="0" applyNumberFormat="1" applyFont="1" applyFill="1" applyBorder="1" applyAlignment="1">
      <alignment horizontal="center" vertical="center"/>
    </xf>
    <xf numFmtId="9" fontId="24" fillId="2" borderId="1" xfId="0" applyNumberFormat="1" applyFont="1" applyFill="1" applyBorder="1" applyAlignment="1">
      <alignment horizontal="center" vertical="center"/>
    </xf>
    <xf numFmtId="167" fontId="25" fillId="2" borderId="1" xfId="0" applyNumberFormat="1" applyFont="1" applyFill="1" applyBorder="1" applyAlignment="1">
      <alignment horizontal="center" vertical="center"/>
    </xf>
    <xf numFmtId="9" fontId="25" fillId="2" borderId="1" xfId="0" applyNumberFormat="1" applyFont="1" applyFill="1" applyBorder="1" applyAlignment="1">
      <alignment horizontal="center" vertical="center"/>
    </xf>
    <xf numFmtId="166" fontId="19" fillId="3" borderId="1" xfId="0" applyNumberFormat="1" applyFont="1" applyFill="1" applyBorder="1" applyAlignment="1">
      <alignment vertical="center"/>
    </xf>
    <xf numFmtId="166" fontId="13" fillId="4" borderId="1" xfId="0" applyNumberFormat="1" applyFont="1" applyFill="1" applyBorder="1" applyAlignment="1">
      <alignment vertical="center"/>
    </xf>
    <xf numFmtId="166" fontId="14" fillId="6" borderId="1" xfId="0" applyNumberFormat="1" applyFont="1" applyFill="1" applyBorder="1" applyAlignment="1">
      <alignment vertical="center"/>
    </xf>
    <xf numFmtId="166" fontId="13" fillId="3" borderId="1" xfId="0" applyNumberFormat="1" applyFont="1" applyFill="1" applyBorder="1" applyAlignment="1">
      <alignment vertical="center"/>
    </xf>
    <xf numFmtId="0" fontId="19" fillId="3" borderId="3" xfId="0" applyNumberFormat="1" applyFont="1" applyFill="1" applyBorder="1" applyAlignment="1">
      <alignment vertical="center"/>
    </xf>
    <xf numFmtId="0" fontId="13" fillId="3" borderId="3" xfId="0" applyNumberFormat="1" applyFont="1" applyFill="1" applyBorder="1" applyAlignment="1">
      <alignment vertical="center"/>
    </xf>
    <xf numFmtId="0" fontId="13" fillId="4" borderId="3" xfId="0" applyNumberFormat="1" applyFont="1" applyFill="1" applyBorder="1" applyAlignment="1">
      <alignment vertical="center"/>
    </xf>
    <xf numFmtId="0" fontId="14" fillId="6" borderId="3" xfId="0" applyNumberFormat="1" applyFont="1" applyFill="1" applyBorder="1" applyAlignment="1">
      <alignment vertical="center"/>
    </xf>
    <xf numFmtId="0" fontId="13" fillId="4" borderId="23" xfId="0" applyFont="1" applyFill="1" applyBorder="1" applyAlignment="1">
      <alignment horizontal="left" vertical="center" indent="2"/>
    </xf>
    <xf numFmtId="166" fontId="19" fillId="3" borderId="2" xfId="0" applyNumberFormat="1" applyFont="1" applyFill="1" applyBorder="1" applyAlignment="1">
      <alignment vertical="center"/>
    </xf>
    <xf numFmtId="166" fontId="13" fillId="3" borderId="2" xfId="0" applyNumberFormat="1" applyFont="1" applyFill="1" applyBorder="1" applyAlignment="1">
      <alignment vertical="center"/>
    </xf>
    <xf numFmtId="166" fontId="13" fillId="4" borderId="2" xfId="0" applyNumberFormat="1" applyFont="1" applyFill="1" applyBorder="1" applyAlignment="1">
      <alignment vertical="center"/>
    </xf>
    <xf numFmtId="166" fontId="14" fillId="6" borderId="2" xfId="0" applyNumberFormat="1" applyFont="1" applyFill="1" applyBorder="1" applyAlignment="1">
      <alignment vertical="center"/>
    </xf>
    <xf numFmtId="166" fontId="14" fillId="5" borderId="23" xfId="0" applyNumberFormat="1" applyFont="1" applyFill="1" applyBorder="1" applyAlignment="1">
      <alignment vertical="center"/>
    </xf>
    <xf numFmtId="0" fontId="11" fillId="0" borderId="26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166" fontId="13" fillId="5" borderId="28" xfId="0" applyNumberFormat="1" applyFont="1" applyFill="1" applyBorder="1" applyAlignment="1">
      <alignment vertical="center"/>
    </xf>
    <xf numFmtId="0" fontId="13" fillId="0" borderId="31" xfId="0" applyFont="1" applyFill="1" applyBorder="1" applyAlignment="1">
      <alignment vertical="center"/>
    </xf>
    <xf numFmtId="0" fontId="13" fillId="0" borderId="32" xfId="0" applyNumberFormat="1" applyFont="1" applyFill="1" applyBorder="1" applyAlignment="1">
      <alignment vertical="center"/>
    </xf>
    <xf numFmtId="166" fontId="13" fillId="0" borderId="33" xfId="0" applyNumberFormat="1" applyFont="1" applyFill="1" applyBorder="1" applyAlignment="1">
      <alignment vertical="center"/>
    </xf>
    <xf numFmtId="166" fontId="13" fillId="0" borderId="34" xfId="0" applyNumberFormat="1" applyFont="1" applyFill="1" applyBorder="1" applyAlignment="1">
      <alignment vertical="center"/>
    </xf>
    <xf numFmtId="166" fontId="13" fillId="5" borderId="35" xfId="0" applyNumberFormat="1" applyFont="1" applyFill="1" applyBorder="1" applyAlignment="1">
      <alignment vertical="center"/>
    </xf>
    <xf numFmtId="0" fontId="19" fillId="0" borderId="37" xfId="0" applyFont="1" applyFill="1" applyBorder="1" applyAlignment="1">
      <alignment horizontal="left" vertical="center" wrapText="1" indent="2"/>
    </xf>
    <xf numFmtId="0" fontId="13" fillId="0" borderId="37" xfId="0" applyFont="1" applyFill="1" applyBorder="1" applyAlignment="1">
      <alignment horizontal="left" vertical="center" indent="2"/>
    </xf>
    <xf numFmtId="0" fontId="19" fillId="0" borderId="39" xfId="0" applyFont="1" applyFill="1" applyBorder="1" applyAlignment="1">
      <alignment horizontal="left" vertical="center" indent="2"/>
    </xf>
    <xf numFmtId="166" fontId="19" fillId="5" borderId="43" xfId="0" applyNumberFormat="1" applyFont="1" applyFill="1" applyBorder="1" applyAlignment="1">
      <alignment vertical="center"/>
    </xf>
    <xf numFmtId="0" fontId="20" fillId="3" borderId="31" xfId="0" applyFont="1" applyFill="1" applyBorder="1" applyAlignment="1">
      <alignment vertical="center"/>
    </xf>
    <xf numFmtId="0" fontId="20" fillId="3" borderId="32" xfId="0" applyNumberFormat="1" applyFont="1" applyFill="1" applyBorder="1" applyAlignment="1">
      <alignment vertical="center"/>
    </xf>
    <xf numFmtId="166" fontId="20" fillId="3" borderId="33" xfId="0" applyNumberFormat="1" applyFont="1" applyFill="1" applyBorder="1" applyAlignment="1">
      <alignment vertical="center"/>
    </xf>
    <xf numFmtId="166" fontId="20" fillId="3" borderId="34" xfId="0" applyNumberFormat="1" applyFont="1" applyFill="1" applyBorder="1" applyAlignment="1">
      <alignment vertical="center"/>
    </xf>
    <xf numFmtId="166" fontId="20" fillId="5" borderId="35" xfId="0" applyNumberFormat="1" applyFont="1" applyFill="1" applyBorder="1" applyAlignment="1">
      <alignment vertical="center"/>
    </xf>
    <xf numFmtId="0" fontId="19" fillId="3" borderId="37" xfId="0" applyFont="1" applyFill="1" applyBorder="1" applyAlignment="1">
      <alignment horizontal="left" vertical="center" wrapText="1" indent="2"/>
    </xf>
    <xf numFmtId="0" fontId="13" fillId="3" borderId="37" xfId="0" applyFont="1" applyFill="1" applyBorder="1" applyAlignment="1">
      <alignment horizontal="left" vertical="center" indent="2"/>
    </xf>
    <xf numFmtId="0" fontId="19" fillId="3" borderId="39" xfId="0" applyFont="1" applyFill="1" applyBorder="1" applyAlignment="1">
      <alignment horizontal="left" vertical="center" indent="2"/>
    </xf>
    <xf numFmtId="0" fontId="19" fillId="3" borderId="40" xfId="0" applyNumberFormat="1" applyFont="1" applyFill="1" applyBorder="1" applyAlignment="1">
      <alignment vertical="center"/>
    </xf>
    <xf numFmtId="166" fontId="19" fillId="3" borderId="41" xfId="0" applyNumberFormat="1" applyFont="1" applyFill="1" applyBorder="1" applyAlignment="1">
      <alignment vertical="center"/>
    </xf>
    <xf numFmtId="166" fontId="19" fillId="3" borderId="42" xfId="0" applyNumberFormat="1" applyFont="1" applyFill="1" applyBorder="1" applyAlignment="1">
      <alignment vertical="center"/>
    </xf>
    <xf numFmtId="0" fontId="13" fillId="4" borderId="28" xfId="0" applyFont="1" applyFill="1" applyBorder="1" applyAlignment="1">
      <alignment vertical="center"/>
    </xf>
    <xf numFmtId="0" fontId="13" fillId="4" borderId="29" xfId="0" applyNumberFormat="1" applyFont="1" applyFill="1" applyBorder="1" applyAlignment="1">
      <alignment vertical="center"/>
    </xf>
    <xf numFmtId="166" fontId="13" fillId="4" borderId="5" xfId="0" applyNumberFormat="1" applyFont="1" applyFill="1" applyBorder="1" applyAlignment="1">
      <alignment vertical="center"/>
    </xf>
    <xf numFmtId="166" fontId="13" fillId="4" borderId="8" xfId="0" applyNumberFormat="1" applyFont="1" applyFill="1" applyBorder="1" applyAlignment="1">
      <alignment vertical="center"/>
    </xf>
    <xf numFmtId="0" fontId="19" fillId="4" borderId="25" xfId="0" applyFont="1" applyFill="1" applyBorder="1" applyAlignment="1">
      <alignment horizontal="left" vertical="center" indent="2"/>
    </xf>
    <xf numFmtId="0" fontId="19" fillId="4" borderId="26" xfId="0" applyNumberFormat="1" applyFont="1" applyFill="1" applyBorder="1" applyAlignment="1">
      <alignment vertical="center"/>
    </xf>
    <xf numFmtId="166" fontId="19" fillId="4" borderId="4" xfId="0" applyNumberFormat="1" applyFont="1" applyFill="1" applyBorder="1" applyAlignment="1">
      <alignment vertical="center"/>
    </xf>
    <xf numFmtId="166" fontId="19" fillId="4" borderId="7" xfId="0" applyNumberFormat="1" applyFont="1" applyFill="1" applyBorder="1" applyAlignment="1">
      <alignment vertical="center"/>
    </xf>
    <xf numFmtId="166" fontId="19" fillId="5" borderId="25" xfId="0" applyNumberFormat="1" applyFont="1" applyFill="1" applyBorder="1" applyAlignment="1">
      <alignment vertical="center"/>
    </xf>
    <xf numFmtId="0" fontId="13" fillId="6" borderId="31" xfId="0" applyFont="1" applyFill="1" applyBorder="1" applyAlignment="1">
      <alignment vertical="center"/>
    </xf>
    <xf numFmtId="0" fontId="14" fillId="6" borderId="32" xfId="0" applyNumberFormat="1" applyFont="1" applyFill="1" applyBorder="1" applyAlignment="1">
      <alignment vertical="center"/>
    </xf>
    <xf numFmtId="166" fontId="14" fillId="6" borderId="33" xfId="0" applyNumberFormat="1" applyFont="1" applyFill="1" applyBorder="1" applyAlignment="1">
      <alignment vertical="center"/>
    </xf>
    <xf numFmtId="166" fontId="14" fillId="6" borderId="34" xfId="0" applyNumberFormat="1" applyFont="1" applyFill="1" applyBorder="1" applyAlignment="1">
      <alignment vertical="center"/>
    </xf>
    <xf numFmtId="166" fontId="14" fillId="5" borderId="35" xfId="0" applyNumberFormat="1" applyFont="1" applyFill="1" applyBorder="1" applyAlignment="1">
      <alignment vertical="center"/>
    </xf>
    <xf numFmtId="0" fontId="13" fillId="6" borderId="37" xfId="0" applyFont="1" applyFill="1" applyBorder="1" applyAlignment="1">
      <alignment horizontal="left" vertical="center" indent="2"/>
    </xf>
    <xf numFmtId="0" fontId="19" fillId="6" borderId="39" xfId="0" applyFont="1" applyFill="1" applyBorder="1" applyAlignment="1">
      <alignment horizontal="left" vertical="center" indent="2"/>
    </xf>
    <xf numFmtId="0" fontId="19" fillId="6" borderId="40" xfId="0" applyNumberFormat="1" applyFont="1" applyFill="1" applyBorder="1" applyAlignment="1">
      <alignment vertical="center"/>
    </xf>
    <xf numFmtId="166" fontId="19" fillId="6" borderId="41" xfId="0" applyNumberFormat="1" applyFont="1" applyFill="1" applyBorder="1" applyAlignment="1">
      <alignment vertical="center"/>
    </xf>
    <xf numFmtId="166" fontId="19" fillId="6" borderId="42" xfId="0" applyNumberFormat="1" applyFont="1" applyFill="1" applyBorder="1" applyAlignment="1">
      <alignment vertical="center"/>
    </xf>
    <xf numFmtId="0" fontId="19" fillId="2" borderId="3" xfId="0" applyNumberFormat="1" applyFont="1" applyFill="1" applyBorder="1" applyAlignment="1">
      <alignment vertical="center"/>
    </xf>
    <xf numFmtId="166" fontId="19" fillId="2" borderId="1" xfId="0" applyNumberFormat="1" applyFont="1" applyFill="1" applyBorder="1" applyAlignment="1">
      <alignment vertical="center"/>
    </xf>
    <xf numFmtId="166" fontId="19" fillId="2" borderId="2" xfId="0" applyNumberFormat="1" applyFont="1" applyFill="1" applyBorder="1" applyAlignment="1">
      <alignment vertical="center"/>
    </xf>
    <xf numFmtId="0" fontId="13" fillId="2" borderId="3" xfId="0" applyNumberFormat="1" applyFont="1" applyFill="1" applyBorder="1" applyAlignment="1">
      <alignment vertical="center"/>
    </xf>
    <xf numFmtId="166" fontId="13" fillId="2" borderId="1" xfId="0" applyNumberFormat="1" applyFont="1" applyFill="1" applyBorder="1" applyAlignment="1">
      <alignment vertical="center"/>
    </xf>
    <xf numFmtId="166" fontId="13" fillId="2" borderId="2" xfId="0" applyNumberFormat="1" applyFont="1" applyFill="1" applyBorder="1" applyAlignment="1">
      <alignment vertical="center"/>
    </xf>
    <xf numFmtId="0" fontId="19" fillId="2" borderId="40" xfId="0" applyNumberFormat="1" applyFont="1" applyFill="1" applyBorder="1" applyAlignment="1">
      <alignment vertical="center"/>
    </xf>
    <xf numFmtId="166" fontId="19" fillId="2" borderId="41" xfId="0" applyNumberFormat="1" applyFont="1" applyFill="1" applyBorder="1" applyAlignment="1">
      <alignment vertical="center"/>
    </xf>
    <xf numFmtId="166" fontId="19" fillId="2" borderId="42" xfId="0" applyNumberFormat="1" applyFont="1" applyFill="1" applyBorder="1" applyAlignment="1">
      <alignment vertical="center"/>
    </xf>
    <xf numFmtId="0" fontId="19" fillId="6" borderId="37" xfId="0" applyFont="1" applyFill="1" applyBorder="1" applyAlignment="1">
      <alignment horizontal="left" vertical="center" wrapText="1" indent="2"/>
    </xf>
    <xf numFmtId="0" fontId="19" fillId="6" borderId="29" xfId="0" applyNumberFormat="1" applyFont="1" applyFill="1" applyBorder="1" applyAlignment="1">
      <alignment vertical="center"/>
    </xf>
    <xf numFmtId="166" fontId="19" fillId="6" borderId="1" xfId="0" applyNumberFormat="1" applyFont="1" applyFill="1" applyBorder="1" applyAlignment="1">
      <alignment vertical="center"/>
    </xf>
    <xf numFmtId="166" fontId="19" fillId="6" borderId="2" xfId="0" applyNumberFormat="1" applyFont="1" applyFill="1" applyBorder="1" applyAlignment="1">
      <alignment vertical="center"/>
    </xf>
    <xf numFmtId="0" fontId="26" fillId="0" borderId="0" xfId="0" applyFont="1"/>
    <xf numFmtId="0" fontId="4" fillId="0" borderId="0" xfId="0" applyFont="1" applyAlignment="1">
      <alignment horizontal="center"/>
    </xf>
    <xf numFmtId="0" fontId="16" fillId="0" borderId="0" xfId="1" applyFont="1" applyFill="1" applyAlignment="1">
      <alignment horizontal="center" vertical="center"/>
    </xf>
    <xf numFmtId="0" fontId="15" fillId="0" borderId="0" xfId="1" applyFont="1" applyFill="1" applyAlignment="1">
      <alignment horizontal="center" vertical="center"/>
    </xf>
    <xf numFmtId="0" fontId="17" fillId="0" borderId="0" xfId="0" applyFont="1" applyAlignment="1">
      <alignment horizontal="center"/>
    </xf>
    <xf numFmtId="9" fontId="29" fillId="2" borderId="1" xfId="0" applyNumberFormat="1" applyFont="1" applyFill="1" applyBorder="1" applyAlignment="1">
      <alignment horizontal="center" vertical="center"/>
    </xf>
    <xf numFmtId="9" fontId="32" fillId="2" borderId="1" xfId="0" applyNumberFormat="1" applyFont="1" applyFill="1" applyBorder="1" applyAlignment="1">
      <alignment horizontal="center" vertical="center"/>
    </xf>
    <xf numFmtId="0" fontId="21" fillId="7" borderId="1" xfId="0" applyFont="1" applyFill="1" applyBorder="1" applyAlignment="1">
      <alignment horizontal="center" vertical="center" wrapText="1"/>
    </xf>
    <xf numFmtId="0" fontId="21" fillId="8" borderId="1" xfId="0" applyFont="1" applyFill="1" applyBorder="1" applyAlignment="1">
      <alignment horizontal="center" vertical="center"/>
    </xf>
    <xf numFmtId="167" fontId="21" fillId="7" borderId="1" xfId="0" applyNumberFormat="1" applyFont="1" applyFill="1" applyBorder="1" applyAlignment="1">
      <alignment horizontal="center" vertical="center"/>
    </xf>
    <xf numFmtId="4" fontId="21" fillId="7" borderId="1" xfId="0" applyNumberFormat="1" applyFont="1" applyFill="1" applyBorder="1" applyAlignment="1">
      <alignment horizontal="center" vertical="center" wrapText="1"/>
    </xf>
    <xf numFmtId="4" fontId="21" fillId="7" borderId="1" xfId="0" applyNumberFormat="1" applyFont="1" applyFill="1" applyBorder="1" applyAlignment="1">
      <alignment horizontal="right" vertical="center"/>
    </xf>
    <xf numFmtId="168" fontId="21" fillId="7" borderId="1" xfId="0" applyNumberFormat="1" applyFont="1" applyFill="1" applyBorder="1" applyAlignment="1">
      <alignment horizontal="right" vertical="center"/>
    </xf>
    <xf numFmtId="4" fontId="21" fillId="7" borderId="1" xfId="0" applyNumberFormat="1" applyFont="1" applyFill="1" applyBorder="1" applyAlignment="1">
      <alignment horizontal="right" vertical="center" wrapText="1"/>
    </xf>
    <xf numFmtId="0" fontId="21" fillId="7" borderId="1" xfId="0" applyFont="1" applyFill="1" applyBorder="1" applyAlignment="1">
      <alignment horizontal="center" vertical="center"/>
    </xf>
    <xf numFmtId="168" fontId="21" fillId="7" borderId="1" xfId="0" applyNumberFormat="1" applyFont="1" applyFill="1" applyBorder="1" applyAlignment="1">
      <alignment horizontal="center" vertical="center" wrapText="1"/>
    </xf>
    <xf numFmtId="0" fontId="21" fillId="8" borderId="1" xfId="0" applyFont="1" applyFill="1" applyBorder="1" applyAlignment="1">
      <alignment horizontal="center" vertical="center" wrapText="1"/>
    </xf>
    <xf numFmtId="0" fontId="21" fillId="9" borderId="1" xfId="0" applyFont="1" applyFill="1" applyBorder="1" applyAlignment="1">
      <alignment horizontal="center" vertical="center"/>
    </xf>
    <xf numFmtId="167" fontId="21" fillId="8" borderId="1" xfId="0" applyNumberFormat="1" applyFont="1" applyFill="1" applyBorder="1" applyAlignment="1">
      <alignment horizontal="center" vertical="center"/>
    </xf>
    <xf numFmtId="4" fontId="21" fillId="8" borderId="1" xfId="0" applyNumberFormat="1" applyFont="1" applyFill="1" applyBorder="1" applyAlignment="1">
      <alignment horizontal="center" vertical="center" wrapText="1"/>
    </xf>
    <xf numFmtId="4" fontId="21" fillId="8" borderId="1" xfId="0" applyNumberFormat="1" applyFont="1" applyFill="1" applyBorder="1" applyAlignment="1">
      <alignment horizontal="right" vertical="center"/>
    </xf>
    <xf numFmtId="49" fontId="21" fillId="8" borderId="1" xfId="0" applyNumberFormat="1" applyFont="1" applyFill="1" applyBorder="1" applyAlignment="1">
      <alignment horizontal="center" vertical="center" wrapText="1"/>
    </xf>
    <xf numFmtId="168" fontId="21" fillId="8" borderId="1" xfId="0" applyNumberFormat="1" applyFont="1" applyFill="1" applyBorder="1" applyAlignment="1">
      <alignment horizontal="right" vertical="center"/>
    </xf>
    <xf numFmtId="169" fontId="29" fillId="2" borderId="1" xfId="0" applyNumberFormat="1" applyFont="1" applyFill="1" applyBorder="1" applyAlignment="1">
      <alignment horizontal="center" vertical="center"/>
    </xf>
    <xf numFmtId="169" fontId="32" fillId="2" borderId="1" xfId="0" applyNumberFormat="1" applyFont="1" applyFill="1" applyBorder="1" applyAlignment="1">
      <alignment horizontal="center" vertical="center"/>
    </xf>
    <xf numFmtId="10" fontId="21" fillId="7" borderId="1" xfId="0" applyNumberFormat="1" applyFont="1" applyFill="1" applyBorder="1" applyAlignment="1">
      <alignment horizontal="center" vertical="center"/>
    </xf>
    <xf numFmtId="10" fontId="21" fillId="8" borderId="1" xfId="0" applyNumberFormat="1" applyFont="1" applyFill="1" applyBorder="1" applyAlignment="1">
      <alignment horizontal="center" vertical="center"/>
    </xf>
    <xf numFmtId="10" fontId="24" fillId="2" borderId="1" xfId="0" applyNumberFormat="1" applyFont="1" applyFill="1" applyBorder="1" applyAlignment="1">
      <alignment horizontal="center" vertical="center"/>
    </xf>
    <xf numFmtId="10" fontId="25" fillId="2" borderId="1" xfId="0" applyNumberFormat="1" applyFont="1" applyFill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21" fillId="7" borderId="1" xfId="0" quotePrefix="1" applyFont="1" applyFill="1" applyBorder="1" applyAlignment="1">
      <alignment horizontal="center" vertical="center" wrapText="1"/>
    </xf>
    <xf numFmtId="0" fontId="30" fillId="0" borderId="0" xfId="0" applyFont="1" applyFill="1" applyAlignment="1">
      <alignment wrapText="1"/>
    </xf>
    <xf numFmtId="0" fontId="8" fillId="0" borderId="0" xfId="0" applyFont="1" applyBorder="1" applyAlignment="1">
      <alignment horizontal="right" vertical="center" wrapText="1"/>
    </xf>
    <xf numFmtId="0" fontId="10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11" fillId="0" borderId="18" xfId="0" applyFont="1" applyFill="1" applyBorder="1" applyAlignment="1">
      <alignment horizontal="right" vertical="center"/>
    </xf>
    <xf numFmtId="0" fontId="1" fillId="0" borderId="24" xfId="0" applyFont="1" applyBorder="1" applyAlignment="1">
      <alignment horizontal="right" vertical="center"/>
    </xf>
    <xf numFmtId="166" fontId="13" fillId="0" borderId="32" xfId="0" applyNumberFormat="1" applyFont="1" applyFill="1" applyBorder="1" applyAlignment="1">
      <alignment horizontal="right" vertical="center"/>
    </xf>
    <xf numFmtId="166" fontId="13" fillId="0" borderId="33" xfId="0" applyNumberFormat="1" applyFont="1" applyFill="1" applyBorder="1" applyAlignment="1">
      <alignment horizontal="right" vertical="center"/>
    </xf>
    <xf numFmtId="166" fontId="13" fillId="0" borderId="36" xfId="0" applyNumberFormat="1" applyFont="1" applyFill="1" applyBorder="1" applyAlignment="1">
      <alignment horizontal="right" vertical="center"/>
    </xf>
    <xf numFmtId="166" fontId="19" fillId="2" borderId="3" xfId="0" applyNumberFormat="1" applyFont="1" applyFill="1" applyBorder="1" applyAlignment="1">
      <alignment horizontal="right" vertical="center"/>
    </xf>
    <xf numFmtId="166" fontId="19" fillId="2" borderId="1" xfId="0" applyNumberFormat="1" applyFont="1" applyFill="1" applyBorder="1" applyAlignment="1">
      <alignment horizontal="right" vertical="center"/>
    </xf>
    <xf numFmtId="166" fontId="19" fillId="2" borderId="38" xfId="0" applyNumberFormat="1" applyFont="1" applyFill="1" applyBorder="1" applyAlignment="1">
      <alignment horizontal="right" vertical="center"/>
    </xf>
    <xf numFmtId="166" fontId="13" fillId="2" borderId="3" xfId="0" applyNumberFormat="1" applyFont="1" applyFill="1" applyBorder="1" applyAlignment="1">
      <alignment horizontal="right" vertical="center"/>
    </xf>
    <xf numFmtId="166" fontId="13" fillId="2" borderId="1" xfId="0" applyNumberFormat="1" applyFont="1" applyFill="1" applyBorder="1" applyAlignment="1">
      <alignment horizontal="right" vertical="center"/>
    </xf>
    <xf numFmtId="166" fontId="13" fillId="2" borderId="38" xfId="0" applyNumberFormat="1" applyFont="1" applyFill="1" applyBorder="1" applyAlignment="1">
      <alignment horizontal="right" vertical="center"/>
    </xf>
    <xf numFmtId="166" fontId="19" fillId="2" borderId="40" xfId="0" applyNumberFormat="1" applyFont="1" applyFill="1" applyBorder="1" applyAlignment="1">
      <alignment horizontal="right" vertical="center"/>
    </xf>
    <xf numFmtId="166" fontId="19" fillId="2" borderId="41" xfId="0" applyNumberFormat="1" applyFont="1" applyFill="1" applyBorder="1" applyAlignment="1">
      <alignment horizontal="right" vertical="center"/>
    </xf>
    <xf numFmtId="166" fontId="19" fillId="2" borderId="44" xfId="0" applyNumberFormat="1" applyFont="1" applyFill="1" applyBorder="1" applyAlignment="1">
      <alignment horizontal="right" vertical="center"/>
    </xf>
    <xf numFmtId="166" fontId="13" fillId="2" borderId="32" xfId="0" applyNumberFormat="1" applyFont="1" applyFill="1" applyBorder="1" applyAlignment="1">
      <alignment horizontal="right" vertical="center"/>
    </xf>
    <xf numFmtId="166" fontId="13" fillId="2" borderId="33" xfId="0" applyNumberFormat="1" applyFont="1" applyFill="1" applyBorder="1" applyAlignment="1">
      <alignment horizontal="right" vertical="center"/>
    </xf>
    <xf numFmtId="166" fontId="13" fillId="2" borderId="36" xfId="0" applyNumberFormat="1" applyFont="1" applyFill="1" applyBorder="1" applyAlignment="1">
      <alignment horizontal="right" vertical="center"/>
    </xf>
    <xf numFmtId="166" fontId="20" fillId="3" borderId="32" xfId="0" applyNumberFormat="1" applyFont="1" applyFill="1" applyBorder="1" applyAlignment="1">
      <alignment horizontal="right" vertical="center"/>
    </xf>
    <xf numFmtId="166" fontId="20" fillId="3" borderId="33" xfId="0" applyNumberFormat="1" applyFont="1" applyFill="1" applyBorder="1" applyAlignment="1">
      <alignment horizontal="right" vertical="center"/>
    </xf>
    <xf numFmtId="166" fontId="20" fillId="3" borderId="36" xfId="0" applyNumberFormat="1" applyFont="1" applyFill="1" applyBorder="1" applyAlignment="1">
      <alignment horizontal="right" vertical="center"/>
    </xf>
    <xf numFmtId="166" fontId="19" fillId="3" borderId="3" xfId="0" applyNumberFormat="1" applyFont="1" applyFill="1" applyBorder="1" applyAlignment="1">
      <alignment horizontal="right" vertical="center"/>
    </xf>
    <xf numFmtId="166" fontId="19" fillId="3" borderId="1" xfId="0" applyNumberFormat="1" applyFont="1" applyFill="1" applyBorder="1" applyAlignment="1">
      <alignment horizontal="right" vertical="center"/>
    </xf>
    <xf numFmtId="166" fontId="19" fillId="3" borderId="38" xfId="0" applyNumberFormat="1" applyFont="1" applyFill="1" applyBorder="1" applyAlignment="1">
      <alignment horizontal="right" vertical="center"/>
    </xf>
    <xf numFmtId="166" fontId="13" fillId="3" borderId="3" xfId="0" applyNumberFormat="1" applyFont="1" applyFill="1" applyBorder="1" applyAlignment="1">
      <alignment horizontal="right" vertical="center"/>
    </xf>
    <xf numFmtId="166" fontId="13" fillId="3" borderId="1" xfId="0" applyNumberFormat="1" applyFont="1" applyFill="1" applyBorder="1" applyAlignment="1">
      <alignment horizontal="right" vertical="center"/>
    </xf>
    <xf numFmtId="166" fontId="13" fillId="3" borderId="38" xfId="0" applyNumberFormat="1" applyFont="1" applyFill="1" applyBorder="1" applyAlignment="1">
      <alignment horizontal="right" vertical="center"/>
    </xf>
    <xf numFmtId="166" fontId="19" fillId="3" borderId="40" xfId="0" applyNumberFormat="1" applyFont="1" applyFill="1" applyBorder="1" applyAlignment="1">
      <alignment horizontal="right" vertical="center"/>
    </xf>
    <xf numFmtId="166" fontId="19" fillId="3" borderId="41" xfId="0" applyNumberFormat="1" applyFont="1" applyFill="1" applyBorder="1" applyAlignment="1">
      <alignment horizontal="right" vertical="center"/>
    </xf>
    <xf numFmtId="166" fontId="19" fillId="3" borderId="44" xfId="0" applyNumberFormat="1" applyFont="1" applyFill="1" applyBorder="1" applyAlignment="1">
      <alignment horizontal="right" vertical="center"/>
    </xf>
    <xf numFmtId="166" fontId="13" fillId="4" borderId="29" xfId="0" applyNumberFormat="1" applyFont="1" applyFill="1" applyBorder="1" applyAlignment="1">
      <alignment horizontal="right" vertical="center"/>
    </xf>
    <xf numFmtId="166" fontId="13" fillId="4" borderId="5" xfId="0" applyNumberFormat="1" applyFont="1" applyFill="1" applyBorder="1" applyAlignment="1">
      <alignment horizontal="right" vertical="center"/>
    </xf>
    <xf numFmtId="166" fontId="13" fillId="4" borderId="30" xfId="0" applyNumberFormat="1" applyFont="1" applyFill="1" applyBorder="1" applyAlignment="1">
      <alignment horizontal="right" vertical="center"/>
    </xf>
    <xf numFmtId="166" fontId="13" fillId="4" borderId="3" xfId="0" applyNumberFormat="1" applyFont="1" applyFill="1" applyBorder="1" applyAlignment="1">
      <alignment horizontal="right" vertical="center"/>
    </xf>
    <xf numFmtId="166" fontId="13" fillId="4" borderId="1" xfId="0" applyNumberFormat="1" applyFont="1" applyFill="1" applyBorder="1" applyAlignment="1">
      <alignment horizontal="right" vertical="center"/>
    </xf>
    <xf numFmtId="166" fontId="13" fillId="4" borderId="22" xfId="0" applyNumberFormat="1" applyFont="1" applyFill="1" applyBorder="1" applyAlignment="1">
      <alignment horizontal="right" vertical="center"/>
    </xf>
    <xf numFmtId="166" fontId="19" fillId="4" borderId="26" xfId="0" applyNumberFormat="1" applyFont="1" applyFill="1" applyBorder="1" applyAlignment="1">
      <alignment horizontal="right" vertical="center"/>
    </xf>
    <xf numFmtId="166" fontId="19" fillId="4" borderId="4" xfId="0" applyNumberFormat="1" applyFont="1" applyFill="1" applyBorder="1" applyAlignment="1">
      <alignment horizontal="right" vertical="center"/>
    </xf>
    <xf numFmtId="166" fontId="19" fillId="4" borderId="27" xfId="0" applyNumberFormat="1" applyFont="1" applyFill="1" applyBorder="1" applyAlignment="1">
      <alignment horizontal="right" vertical="center"/>
    </xf>
    <xf numFmtId="166" fontId="14" fillId="6" borderId="32" xfId="0" applyNumberFormat="1" applyFont="1" applyFill="1" applyBorder="1" applyAlignment="1">
      <alignment horizontal="right" vertical="center"/>
    </xf>
    <xf numFmtId="166" fontId="14" fillId="6" borderId="33" xfId="0" applyNumberFormat="1" applyFont="1" applyFill="1" applyBorder="1" applyAlignment="1">
      <alignment horizontal="right" vertical="center"/>
    </xf>
    <xf numFmtId="166" fontId="14" fillId="6" borderId="36" xfId="0" applyNumberFormat="1" applyFont="1" applyFill="1" applyBorder="1" applyAlignment="1">
      <alignment horizontal="right" vertical="center"/>
    </xf>
    <xf numFmtId="166" fontId="19" fillId="6" borderId="3" xfId="0" applyNumberFormat="1" applyFont="1" applyFill="1" applyBorder="1" applyAlignment="1">
      <alignment horizontal="right" vertical="center"/>
    </xf>
    <xf numFmtId="166" fontId="19" fillId="6" borderId="1" xfId="0" applyNumberFormat="1" applyFont="1" applyFill="1" applyBorder="1" applyAlignment="1">
      <alignment horizontal="right" vertical="center"/>
    </xf>
    <xf numFmtId="166" fontId="19" fillId="6" borderId="38" xfId="0" applyNumberFormat="1" applyFont="1" applyFill="1" applyBorder="1" applyAlignment="1">
      <alignment horizontal="right" vertical="center"/>
    </xf>
    <xf numFmtId="166" fontId="14" fillId="6" borderId="3" xfId="0" applyNumberFormat="1" applyFont="1" applyFill="1" applyBorder="1" applyAlignment="1">
      <alignment horizontal="right" vertical="center"/>
    </xf>
    <xf numFmtId="166" fontId="14" fillId="6" borderId="1" xfId="0" applyNumberFormat="1" applyFont="1" applyFill="1" applyBorder="1" applyAlignment="1">
      <alignment horizontal="right" vertical="center"/>
    </xf>
    <xf numFmtId="166" fontId="14" fillId="6" borderId="38" xfId="0" applyNumberFormat="1" applyFont="1" applyFill="1" applyBorder="1" applyAlignment="1">
      <alignment horizontal="right" vertical="center"/>
    </xf>
    <xf numFmtId="166" fontId="19" fillId="6" borderId="40" xfId="0" applyNumberFormat="1" applyFont="1" applyFill="1" applyBorder="1" applyAlignment="1">
      <alignment horizontal="right" vertical="center"/>
    </xf>
    <xf numFmtId="166" fontId="19" fillId="6" borderId="41" xfId="0" applyNumberFormat="1" applyFont="1" applyFill="1" applyBorder="1" applyAlignment="1">
      <alignment horizontal="right" vertical="center"/>
    </xf>
    <xf numFmtId="166" fontId="19" fillId="6" borderId="44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11" fillId="0" borderId="21" xfId="0" applyFont="1" applyFill="1" applyBorder="1" applyAlignment="1">
      <alignment horizontal="left" vertical="center"/>
    </xf>
    <xf numFmtId="166" fontId="13" fillId="2" borderId="45" xfId="0" applyNumberFormat="1" applyFont="1" applyFill="1" applyBorder="1" applyAlignment="1">
      <alignment horizontal="right" vertical="center"/>
    </xf>
    <xf numFmtId="166" fontId="19" fillId="2" borderId="46" xfId="0" applyNumberFormat="1" applyFont="1" applyFill="1" applyBorder="1" applyAlignment="1">
      <alignment horizontal="right" vertical="center"/>
    </xf>
    <xf numFmtId="0" fontId="21" fillId="7" borderId="1" xfId="0" applyFont="1" applyFill="1" applyBorder="1" applyAlignment="1">
      <alignment horizontal="left" vertical="center" wrapText="1"/>
    </xf>
    <xf numFmtId="0" fontId="21" fillId="8" borderId="1" xfId="0" applyFont="1" applyFill="1" applyBorder="1" applyAlignment="1">
      <alignment horizontal="left" vertical="center" wrapText="1"/>
    </xf>
    <xf numFmtId="0" fontId="37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vertical="center"/>
    </xf>
    <xf numFmtId="0" fontId="0" fillId="10" borderId="0" xfId="0" applyFill="1"/>
    <xf numFmtId="0" fontId="18" fillId="10" borderId="0" xfId="0" applyFont="1" applyFill="1" applyAlignment="1">
      <alignment vertical="center"/>
    </xf>
    <xf numFmtId="4" fontId="0" fillId="0" borderId="0" xfId="0" applyNumberFormat="1" applyFill="1" applyBorder="1"/>
    <xf numFmtId="4" fontId="0" fillId="0" borderId="0" xfId="0" applyNumberFormat="1" applyFill="1"/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right" vertical="center"/>
    </xf>
    <xf numFmtId="0" fontId="10" fillId="0" borderId="16" xfId="0" applyFont="1" applyBorder="1" applyAlignment="1">
      <alignment horizontal="right" vertical="center"/>
    </xf>
    <xf numFmtId="0" fontId="10" fillId="0" borderId="17" xfId="0" applyFont="1" applyBorder="1" applyAlignment="1">
      <alignment horizontal="right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5" borderId="20" xfId="0" applyFont="1" applyFill="1" applyBorder="1" applyAlignment="1">
      <alignment horizontal="center" vertical="center" wrapText="1"/>
    </xf>
    <xf numFmtId="0" fontId="13" fillId="5" borderId="2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49" fontId="27" fillId="2" borderId="1" xfId="0" applyNumberFormat="1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left" vertical="center" wrapText="1"/>
    </xf>
    <xf numFmtId="167" fontId="27" fillId="2" borderId="1" xfId="0" applyNumberFormat="1" applyFont="1" applyFill="1" applyBorder="1" applyAlignment="1">
      <alignment horizontal="center" vertical="center"/>
    </xf>
    <xf numFmtId="165" fontId="27" fillId="2" borderId="1" xfId="0" applyNumberFormat="1" applyFont="1" applyFill="1" applyBorder="1" applyAlignment="1">
      <alignment horizontal="center" vertical="center" wrapText="1"/>
    </xf>
    <xf numFmtId="4" fontId="27" fillId="2" borderId="2" xfId="0" applyNumberFormat="1" applyFont="1" applyFill="1" applyBorder="1" applyAlignment="1">
      <alignment vertical="center"/>
    </xf>
    <xf numFmtId="4" fontId="27" fillId="2" borderId="1" xfId="0" applyNumberFormat="1" applyFont="1" applyFill="1" applyBorder="1" applyAlignment="1">
      <alignment vertical="center" wrapText="1"/>
    </xf>
    <xf numFmtId="10" fontId="27" fillId="2" borderId="1" xfId="0" applyNumberFormat="1" applyFont="1" applyFill="1" applyBorder="1" applyAlignment="1">
      <alignment horizontal="center" vertical="center"/>
    </xf>
    <xf numFmtId="4" fontId="28" fillId="2" borderId="2" xfId="0" applyNumberFormat="1" applyFont="1" applyFill="1" applyBorder="1" applyAlignment="1">
      <alignment vertical="center"/>
    </xf>
    <xf numFmtId="4" fontId="28" fillId="2" borderId="1" xfId="0" applyNumberFormat="1" applyFont="1" applyFill="1" applyBorder="1" applyAlignment="1">
      <alignment vertical="center" wrapText="1"/>
    </xf>
    <xf numFmtId="0" fontId="28" fillId="2" borderId="1" xfId="0" applyFont="1" applyFill="1" applyBorder="1" applyAlignment="1">
      <alignment vertical="center" wrapText="1"/>
    </xf>
    <xf numFmtId="49" fontId="27" fillId="2" borderId="4" xfId="0" applyNumberFormat="1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left" vertical="center" wrapText="1"/>
    </xf>
    <xf numFmtId="4" fontId="27" fillId="2" borderId="7" xfId="0" applyNumberFormat="1" applyFont="1" applyFill="1" applyBorder="1" applyAlignment="1">
      <alignment vertical="center"/>
    </xf>
    <xf numFmtId="4" fontId="27" fillId="2" borderId="1" xfId="0" applyNumberFormat="1" applyFont="1" applyFill="1" applyBorder="1" applyAlignment="1">
      <alignment vertical="center"/>
    </xf>
    <xf numFmtId="4" fontId="27" fillId="2" borderId="2" xfId="0" applyNumberFormat="1" applyFont="1" applyFill="1" applyBorder="1" applyAlignment="1">
      <alignment vertical="center" wrapText="1"/>
    </xf>
    <xf numFmtId="4" fontId="27" fillId="2" borderId="4" xfId="0" applyNumberFormat="1" applyFont="1" applyFill="1" applyBorder="1" applyAlignment="1">
      <alignment vertical="center"/>
    </xf>
    <xf numFmtId="0" fontId="27" fillId="7" borderId="1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left" vertical="center" wrapText="1"/>
    </xf>
    <xf numFmtId="0" fontId="27" fillId="7" borderId="1" xfId="0" applyFont="1" applyFill="1" applyBorder="1" applyAlignment="1">
      <alignment horizontal="center" vertical="center"/>
    </xf>
    <xf numFmtId="167" fontId="27" fillId="7" borderId="1" xfId="0" applyNumberFormat="1" applyFont="1" applyFill="1" applyBorder="1" applyAlignment="1">
      <alignment horizontal="center" vertical="center"/>
    </xf>
    <xf numFmtId="4" fontId="27" fillId="7" borderId="1" xfId="0" applyNumberFormat="1" applyFont="1" applyFill="1" applyBorder="1" applyAlignment="1">
      <alignment horizontal="center" vertical="center" wrapText="1"/>
    </xf>
    <xf numFmtId="4" fontId="27" fillId="7" borderId="1" xfId="0" applyNumberFormat="1" applyFont="1" applyFill="1" applyBorder="1" applyAlignment="1">
      <alignment horizontal="right" vertical="center"/>
    </xf>
    <xf numFmtId="164" fontId="27" fillId="7" borderId="1" xfId="6" applyNumberFormat="1" applyFont="1" applyFill="1" applyBorder="1" applyAlignment="1">
      <alignment horizontal="right" vertical="center"/>
    </xf>
    <xf numFmtId="4" fontId="27" fillId="7" borderId="1" xfId="0" applyNumberFormat="1" applyFont="1" applyFill="1" applyBorder="1" applyAlignment="1">
      <alignment horizontal="right" vertical="center" wrapText="1"/>
    </xf>
    <xf numFmtId="10" fontId="27" fillId="7" borderId="1" xfId="0" applyNumberFormat="1" applyFont="1" applyFill="1" applyBorder="1" applyAlignment="1">
      <alignment horizontal="center" vertical="center"/>
    </xf>
    <xf numFmtId="4" fontId="7" fillId="2" borderId="2" xfId="0" applyNumberFormat="1" applyFont="1" applyFill="1" applyBorder="1" applyAlignment="1">
      <alignment vertical="center"/>
    </xf>
    <xf numFmtId="4" fontId="21" fillId="2" borderId="1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4" fontId="21" fillId="2" borderId="2" xfId="0" applyNumberFormat="1" applyFont="1" applyFill="1" applyBorder="1" applyAlignment="1">
      <alignment vertical="center"/>
    </xf>
    <xf numFmtId="4" fontId="7" fillId="2" borderId="1" xfId="0" applyNumberFormat="1" applyFont="1" applyFill="1" applyBorder="1" applyAlignment="1">
      <alignment vertical="center" wrapText="1"/>
    </xf>
    <xf numFmtId="0" fontId="27" fillId="8" borderId="1" xfId="0" applyFont="1" applyFill="1" applyBorder="1" applyAlignment="1">
      <alignment horizontal="center" vertical="center"/>
    </xf>
    <xf numFmtId="168" fontId="27" fillId="7" borderId="1" xfId="0" applyNumberFormat="1" applyFont="1" applyFill="1" applyBorder="1" applyAlignment="1">
      <alignment horizontal="center" vertical="center" wrapText="1"/>
    </xf>
    <xf numFmtId="168" fontId="27" fillId="7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 wrapText="1"/>
    </xf>
    <xf numFmtId="9" fontId="0" fillId="2" borderId="0" xfId="2" applyFont="1" applyFill="1" applyAlignment="1">
      <alignment horizontal="center" vertical="center"/>
    </xf>
    <xf numFmtId="4" fontId="0" fillId="2" borderId="0" xfId="0" applyNumberForma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 shrinkToFit="1"/>
    </xf>
    <xf numFmtId="0" fontId="22" fillId="2" borderId="1" xfId="0" applyFont="1" applyFill="1" applyBorder="1" applyAlignment="1">
      <alignment horizontal="center" vertical="center" wrapText="1"/>
    </xf>
    <xf numFmtId="4" fontId="23" fillId="2" borderId="1" xfId="0" applyNumberFormat="1" applyFont="1" applyFill="1" applyBorder="1" applyAlignment="1">
      <alignment horizontal="right" vertical="center" wrapText="1"/>
    </xf>
    <xf numFmtId="4" fontId="22" fillId="2" borderId="1" xfId="0" applyNumberFormat="1" applyFont="1" applyFill="1" applyBorder="1" applyAlignment="1">
      <alignment horizontal="right" vertical="center"/>
    </xf>
    <xf numFmtId="0" fontId="25" fillId="2" borderId="1" xfId="0" applyFont="1" applyFill="1" applyBorder="1" applyAlignment="1">
      <alignment horizontal="center" vertical="center" wrapText="1" shrinkToFit="1"/>
    </xf>
    <xf numFmtId="0" fontId="25" fillId="2" borderId="1" xfId="0" applyFont="1" applyFill="1" applyBorder="1" applyAlignment="1">
      <alignment horizontal="center" vertical="center" wrapText="1"/>
    </xf>
    <xf numFmtId="4" fontId="25" fillId="2" borderId="1" xfId="0" applyNumberFormat="1" applyFont="1" applyFill="1" applyBorder="1" applyAlignment="1">
      <alignment horizontal="right" vertical="center" wrapText="1"/>
    </xf>
    <xf numFmtId="4" fontId="25" fillId="2" borderId="1" xfId="0" applyNumberFormat="1" applyFont="1" applyFill="1" applyBorder="1" applyAlignment="1">
      <alignment horizontal="right" vertical="center"/>
    </xf>
    <xf numFmtId="0" fontId="0" fillId="2" borderId="0" xfId="0" applyFont="1" applyFill="1" applyAlignment="1">
      <alignment horizontal="center" vertical="center"/>
    </xf>
    <xf numFmtId="4" fontId="0" fillId="2" borderId="0" xfId="0" applyNumberFormat="1" applyFont="1" applyFill="1" applyAlignment="1">
      <alignment horizontal="center" vertical="center"/>
    </xf>
    <xf numFmtId="178" fontId="7" fillId="2" borderId="2" xfId="0" applyNumberFormat="1" applyFont="1" applyFill="1" applyBorder="1" applyAlignment="1">
      <alignment vertical="center"/>
    </xf>
    <xf numFmtId="169" fontId="2" fillId="2" borderId="1" xfId="0" applyNumberFormat="1" applyFont="1" applyFill="1" applyBorder="1" applyAlignment="1">
      <alignment horizontal="center" vertical="center" wrapText="1"/>
    </xf>
    <xf numFmtId="0" fontId="30" fillId="2" borderId="0" xfId="0" applyFont="1" applyFill="1" applyAlignment="1">
      <alignment vertical="center"/>
    </xf>
    <xf numFmtId="0" fontId="30" fillId="2" borderId="0" xfId="0" applyFont="1" applyFill="1"/>
    <xf numFmtId="0" fontId="30" fillId="2" borderId="0" xfId="0" applyFont="1" applyFill="1" applyAlignment="1">
      <alignment horizontal="center" vertical="center"/>
    </xf>
    <xf numFmtId="0" fontId="30" fillId="2" borderId="0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49" fontId="31" fillId="2" borderId="1" xfId="0" applyNumberFormat="1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left" vertical="center" wrapText="1"/>
    </xf>
    <xf numFmtId="169" fontId="31" fillId="2" borderId="1" xfId="0" applyNumberFormat="1" applyFont="1" applyFill="1" applyBorder="1" applyAlignment="1">
      <alignment horizontal="center" vertical="center"/>
    </xf>
    <xf numFmtId="165" fontId="31" fillId="2" borderId="1" xfId="0" applyNumberFormat="1" applyFont="1" applyFill="1" applyBorder="1" applyAlignment="1">
      <alignment horizontal="center" vertical="center" wrapText="1"/>
    </xf>
    <xf numFmtId="4" fontId="31" fillId="2" borderId="1" xfId="0" applyNumberFormat="1" applyFont="1" applyFill="1" applyBorder="1" applyAlignment="1">
      <alignment vertical="center"/>
    </xf>
    <xf numFmtId="4" fontId="31" fillId="2" borderId="2" xfId="0" applyNumberFormat="1" applyFont="1" applyFill="1" applyBorder="1" applyAlignment="1">
      <alignment vertical="center"/>
    </xf>
    <xf numFmtId="9" fontId="31" fillId="2" borderId="1" xfId="0" applyNumberFormat="1" applyFont="1" applyFill="1" applyBorder="1" applyAlignment="1">
      <alignment horizontal="center" vertical="center"/>
    </xf>
    <xf numFmtId="4" fontId="32" fillId="2" borderId="2" xfId="0" applyNumberFormat="1" applyFont="1" applyFill="1" applyBorder="1" applyAlignment="1">
      <alignment vertical="center"/>
    </xf>
    <xf numFmtId="0" fontId="31" fillId="2" borderId="1" xfId="0" applyFont="1" applyFill="1" applyBorder="1" applyAlignment="1">
      <alignment vertical="center"/>
    </xf>
    <xf numFmtId="9" fontId="30" fillId="2" borderId="0" xfId="2" applyFont="1" applyFill="1" applyAlignment="1">
      <alignment horizontal="center" vertical="center"/>
    </xf>
    <xf numFmtId="4" fontId="30" fillId="2" borderId="0" xfId="0" applyNumberFormat="1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67" fontId="4" fillId="2" borderId="1" xfId="0" applyNumberFormat="1" applyFont="1" applyFill="1" applyBorder="1" applyAlignment="1">
      <alignment horizontal="center" vertical="center"/>
    </xf>
    <xf numFmtId="169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vertical="center"/>
    </xf>
    <xf numFmtId="9" fontId="4" fillId="2" borderId="1" xfId="0" applyNumberFormat="1" applyFont="1" applyFill="1" applyBorder="1" applyAlignment="1">
      <alignment horizontal="center" vertical="center"/>
    </xf>
    <xf numFmtId="4" fontId="29" fillId="2" borderId="2" xfId="0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167" fontId="31" fillId="2" borderId="1" xfId="0" applyNumberFormat="1" applyFont="1" applyFill="1" applyBorder="1" applyAlignment="1">
      <alignment horizontal="center" vertical="center"/>
    </xf>
    <xf numFmtId="169" fontId="31" fillId="2" borderId="1" xfId="0" applyNumberFormat="1" applyFont="1" applyFill="1" applyBorder="1" applyAlignment="1">
      <alignment horizontal="center" vertical="center" wrapText="1"/>
    </xf>
    <xf numFmtId="4" fontId="31" fillId="2" borderId="1" xfId="0" applyNumberFormat="1" applyFont="1" applyFill="1" applyBorder="1" applyAlignment="1">
      <alignment horizontal="center" vertical="center"/>
    </xf>
    <xf numFmtId="0" fontId="31" fillId="2" borderId="0" xfId="0" applyFont="1" applyFill="1"/>
    <xf numFmtId="170" fontId="4" fillId="2" borderId="1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4" fontId="33" fillId="2" borderId="1" xfId="0" applyNumberFormat="1" applyFont="1" applyFill="1" applyBorder="1" applyAlignment="1">
      <alignment horizontal="right" vertical="center"/>
    </xf>
    <xf numFmtId="0" fontId="32" fillId="2" borderId="2" xfId="0" applyFont="1" applyFill="1" applyBorder="1" applyAlignment="1">
      <alignment horizontal="center" vertical="center" wrapText="1"/>
    </xf>
    <xf numFmtId="0" fontId="32" fillId="2" borderId="9" xfId="0" applyFont="1" applyFill="1" applyBorder="1" applyAlignment="1">
      <alignment horizontal="center" vertical="center" wrapText="1"/>
    </xf>
    <xf numFmtId="0" fontId="32" fillId="2" borderId="3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4" fontId="32" fillId="2" borderId="1" xfId="0" applyNumberFormat="1" applyFont="1" applyFill="1" applyBorder="1" applyAlignment="1">
      <alignment horizontal="right" vertical="center" wrapText="1"/>
    </xf>
    <xf numFmtId="4" fontId="32" fillId="2" borderId="1" xfId="0" applyNumberFormat="1" applyFont="1" applyFill="1" applyBorder="1" applyAlignment="1">
      <alignment horizontal="right" vertical="center"/>
    </xf>
    <xf numFmtId="0" fontId="30" fillId="2" borderId="0" xfId="0" applyFont="1" applyFill="1" applyAlignment="1">
      <alignment horizontal="center" wrapText="1" shrinkToFit="1"/>
    </xf>
    <xf numFmtId="0" fontId="30" fillId="2" borderId="0" xfId="0" applyFont="1" applyFill="1" applyAlignment="1">
      <alignment horizontal="center"/>
    </xf>
    <xf numFmtId="169" fontId="30" fillId="2" borderId="0" xfId="0" applyNumberFormat="1" applyFont="1" applyFill="1" applyAlignment="1">
      <alignment horizontal="center"/>
    </xf>
    <xf numFmtId="0" fontId="2" fillId="2" borderId="6" xfId="0" applyFont="1" applyFill="1" applyBorder="1" applyAlignment="1">
      <alignment vertical="center" wrapText="1"/>
    </xf>
    <xf numFmtId="0" fontId="4" fillId="2" borderId="0" xfId="1" applyFont="1" applyFill="1" applyAlignment="1">
      <alignment horizontal="center" vertical="center"/>
    </xf>
    <xf numFmtId="0" fontId="31" fillId="2" borderId="0" xfId="1" applyFont="1" applyFill="1" applyAlignment="1">
      <alignment horizontal="center" vertical="center"/>
    </xf>
    <xf numFmtId="0" fontId="30" fillId="2" borderId="0" xfId="0" applyFont="1" applyFill="1" applyAlignment="1">
      <alignment wrapText="1"/>
    </xf>
    <xf numFmtId="4" fontId="30" fillId="2" borderId="0" xfId="0" applyNumberFormat="1" applyFont="1" applyFill="1"/>
    <xf numFmtId="0" fontId="17" fillId="2" borderId="0" xfId="0" applyFont="1" applyFill="1" applyAlignment="1">
      <alignment horizontal="center"/>
    </xf>
    <xf numFmtId="0" fontId="39" fillId="2" borderId="0" xfId="0" applyFont="1" applyFill="1" applyAlignment="1">
      <alignment horizontal="center" vertical="center"/>
    </xf>
    <xf numFmtId="9" fontId="39" fillId="2" borderId="0" xfId="2" applyFont="1" applyFill="1" applyAlignment="1">
      <alignment horizontal="center" vertical="center"/>
    </xf>
    <xf numFmtId="4" fontId="39" fillId="2" borderId="0" xfId="0" applyNumberFormat="1" applyFont="1" applyFill="1" applyAlignment="1">
      <alignment horizontal="center" vertical="center"/>
    </xf>
    <xf numFmtId="0" fontId="39" fillId="2" borderId="0" xfId="0" applyFont="1" applyFill="1" applyAlignment="1">
      <alignment vertical="center"/>
    </xf>
    <xf numFmtId="49" fontId="21" fillId="7" borderId="1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49" fontId="27" fillId="7" borderId="1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4" fontId="23" fillId="2" borderId="1" xfId="0" applyNumberFormat="1" applyFont="1" applyFill="1" applyBorder="1" applyAlignment="1">
      <alignment vertical="center" wrapText="1"/>
    </xf>
    <xf numFmtId="0" fontId="25" fillId="2" borderId="1" xfId="0" applyFont="1" applyFill="1" applyBorder="1" applyAlignment="1">
      <alignment horizontal="center" vertical="center" wrapText="1"/>
    </xf>
    <xf numFmtId="4" fontId="25" fillId="2" borderId="1" xfId="0" applyNumberFormat="1" applyFont="1" applyFill="1" applyBorder="1" applyAlignment="1">
      <alignment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</cellXfs>
  <cellStyles count="7">
    <cellStyle name="Dziesiętny" xfId="6" builtinId="3"/>
    <cellStyle name="Dziesiętny 2" xfId="4" xr:uid="{00000000-0005-0000-0000-000001000000}"/>
    <cellStyle name="Normalny" xfId="0" builtinId="0"/>
    <cellStyle name="Normalny 2" xfId="3" xr:uid="{00000000-0005-0000-0000-000003000000}"/>
    <cellStyle name="Normalny 3" xfId="1" xr:uid="{00000000-0005-0000-0000-000004000000}"/>
    <cellStyle name="Normalny 4" xfId="5" xr:uid="{00000000-0005-0000-0000-000005000000}"/>
    <cellStyle name="Procentowy 2" xfId="2" xr:uid="{00000000-0005-0000-0000-000006000000}"/>
  </cellStyles>
  <dxfs count="7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8">
    <pageSetUpPr fitToPage="1"/>
  </sheetPr>
  <dimension ref="A1:X43"/>
  <sheetViews>
    <sheetView tabSelected="1" view="pageBreakPreview" zoomScale="80" zoomScaleNormal="90" zoomScaleSheetLayoutView="80" workbookViewId="0"/>
  </sheetViews>
  <sheetFormatPr defaultColWidth="9.109375" defaultRowHeight="14.4" x14ac:dyDescent="0.3"/>
  <cols>
    <col min="1" max="1" width="32.109375" style="13" customWidth="1"/>
    <col min="2" max="2" width="10.6640625" style="13" customWidth="1"/>
    <col min="3" max="5" width="20.6640625" style="13" customWidth="1"/>
    <col min="6" max="9" width="15.6640625" style="150" customWidth="1"/>
    <col min="10" max="10" width="20.6640625" style="150" customWidth="1"/>
    <col min="11" max="15" width="15.6640625" style="150" customWidth="1"/>
    <col min="16" max="16" width="9.109375" style="13"/>
    <col min="17" max="17" width="11.6640625" style="13" bestFit="1" customWidth="1"/>
    <col min="18" max="18" width="12" style="3" bestFit="1" customWidth="1"/>
    <col min="19" max="16384" width="9.109375" style="3"/>
  </cols>
  <sheetData>
    <row r="1" spans="1:24" s="9" customFormat="1" ht="30" customHeight="1" thickBot="1" x14ac:dyDescent="0.4">
      <c r="A1" s="6" t="s">
        <v>47</v>
      </c>
      <c r="B1" s="7"/>
      <c r="C1" s="7"/>
      <c r="D1" s="7"/>
      <c r="E1" s="7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7"/>
      <c r="Q1" s="7"/>
      <c r="R1" s="8"/>
      <c r="S1" s="8"/>
      <c r="T1" s="8"/>
      <c r="U1" s="8"/>
      <c r="V1" s="8"/>
      <c r="W1" s="8"/>
      <c r="X1" s="8"/>
    </row>
    <row r="2" spans="1:24" x14ac:dyDescent="0.3">
      <c r="A2" s="10"/>
      <c r="B2" s="10"/>
      <c r="C2" s="10"/>
      <c r="D2" s="10"/>
      <c r="E2" s="10"/>
      <c r="F2" s="215" t="s">
        <v>18</v>
      </c>
      <c r="G2" s="216"/>
      <c r="H2" s="216"/>
      <c r="I2" s="216"/>
      <c r="J2" s="216"/>
      <c r="K2" s="216"/>
      <c r="L2" s="216"/>
      <c r="M2" s="216"/>
      <c r="N2" s="217"/>
      <c r="O2" s="149"/>
      <c r="P2" s="10"/>
      <c r="Q2" s="10"/>
      <c r="R2" s="11"/>
      <c r="S2" s="11"/>
      <c r="T2" s="11"/>
      <c r="U2" s="11"/>
      <c r="V2" s="11"/>
      <c r="W2" s="11"/>
      <c r="X2" s="11"/>
    </row>
    <row r="3" spans="1:24" x14ac:dyDescent="0.3">
      <c r="A3" s="12"/>
      <c r="B3" s="10"/>
      <c r="C3" s="10"/>
      <c r="D3" s="10"/>
      <c r="E3" s="10"/>
      <c r="F3" s="218"/>
      <c r="G3" s="219"/>
      <c r="H3" s="219"/>
      <c r="I3" s="219"/>
      <c r="J3" s="219"/>
      <c r="K3" s="219"/>
      <c r="L3" s="219"/>
      <c r="M3" s="219"/>
      <c r="N3" s="220"/>
      <c r="X3" s="11"/>
    </row>
    <row r="4" spans="1:24" x14ac:dyDescent="0.3">
      <c r="A4" s="209" t="s">
        <v>607</v>
      </c>
      <c r="B4" s="210"/>
      <c r="C4" s="15"/>
      <c r="D4" s="15"/>
      <c r="E4" s="15"/>
      <c r="F4" s="218"/>
      <c r="G4" s="219"/>
      <c r="H4" s="219"/>
      <c r="I4" s="219"/>
      <c r="J4" s="219"/>
      <c r="K4" s="219"/>
      <c r="L4" s="219"/>
      <c r="M4" s="219"/>
      <c r="N4" s="220"/>
      <c r="X4" s="16"/>
    </row>
    <row r="5" spans="1:24" x14ac:dyDescent="0.3">
      <c r="A5" s="210"/>
      <c r="B5" s="210"/>
      <c r="C5" s="15"/>
      <c r="D5" s="15"/>
      <c r="E5" s="15"/>
      <c r="F5" s="218"/>
      <c r="G5" s="219"/>
      <c r="H5" s="219"/>
      <c r="I5" s="219"/>
      <c r="J5" s="219"/>
      <c r="K5" s="219"/>
      <c r="L5" s="219"/>
      <c r="M5" s="219"/>
      <c r="N5" s="220"/>
      <c r="X5" s="11"/>
    </row>
    <row r="6" spans="1:24" x14ac:dyDescent="0.3">
      <c r="A6" s="209" t="s">
        <v>608</v>
      </c>
      <c r="B6" s="210"/>
      <c r="C6" s="15"/>
      <c r="D6" s="15"/>
      <c r="E6" s="15"/>
      <c r="F6" s="218"/>
      <c r="G6" s="219"/>
      <c r="H6" s="219"/>
      <c r="I6" s="219"/>
      <c r="J6" s="219"/>
      <c r="K6" s="219"/>
      <c r="L6" s="219"/>
      <c r="M6" s="219"/>
      <c r="N6" s="220"/>
      <c r="X6" s="16"/>
    </row>
    <row r="7" spans="1:24" ht="15" thickBot="1" x14ac:dyDescent="0.35">
      <c r="A7" s="210"/>
      <c r="B7" s="210"/>
      <c r="C7" s="15"/>
      <c r="D7" s="15"/>
      <c r="E7" s="15"/>
      <c r="F7" s="221" t="s">
        <v>19</v>
      </c>
      <c r="G7" s="222"/>
      <c r="H7" s="222"/>
      <c r="I7" s="222"/>
      <c r="J7" s="222"/>
      <c r="K7" s="222"/>
      <c r="L7" s="222"/>
      <c r="M7" s="222"/>
      <c r="N7" s="223"/>
      <c r="X7" s="11"/>
    </row>
    <row r="8" spans="1:24" x14ac:dyDescent="0.3">
      <c r="A8" s="210"/>
      <c r="B8" s="210"/>
      <c r="C8" s="15"/>
      <c r="D8" s="15"/>
      <c r="E8" s="15"/>
      <c r="F8" s="151"/>
      <c r="G8" s="151"/>
      <c r="H8" s="151"/>
      <c r="I8" s="151"/>
      <c r="J8" s="151"/>
      <c r="K8" s="151"/>
      <c r="L8" s="151"/>
      <c r="M8" s="151"/>
      <c r="N8" s="151"/>
      <c r="X8" s="11"/>
    </row>
    <row r="9" spans="1:24" ht="20.100000000000001" customHeight="1" thickBot="1" x14ac:dyDescent="0.35">
      <c r="A9" s="14" t="s">
        <v>0</v>
      </c>
      <c r="B9" s="15"/>
      <c r="C9" s="15"/>
      <c r="D9" s="15"/>
      <c r="E9" s="15"/>
      <c r="F9" s="151"/>
      <c r="G9" s="151"/>
      <c r="H9" s="151"/>
      <c r="I9" s="151"/>
      <c r="J9" s="151"/>
      <c r="K9" s="151"/>
      <c r="L9" s="151"/>
      <c r="M9" s="151"/>
      <c r="N9" s="151"/>
      <c r="X9" s="11"/>
    </row>
    <row r="10" spans="1:24" ht="20.100000000000001" customHeight="1" x14ac:dyDescent="0.3">
      <c r="A10" s="224" t="s">
        <v>1</v>
      </c>
      <c r="B10" s="226" t="s">
        <v>35</v>
      </c>
      <c r="C10" s="228" t="s">
        <v>20</v>
      </c>
      <c r="D10" s="230" t="s">
        <v>21</v>
      </c>
      <c r="E10" s="232" t="s">
        <v>22</v>
      </c>
      <c r="F10" s="204"/>
      <c r="G10" s="152"/>
      <c r="H10" s="152"/>
      <c r="I10" s="152"/>
      <c r="J10" s="152" t="s">
        <v>12</v>
      </c>
      <c r="K10" s="152"/>
      <c r="L10" s="152"/>
      <c r="M10" s="152"/>
      <c r="N10" s="152"/>
      <c r="O10" s="153"/>
      <c r="P10" s="30"/>
      <c r="Q10" s="30"/>
      <c r="R10" s="2"/>
      <c r="S10" s="2"/>
      <c r="T10" s="2"/>
      <c r="U10" s="2"/>
      <c r="X10" s="11"/>
    </row>
    <row r="11" spans="1:24" s="1" customFormat="1" ht="20.100000000000001" customHeight="1" thickBot="1" x14ac:dyDescent="0.35">
      <c r="A11" s="225"/>
      <c r="B11" s="227"/>
      <c r="C11" s="229"/>
      <c r="D11" s="231"/>
      <c r="E11" s="233"/>
      <c r="F11" s="60">
        <v>2019</v>
      </c>
      <c r="G11" s="61">
        <v>2020</v>
      </c>
      <c r="H11" s="61">
        <v>2021</v>
      </c>
      <c r="I11" s="61">
        <v>2022</v>
      </c>
      <c r="J11" s="61">
        <v>2023</v>
      </c>
      <c r="K11" s="61">
        <v>2024</v>
      </c>
      <c r="L11" s="61">
        <v>2025</v>
      </c>
      <c r="M11" s="61">
        <v>2026</v>
      </c>
      <c r="N11" s="61">
        <v>2027</v>
      </c>
      <c r="O11" s="62">
        <v>2028</v>
      </c>
      <c r="P11" s="17"/>
      <c r="Q11" s="17"/>
      <c r="R11" s="17"/>
      <c r="S11" s="17"/>
      <c r="T11" s="17"/>
      <c r="U11" s="17"/>
      <c r="V11" s="18"/>
      <c r="W11" s="18"/>
      <c r="X11" s="18"/>
    </row>
    <row r="12" spans="1:24" ht="39.9" customHeight="1" thickTop="1" x14ac:dyDescent="0.3">
      <c r="A12" s="64" t="s">
        <v>37</v>
      </c>
      <c r="B12" s="65">
        <f>COUNTA('pow podst'!K3:K31)</f>
        <v>29</v>
      </c>
      <c r="C12" s="66">
        <f>SUM('pow podst'!J3:J31)</f>
        <v>399862442.1699999</v>
      </c>
      <c r="D12" s="67">
        <f>SUM('pow podst'!L3:L31)</f>
        <v>174149771.81199998</v>
      </c>
      <c r="E12" s="68">
        <f>SUM('pow podst'!K3:K31)</f>
        <v>225712670.35799995</v>
      </c>
      <c r="F12" s="154">
        <f>SUM('pow podst'!N3:N31)</f>
        <v>0</v>
      </c>
      <c r="G12" s="155">
        <f>SUM('pow podst'!O3:O31)</f>
        <v>0</v>
      </c>
      <c r="H12" s="155">
        <f>SUM('pow podst'!P3:P31)</f>
        <v>24464273</v>
      </c>
      <c r="I12" s="155">
        <f>SUM('pow podst'!Q3:Q31)</f>
        <v>18880847.800000001</v>
      </c>
      <c r="J12" s="155">
        <f>SUM('pow podst'!R3:R31)</f>
        <v>163886137.43799999</v>
      </c>
      <c r="K12" s="155">
        <f>SUM('pow podst'!S3:S31)</f>
        <v>14982418.58</v>
      </c>
      <c r="L12" s="155">
        <f>SUM('pow podst'!T3:T31)</f>
        <v>3498993.54</v>
      </c>
      <c r="M12" s="155">
        <f>SUM('pow podst'!U3:U31)</f>
        <v>0</v>
      </c>
      <c r="N12" s="155">
        <f>SUM('pow podst'!V3:V31)</f>
        <v>0</v>
      </c>
      <c r="O12" s="156">
        <f>SUM('pow podst'!W3:W31)</f>
        <v>0</v>
      </c>
      <c r="P12" s="19" t="b">
        <f>C12=(D12+E12)</f>
        <v>1</v>
      </c>
      <c r="Q12" s="37" t="b">
        <f>E12=SUM(F12:O12)</f>
        <v>1</v>
      </c>
      <c r="R12" s="20"/>
      <c r="S12" s="20"/>
      <c r="T12" s="21"/>
      <c r="U12" s="21"/>
      <c r="V12" s="22"/>
      <c r="W12" s="11"/>
      <c r="X12" s="11"/>
    </row>
    <row r="13" spans="1:24" ht="39.9" customHeight="1" x14ac:dyDescent="0.3">
      <c r="A13" s="69" t="s">
        <v>38</v>
      </c>
      <c r="B13" s="103">
        <f>COUNTIF('pow podst'!C3:C31,"K")</f>
        <v>10</v>
      </c>
      <c r="C13" s="104">
        <f>SUMIF('pow podst'!C3:C31,"K",'pow podst'!J3:J31)</f>
        <v>143070626.49000001</v>
      </c>
      <c r="D13" s="105">
        <f>SUMIF('pow podst'!C3:C31,"K",'pow podst'!L3:L31)</f>
        <v>72151432</v>
      </c>
      <c r="E13" s="41">
        <f>SUMIF('pow podst'!C3:C31,"K",'pow podst'!K3:K31)</f>
        <v>70919194.489999995</v>
      </c>
      <c r="F13" s="157">
        <f>SUMIF('pow podst'!C3:C31,"K",'pow podst'!N3:N31)</f>
        <v>0</v>
      </c>
      <c r="G13" s="158">
        <f>SUMIF('pow podst'!C3:C31,"K",'pow podst'!O3:O31)</f>
        <v>0</v>
      </c>
      <c r="H13" s="158">
        <f>SUMIF('pow podst'!C3:C31,"K",'pow podst'!P3:P31)</f>
        <v>24464273</v>
      </c>
      <c r="I13" s="158">
        <f>SUMIF('pow podst'!C3:C31,"K",'pow podst'!Q3:Q31)</f>
        <v>18880847.800000001</v>
      </c>
      <c r="J13" s="158">
        <f>SUMIF('pow podst'!C3:C31,"K",'pow podst'!R3:R31)</f>
        <v>24424501.009999998</v>
      </c>
      <c r="K13" s="158">
        <f>SUMIF('pow podst'!C3:C31,"K",'pow podst'!S3:S31)</f>
        <v>3149572.68</v>
      </c>
      <c r="L13" s="158">
        <f>SUMIF('pow podst'!C3:C31,"K",'pow podst'!T3:T31)</f>
        <v>0</v>
      </c>
      <c r="M13" s="158">
        <f>SUMIF('pow podst'!C3:C31,"K",'pow podst'!U3:U31)</f>
        <v>0</v>
      </c>
      <c r="N13" s="158">
        <f>SUMIF('pow podst'!C3:C31,"K",'pow podst'!V3:V31)</f>
        <v>0</v>
      </c>
      <c r="O13" s="159">
        <f>SUMIF('pow podst'!C3:C31,"K",'pow podst'!W3:W31)</f>
        <v>0</v>
      </c>
      <c r="P13" s="19" t="b">
        <f t="shared" ref="P13:P22" si="0">C13=(D13+E13)</f>
        <v>1</v>
      </c>
      <c r="Q13" s="37" t="b">
        <f t="shared" ref="Q13:Q19" si="1">E13=SUM(F13:O13)</f>
        <v>1</v>
      </c>
      <c r="R13" s="20"/>
      <c r="S13" s="20"/>
      <c r="T13" s="21"/>
      <c r="U13" s="21"/>
      <c r="V13" s="22"/>
      <c r="W13" s="11"/>
      <c r="X13" s="11"/>
    </row>
    <row r="14" spans="1:24" ht="39.9" customHeight="1" x14ac:dyDescent="0.3">
      <c r="A14" s="70" t="s">
        <v>39</v>
      </c>
      <c r="B14" s="106">
        <f>COUNTIF('pow podst'!C3:C31,"N")</f>
        <v>17</v>
      </c>
      <c r="C14" s="107">
        <f>SUMIF('pow podst'!C3:C31,"N",'pow podst'!J3:J31)</f>
        <v>211147621.50999993</v>
      </c>
      <c r="D14" s="108">
        <f>SUMIF('pow podst'!C3:C31,"N",'pow podst'!L3:L31)</f>
        <v>90536836.261999995</v>
      </c>
      <c r="E14" s="40">
        <f>SUMIF('pow podst'!C3:C31,"N",'pow podst'!K3:K31)</f>
        <v>120610785.24799998</v>
      </c>
      <c r="F14" s="160">
        <f>SUMIF('pow podst'!C3:C31,"N",'pow podst'!N3:N31)</f>
        <v>0</v>
      </c>
      <c r="G14" s="161">
        <f>SUMIF('pow podst'!C3:C31,"N",'pow podst'!O3:O31)</f>
        <v>0</v>
      </c>
      <c r="H14" s="161">
        <f>SUMIF('pow podst'!C3:C31,"N",'pow podst'!P3:P31)</f>
        <v>0</v>
      </c>
      <c r="I14" s="161">
        <f>SUMIF('pow podst'!C3:C31,"N",'pow podst'!Q3:Q31)</f>
        <v>0</v>
      </c>
      <c r="J14" s="161">
        <f>SUMIF('pow podst'!C3:C31,"N",'pow podst'!R3:R31)</f>
        <v>120610785.24799998</v>
      </c>
      <c r="K14" s="161">
        <f>SUMIF('pow podst'!C3:C31,"N",'pow podst'!S3:S31)</f>
        <v>0</v>
      </c>
      <c r="L14" s="161">
        <f>SUMIF('pow podst'!C3:C31,"N",'pow podst'!T3:T31)</f>
        <v>0</v>
      </c>
      <c r="M14" s="161">
        <f>SUMIF('pow podst'!C3:C31,"N",'pow podst'!U3:U31)</f>
        <v>0</v>
      </c>
      <c r="N14" s="161">
        <f>SUMIF('pow podst'!C3:C31,"N",'pow podst'!V3:V31)</f>
        <v>0</v>
      </c>
      <c r="O14" s="162">
        <f>SUMIF('pow podst'!C3:C31,"N",'pow podst'!W3:W31)</f>
        <v>0</v>
      </c>
      <c r="P14" s="19" t="b">
        <f t="shared" si="0"/>
        <v>1</v>
      </c>
      <c r="Q14" s="37" t="b">
        <f t="shared" si="1"/>
        <v>1</v>
      </c>
      <c r="R14" s="20"/>
      <c r="S14" s="20"/>
      <c r="T14" s="21"/>
      <c r="U14" s="21"/>
      <c r="V14" s="22"/>
      <c r="W14" s="11"/>
      <c r="X14" s="11"/>
    </row>
    <row r="15" spans="1:24" ht="39.9" customHeight="1" thickBot="1" x14ac:dyDescent="0.35">
      <c r="A15" s="71" t="s">
        <v>40</v>
      </c>
      <c r="B15" s="109">
        <f>COUNTIF('pow podst'!C3:C31,"W")</f>
        <v>2</v>
      </c>
      <c r="C15" s="110">
        <f>SUMIF('pow podst'!C3:C31,"W",'pow podst'!J3:J31)</f>
        <v>45644194.170000002</v>
      </c>
      <c r="D15" s="111">
        <f>SUMIF('pow podst'!C3:C31,"W",'pow podst'!L3:L31)</f>
        <v>11461503.550000003</v>
      </c>
      <c r="E15" s="72">
        <f>SUMIF('pow podst'!C3:C31,"W",'pow podst'!K3:K31)</f>
        <v>34182690.619999997</v>
      </c>
      <c r="F15" s="163">
        <f>SUMIF('pow podst'!C3:C31,"W",'pow podst'!N3:N31)</f>
        <v>0</v>
      </c>
      <c r="G15" s="164">
        <f>SUMIF('pow podst'!C3:C31,"W",'pow podst'!O3:O31)</f>
        <v>0</v>
      </c>
      <c r="H15" s="164">
        <f>SUMIF('pow podst'!C3:C31,"W",'pow podst'!P3:P31)</f>
        <v>0</v>
      </c>
      <c r="I15" s="164">
        <f>SUMIF('pow podst'!C3:C31,"W",'pow podst'!Q3:Q31)</f>
        <v>0</v>
      </c>
      <c r="J15" s="164">
        <f>SUMIF('pow podst'!C3:C31,"W",'pow podst'!R3:R31)</f>
        <v>18850851.18</v>
      </c>
      <c r="K15" s="164">
        <f>SUMIF('pow podst'!C3:C31,"W",'pow podst'!S3:S31)</f>
        <v>11832845.9</v>
      </c>
      <c r="L15" s="164">
        <f>SUMIF('pow podst'!C3:C31,"W",'pow podst'!T3:T31)</f>
        <v>3498993.54</v>
      </c>
      <c r="M15" s="164">
        <f>SUMIF('pow podst'!C3:C31,"W",'pow podst'!U3:U31)</f>
        <v>0</v>
      </c>
      <c r="N15" s="164">
        <f>SUMIF('pow podst'!C3:C31,"W",'pow podst'!V3:V31)</f>
        <v>0</v>
      </c>
      <c r="O15" s="165">
        <f>SUMIF('pow podst'!C3:C31,"W",'pow podst'!W3:W31)</f>
        <v>0</v>
      </c>
      <c r="P15" s="19" t="b">
        <f t="shared" si="0"/>
        <v>1</v>
      </c>
      <c r="Q15" s="37" t="b">
        <f t="shared" si="1"/>
        <v>1</v>
      </c>
      <c r="R15" s="20"/>
      <c r="S15" s="20"/>
      <c r="T15" s="21"/>
      <c r="U15" s="21"/>
      <c r="V15" s="22"/>
      <c r="W15" s="11"/>
      <c r="X15" s="11"/>
    </row>
    <row r="16" spans="1:24" ht="39.9" customHeight="1" thickTop="1" x14ac:dyDescent="0.3">
      <c r="A16" s="64" t="s">
        <v>41</v>
      </c>
      <c r="B16" s="65">
        <f>COUNTA('gm podst'!L3:L88)</f>
        <v>86</v>
      </c>
      <c r="C16" s="66">
        <f>SUM('gm podst'!K3:K88)</f>
        <v>269928902.08999991</v>
      </c>
      <c r="D16" s="67">
        <f>SUM('gm podst'!M3:M88)</f>
        <v>122768901.10999994</v>
      </c>
      <c r="E16" s="68">
        <f>SUM('gm podst'!L3:L88)</f>
        <v>147160000.97999996</v>
      </c>
      <c r="F16" s="166">
        <f>SUM('gm podst'!O3:O88)</f>
        <v>0</v>
      </c>
      <c r="G16" s="167">
        <f>SUM('gm podst'!P3:P88)</f>
        <v>0</v>
      </c>
      <c r="H16" s="167">
        <f>SUM('gm podst'!Q3:Q88)</f>
        <v>517744</v>
      </c>
      <c r="I16" s="167">
        <f>SUM('gm podst'!R3:R88)</f>
        <v>12736401.399999997</v>
      </c>
      <c r="J16" s="167">
        <f>SUM('gm podst'!S3:S88)</f>
        <v>107614471.47999999</v>
      </c>
      <c r="K16" s="167">
        <f>SUM('gm podst'!T3:T88)</f>
        <v>26291384.100000001</v>
      </c>
      <c r="L16" s="167">
        <f>SUM('gm podst'!U3:U88)</f>
        <v>0</v>
      </c>
      <c r="M16" s="167">
        <f>SUM('gm podst'!V3:V88)</f>
        <v>0</v>
      </c>
      <c r="N16" s="167">
        <f>SUM('gm podst'!W3:W88)</f>
        <v>0</v>
      </c>
      <c r="O16" s="168">
        <f>SUM('gm podst'!X3:X88)</f>
        <v>0</v>
      </c>
      <c r="P16" s="19" t="b">
        <f t="shared" si="0"/>
        <v>1</v>
      </c>
      <c r="Q16" s="37" t="b">
        <f t="shared" si="1"/>
        <v>1</v>
      </c>
      <c r="R16" s="20"/>
      <c r="S16" s="20"/>
      <c r="T16" s="21"/>
      <c r="U16" s="21"/>
      <c r="V16" s="21"/>
      <c r="W16" s="21"/>
      <c r="X16" s="21"/>
    </row>
    <row r="17" spans="1:24" ht="39.9" customHeight="1" x14ac:dyDescent="0.3">
      <c r="A17" s="69" t="s">
        <v>38</v>
      </c>
      <c r="B17" s="103">
        <f>COUNTIF('gm podst'!C3:C88,"K")</f>
        <v>9</v>
      </c>
      <c r="C17" s="104">
        <f>SUMIF('gm podst'!C3:C88,"K",'gm podst'!K3:K88)</f>
        <v>58301989.509999998</v>
      </c>
      <c r="D17" s="105">
        <f>SUMIF('gm podst'!C3:C88,"K",'gm podst'!M3:M88)</f>
        <v>29500580.509999998</v>
      </c>
      <c r="E17" s="41">
        <f>SUMIF('gm podst'!C3:C88,"K",'gm podst'!L3:L88)</f>
        <v>28801408.999999996</v>
      </c>
      <c r="F17" s="157">
        <f>SUMIF('gm podst'!C3:C88,"K",'gm podst'!O3:O88)</f>
        <v>0</v>
      </c>
      <c r="G17" s="158">
        <f>SUMIF('gm podst'!C3:C88,"K",'gm podst'!P3:P88)</f>
        <v>0</v>
      </c>
      <c r="H17" s="158">
        <f>SUMIF('gm podst'!C3:C88,"K",'gm podst'!Q3:Q88)</f>
        <v>517744</v>
      </c>
      <c r="I17" s="158">
        <f>SUMIF('gm podst'!C3:C88,"K",'gm podst'!R3:R88)</f>
        <v>12736401.399999997</v>
      </c>
      <c r="J17" s="158">
        <f>SUMIF('gm podst'!C3:C88,"K",'gm podst'!S3:S88)</f>
        <v>15137390.810000001</v>
      </c>
      <c r="K17" s="158">
        <f>SUMIF('gm podst'!C3:C88,"K",'gm podst'!T3:T88)</f>
        <v>409872.78999999992</v>
      </c>
      <c r="L17" s="158">
        <f>SUMIF('gm podst'!C3:C88,"K",'gm podst'!U3:U88)</f>
        <v>0</v>
      </c>
      <c r="M17" s="158">
        <f>SUMIF('gm podst'!C3:C88,"K",'gm podst'!V3:V88)</f>
        <v>0</v>
      </c>
      <c r="N17" s="158">
        <f>SUMIF('gm podst'!C3:C88,"K",'gm podst'!W3:W88)</f>
        <v>0</v>
      </c>
      <c r="O17" s="159">
        <f>SUMIF('gm podst'!C3:C88,"K",'gm podst'!X3:X88)</f>
        <v>0</v>
      </c>
      <c r="P17" s="19" t="b">
        <f t="shared" si="0"/>
        <v>1</v>
      </c>
      <c r="Q17" s="37" t="b">
        <f t="shared" si="1"/>
        <v>1</v>
      </c>
      <c r="R17" s="20"/>
      <c r="S17" s="20"/>
      <c r="T17" s="21"/>
      <c r="U17" s="21"/>
      <c r="V17" s="21"/>
      <c r="W17" s="21"/>
      <c r="X17" s="21"/>
    </row>
    <row r="18" spans="1:24" ht="39.9" customHeight="1" x14ac:dyDescent="0.3">
      <c r="A18" s="70" t="s">
        <v>39</v>
      </c>
      <c r="B18" s="106">
        <f>COUNTIF('gm podst'!C3:C88,"N")</f>
        <v>71</v>
      </c>
      <c r="C18" s="107">
        <f>SUMIF('gm podst'!C3:C88,"N",'gm podst'!K3:K88)</f>
        <v>132677799.92000002</v>
      </c>
      <c r="D18" s="108">
        <f>SUMIF('gm podst'!C3:C88,"N",'gm podst'!M3:M88)</f>
        <v>62186547.830000028</v>
      </c>
      <c r="E18" s="40">
        <f>SUMIF('gm podst'!C3:C88,"N",'gm podst'!L3:L88)</f>
        <v>70491252.090000033</v>
      </c>
      <c r="F18" s="160">
        <f>SUMIF('gm podst'!C3:C88,"N",'gm podst'!O3:O88)</f>
        <v>0</v>
      </c>
      <c r="G18" s="161">
        <f>SUMIF('gm podst'!C3:C88,"N",'gm podst'!P3:P88)</f>
        <v>0</v>
      </c>
      <c r="H18" s="161">
        <f>SUMIF('gm podst'!C3:C88,"N",'gm podst'!Q3:Q88)</f>
        <v>0</v>
      </c>
      <c r="I18" s="161">
        <f>SUMIF('gm podst'!C3:C88,"N",'gm podst'!R3:R88)</f>
        <v>0</v>
      </c>
      <c r="J18" s="161">
        <f>SUMIF('gm podst'!C3:C88,"N",'gm podst'!S3:S88)</f>
        <v>70491252.090000033</v>
      </c>
      <c r="K18" s="161">
        <f>SUMIF('gm podst'!C3:C88,"N",'gm podst'!T3:T88)</f>
        <v>0</v>
      </c>
      <c r="L18" s="161">
        <f>SUMIF('gm podst'!C3:C88,"N",'gm podst'!U3:U88)</f>
        <v>0</v>
      </c>
      <c r="M18" s="161">
        <f>SUMIF('gm podst'!C3:C88,"N",'gm podst'!V3:V88)</f>
        <v>0</v>
      </c>
      <c r="N18" s="161">
        <f>SUMIF('gm podst'!C3:C88,"N",'gm podst'!W3:W88)</f>
        <v>0</v>
      </c>
      <c r="O18" s="162">
        <f>SUMIF('gm podst'!C3:C88,"N",'gm podst'!X3:X88)</f>
        <v>0</v>
      </c>
      <c r="P18" s="19" t="b">
        <f t="shared" si="0"/>
        <v>1</v>
      </c>
      <c r="Q18" s="37" t="b">
        <f t="shared" si="1"/>
        <v>1</v>
      </c>
      <c r="R18" s="20"/>
      <c r="S18" s="20"/>
      <c r="T18" s="21"/>
      <c r="U18" s="21"/>
      <c r="V18" s="21"/>
      <c r="W18" s="21"/>
      <c r="X18" s="21"/>
    </row>
    <row r="19" spans="1:24" ht="39.9" customHeight="1" thickBot="1" x14ac:dyDescent="0.35">
      <c r="A19" s="71" t="s">
        <v>40</v>
      </c>
      <c r="B19" s="109">
        <f>COUNTIF('gm podst'!C3:C88,"W")</f>
        <v>6</v>
      </c>
      <c r="C19" s="110">
        <f>SUMIF('gm podst'!C3:C88,"W",'gm podst'!K3:K88)</f>
        <v>78949112.660000011</v>
      </c>
      <c r="D19" s="111">
        <f>SUMIF('gm podst'!C3:C88,"W",'gm podst'!M3:M88)</f>
        <v>31081772.769999996</v>
      </c>
      <c r="E19" s="72">
        <f>SUMIF('gm podst'!C3:C88,"W",'gm podst'!L3:L88)</f>
        <v>47867339.890000001</v>
      </c>
      <c r="F19" s="163">
        <f>SUMIF('gm podst'!C3:C88,"W",'gm podst'!O3:O88)</f>
        <v>0</v>
      </c>
      <c r="G19" s="164">
        <f>SUMIF('gm podst'!C3:C88,"W",'gm podst'!P3:P88)</f>
        <v>0</v>
      </c>
      <c r="H19" s="164">
        <f>SUMIF('gm podst'!C3:C88,"W",'gm podst'!Q3:Q88)</f>
        <v>0</v>
      </c>
      <c r="I19" s="164">
        <f>SUMIF('gm podst'!C3:C88,"W",'gm podst'!R3:R88)</f>
        <v>0</v>
      </c>
      <c r="J19" s="164">
        <f>SUMIF('gm podst'!C3:C88,"W",'gm podst'!S3:S88)</f>
        <v>21985828.580000002</v>
      </c>
      <c r="K19" s="164">
        <f>SUMIF('gm podst'!C3:C88,"W",'gm podst'!T3:T88)</f>
        <v>25881511.310000002</v>
      </c>
      <c r="L19" s="164">
        <f>SUMIF('gm podst'!C3:C88,"W",'gm podst'!U3:U88)</f>
        <v>0</v>
      </c>
      <c r="M19" s="164">
        <f>SUMIF('gm podst'!C3:C88,"W",'gm podst'!V3:V88)</f>
        <v>0</v>
      </c>
      <c r="N19" s="164">
        <f>SUMIF('gm podst'!C3:C88,"W",'gm podst'!W3:W88)</f>
        <v>0</v>
      </c>
      <c r="O19" s="165">
        <f>SUMIF('gm podst'!C3:C88,"W",'gm podst'!X3:X88)</f>
        <v>0</v>
      </c>
      <c r="P19" s="19" t="b">
        <f t="shared" si="0"/>
        <v>1</v>
      </c>
      <c r="Q19" s="37" t="b">
        <f t="shared" si="1"/>
        <v>1</v>
      </c>
      <c r="R19" s="20"/>
      <c r="S19" s="20"/>
      <c r="T19" s="21"/>
      <c r="U19" s="21"/>
      <c r="V19" s="21"/>
      <c r="W19" s="21"/>
      <c r="X19" s="21"/>
    </row>
    <row r="20" spans="1:24" s="25" customFormat="1" ht="39.9" customHeight="1" thickTop="1" x14ac:dyDescent="0.3">
      <c r="A20" s="73" t="s">
        <v>42</v>
      </c>
      <c r="B20" s="74">
        <f t="shared" ref="B20:C23" si="2">B12+B16</f>
        <v>115</v>
      </c>
      <c r="C20" s="75">
        <f t="shared" si="2"/>
        <v>669791344.25999975</v>
      </c>
      <c r="D20" s="76">
        <f t="shared" ref="D20:O20" si="3">D12+D16</f>
        <v>296918672.92199993</v>
      </c>
      <c r="E20" s="77">
        <f t="shared" si="3"/>
        <v>372872671.33799994</v>
      </c>
      <c r="F20" s="169">
        <f t="shared" si="3"/>
        <v>0</v>
      </c>
      <c r="G20" s="170">
        <f t="shared" si="3"/>
        <v>0</v>
      </c>
      <c r="H20" s="170">
        <f t="shared" si="3"/>
        <v>24982017</v>
      </c>
      <c r="I20" s="170">
        <f t="shared" si="3"/>
        <v>31617249.199999996</v>
      </c>
      <c r="J20" s="170">
        <f t="shared" si="3"/>
        <v>271500608.91799998</v>
      </c>
      <c r="K20" s="170">
        <f t="shared" si="3"/>
        <v>41273802.68</v>
      </c>
      <c r="L20" s="170">
        <f t="shared" si="3"/>
        <v>3498993.54</v>
      </c>
      <c r="M20" s="170">
        <f t="shared" si="3"/>
        <v>0</v>
      </c>
      <c r="N20" s="170">
        <f t="shared" si="3"/>
        <v>0</v>
      </c>
      <c r="O20" s="171">
        <f t="shared" si="3"/>
        <v>0</v>
      </c>
      <c r="P20" s="19" t="b">
        <f t="shared" si="0"/>
        <v>1</v>
      </c>
      <c r="Q20" s="37" t="b">
        <f t="shared" ref="Q20:Q22" si="4">E20=SUM(F20:O20)</f>
        <v>1</v>
      </c>
      <c r="R20" s="23"/>
      <c r="S20" s="23"/>
      <c r="T20" s="24"/>
      <c r="U20" s="24"/>
      <c r="V20" s="24"/>
      <c r="W20" s="24"/>
      <c r="X20" s="24"/>
    </row>
    <row r="21" spans="1:24" s="25" customFormat="1" ht="39.9" customHeight="1" x14ac:dyDescent="0.3">
      <c r="A21" s="78" t="s">
        <v>38</v>
      </c>
      <c r="B21" s="50">
        <f t="shared" si="2"/>
        <v>19</v>
      </c>
      <c r="C21" s="46">
        <f t="shared" si="2"/>
        <v>201372616</v>
      </c>
      <c r="D21" s="55">
        <f t="shared" ref="D21:O21" si="5">D13+D17</f>
        <v>101652012.50999999</v>
      </c>
      <c r="E21" s="41">
        <f t="shared" si="5"/>
        <v>99720603.489999995</v>
      </c>
      <c r="F21" s="172">
        <f t="shared" si="5"/>
        <v>0</v>
      </c>
      <c r="G21" s="173">
        <f t="shared" si="5"/>
        <v>0</v>
      </c>
      <c r="H21" s="173">
        <f t="shared" si="5"/>
        <v>24982017</v>
      </c>
      <c r="I21" s="173">
        <f t="shared" si="5"/>
        <v>31617249.199999996</v>
      </c>
      <c r="J21" s="173">
        <f t="shared" si="5"/>
        <v>39561891.82</v>
      </c>
      <c r="K21" s="173">
        <f t="shared" si="5"/>
        <v>3559445.47</v>
      </c>
      <c r="L21" s="173">
        <f t="shared" si="5"/>
        <v>0</v>
      </c>
      <c r="M21" s="173">
        <f t="shared" si="5"/>
        <v>0</v>
      </c>
      <c r="N21" s="173">
        <f t="shared" si="5"/>
        <v>0</v>
      </c>
      <c r="O21" s="174">
        <f t="shared" si="5"/>
        <v>0</v>
      </c>
      <c r="P21" s="19" t="b">
        <f t="shared" si="0"/>
        <v>1</v>
      </c>
      <c r="Q21" s="37" t="b">
        <f t="shared" si="4"/>
        <v>1</v>
      </c>
      <c r="R21" s="23"/>
      <c r="S21" s="23"/>
      <c r="T21" s="24"/>
      <c r="U21" s="24"/>
      <c r="V21" s="24"/>
      <c r="W21" s="24"/>
      <c r="X21" s="24"/>
    </row>
    <row r="22" spans="1:24" s="25" customFormat="1" ht="39.9" customHeight="1" x14ac:dyDescent="0.3">
      <c r="A22" s="79" t="s">
        <v>39</v>
      </c>
      <c r="B22" s="51">
        <f t="shared" si="2"/>
        <v>88</v>
      </c>
      <c r="C22" s="49">
        <f t="shared" si="2"/>
        <v>343825421.42999995</v>
      </c>
      <c r="D22" s="56">
        <f t="shared" ref="D22:O22" si="6">D14+D18</f>
        <v>152723384.09200001</v>
      </c>
      <c r="E22" s="40">
        <f t="shared" si="6"/>
        <v>191102037.338</v>
      </c>
      <c r="F22" s="175">
        <f t="shared" si="6"/>
        <v>0</v>
      </c>
      <c r="G22" s="176">
        <f t="shared" si="6"/>
        <v>0</v>
      </c>
      <c r="H22" s="176">
        <f t="shared" si="6"/>
        <v>0</v>
      </c>
      <c r="I22" s="176">
        <f t="shared" si="6"/>
        <v>0</v>
      </c>
      <c r="J22" s="176">
        <f t="shared" si="6"/>
        <v>191102037.338</v>
      </c>
      <c r="K22" s="176">
        <f t="shared" si="6"/>
        <v>0</v>
      </c>
      <c r="L22" s="176">
        <f t="shared" si="6"/>
        <v>0</v>
      </c>
      <c r="M22" s="176">
        <f t="shared" si="6"/>
        <v>0</v>
      </c>
      <c r="N22" s="176">
        <f t="shared" si="6"/>
        <v>0</v>
      </c>
      <c r="O22" s="177">
        <f t="shared" si="6"/>
        <v>0</v>
      </c>
      <c r="P22" s="19" t="b">
        <f t="shared" si="0"/>
        <v>1</v>
      </c>
      <c r="Q22" s="37" t="b">
        <f t="shared" si="4"/>
        <v>1</v>
      </c>
      <c r="R22" s="23"/>
      <c r="S22" s="23"/>
      <c r="T22" s="24"/>
      <c r="U22" s="24"/>
      <c r="V22" s="24"/>
      <c r="W22" s="24"/>
      <c r="X22" s="24"/>
    </row>
    <row r="23" spans="1:24" s="25" customFormat="1" ht="39.9" customHeight="1" thickBot="1" x14ac:dyDescent="0.35">
      <c r="A23" s="80" t="s">
        <v>40</v>
      </c>
      <c r="B23" s="81">
        <f t="shared" si="2"/>
        <v>8</v>
      </c>
      <c r="C23" s="82">
        <f t="shared" si="2"/>
        <v>124593306.83000001</v>
      </c>
      <c r="D23" s="83">
        <f t="shared" ref="D23:O23" si="7">D15+D19</f>
        <v>42543276.32</v>
      </c>
      <c r="E23" s="72">
        <f t="shared" si="7"/>
        <v>82050030.50999999</v>
      </c>
      <c r="F23" s="178">
        <f t="shared" si="7"/>
        <v>0</v>
      </c>
      <c r="G23" s="179">
        <f t="shared" si="7"/>
        <v>0</v>
      </c>
      <c r="H23" s="179">
        <f t="shared" si="7"/>
        <v>0</v>
      </c>
      <c r="I23" s="179">
        <f t="shared" si="7"/>
        <v>0</v>
      </c>
      <c r="J23" s="179">
        <f t="shared" si="7"/>
        <v>40836679.760000005</v>
      </c>
      <c r="K23" s="179">
        <f t="shared" si="7"/>
        <v>37714357.210000001</v>
      </c>
      <c r="L23" s="179">
        <f t="shared" si="7"/>
        <v>3498993.54</v>
      </c>
      <c r="M23" s="179">
        <f t="shared" si="7"/>
        <v>0</v>
      </c>
      <c r="N23" s="179">
        <f t="shared" si="7"/>
        <v>0</v>
      </c>
      <c r="O23" s="180">
        <f t="shared" si="7"/>
        <v>0</v>
      </c>
      <c r="P23" s="19" t="b">
        <f t="shared" ref="P23" si="8">C23=(D23+E23)</f>
        <v>1</v>
      </c>
      <c r="Q23" s="37" t="b">
        <f t="shared" ref="Q23" si="9">E23=SUM(F23:O23)</f>
        <v>1</v>
      </c>
      <c r="R23" s="23"/>
      <c r="S23" s="23"/>
      <c r="T23" s="24"/>
      <c r="U23" s="24"/>
      <c r="V23" s="24"/>
      <c r="W23" s="24"/>
      <c r="X23" s="24"/>
    </row>
    <row r="24" spans="1:24" ht="39.9" customHeight="1" thickTop="1" x14ac:dyDescent="0.3">
      <c r="A24" s="64" t="s">
        <v>2</v>
      </c>
      <c r="B24" s="65">
        <f>COUNTA('pow rez'!K3:K11)</f>
        <v>9</v>
      </c>
      <c r="C24" s="66">
        <f>SUM('pow rez'!J3:J11)</f>
        <v>74124227.800000012</v>
      </c>
      <c r="D24" s="67">
        <f>SUM('pow rez'!L3:L11)</f>
        <v>30585539.749999996</v>
      </c>
      <c r="E24" s="68">
        <f>SUM('pow rez'!K3:K11)</f>
        <v>43538688.050000012</v>
      </c>
      <c r="F24" s="154">
        <f>SUM('pow rez'!N3:N11)</f>
        <v>0</v>
      </c>
      <c r="G24" s="154">
        <f>SUM('pow rez'!O3:O11)</f>
        <v>0</v>
      </c>
      <c r="H24" s="154">
        <f>SUM('pow rez'!P3:P11)</f>
        <v>0</v>
      </c>
      <c r="I24" s="154">
        <f>SUM('pow rez'!Q3:Q11)</f>
        <v>0</v>
      </c>
      <c r="J24" s="154">
        <f>SUM('pow rez'!R3:R11)</f>
        <v>39325164.830000013</v>
      </c>
      <c r="K24" s="154">
        <f>SUM('pow rez'!S3:S11)</f>
        <v>4213523.22</v>
      </c>
      <c r="L24" s="154">
        <f>SUM('pow rez'!T3:T11)</f>
        <v>0</v>
      </c>
      <c r="M24" s="154">
        <f>SUM('pow rez'!U3:U11)</f>
        <v>0</v>
      </c>
      <c r="N24" s="154">
        <f>SUM('pow rez'!V3:V11)</f>
        <v>0</v>
      </c>
      <c r="O24" s="154">
        <f>SUM('pow rez'!W3:W11)</f>
        <v>0</v>
      </c>
      <c r="P24" s="19" t="b">
        <f t="shared" ref="P24:P36" si="10">C24=(D24+E24)</f>
        <v>1</v>
      </c>
      <c r="Q24" s="37" t="b">
        <f t="shared" ref="Q24:Q36" si="11">E24=SUM(F24:O24)</f>
        <v>1</v>
      </c>
      <c r="R24" s="20"/>
      <c r="S24" s="20"/>
      <c r="T24" s="21"/>
      <c r="U24" s="21"/>
      <c r="V24" s="21"/>
      <c r="W24" s="21"/>
      <c r="X24" s="21"/>
    </row>
    <row r="25" spans="1:24" ht="39.9" customHeight="1" x14ac:dyDescent="0.3">
      <c r="A25" s="70" t="s">
        <v>39</v>
      </c>
      <c r="B25" s="106">
        <f>COUNTIF('pow rez'!C3:C11,"N")</f>
        <v>8</v>
      </c>
      <c r="C25" s="107">
        <f>SUMIF('pow rez'!C3:C11,"N",'pow rez'!J3:J11)</f>
        <v>65529540.190000005</v>
      </c>
      <c r="D25" s="108">
        <f>SUMIF('pow rez'!C3:C11,"N",'pow rez'!L3:L11)</f>
        <v>26288195.949999996</v>
      </c>
      <c r="E25" s="40">
        <f>SUMIF('pow rez'!C3:C11,"N",'pow rez'!K3:K11)</f>
        <v>39241344.24000001</v>
      </c>
      <c r="F25" s="160">
        <f>SUMIF('pow rez'!$C$3:$C$11,"N",'pow rez'!N3:N11)</f>
        <v>0</v>
      </c>
      <c r="G25" s="160">
        <f>SUMIF('pow rez'!$C$3:$C$11,"N",'pow rez'!O3:O11)</f>
        <v>0</v>
      </c>
      <c r="H25" s="160">
        <f>SUMIF('pow rez'!$C$3:$C$11,"N",'pow rez'!P3:P11)</f>
        <v>0</v>
      </c>
      <c r="I25" s="160">
        <f>SUMIF('pow rez'!$C$3:$C$11,"N",'pow rez'!Q3:Q11)</f>
        <v>0</v>
      </c>
      <c r="J25" s="160">
        <f>SUMIF('pow rez'!$C$3:$C$11,"N",'pow rez'!R3:R11)</f>
        <v>39241344.24000001</v>
      </c>
      <c r="K25" s="160">
        <f>SUMIF('pow rez'!$C$3:$C$11,"N",'pow rez'!S3:S11)</f>
        <v>0</v>
      </c>
      <c r="L25" s="160">
        <f>SUMIF('pow rez'!$C$3:$C$11,"N",'pow rez'!T3:T11)</f>
        <v>0</v>
      </c>
      <c r="M25" s="160">
        <f>SUMIF('pow rez'!$C$3:$C$11,"N",'pow rez'!U3:U11)</f>
        <v>0</v>
      </c>
      <c r="N25" s="160">
        <f>SUMIF('pow rez'!$C$3:$C$11,"N",'pow rez'!V3:V11)</f>
        <v>0</v>
      </c>
      <c r="O25" s="160">
        <f>SUMIF('pow rez'!$C$3:$C$11,"N",'pow rez'!W3:W11)</f>
        <v>0</v>
      </c>
      <c r="P25" s="19" t="b">
        <f t="shared" si="10"/>
        <v>1</v>
      </c>
      <c r="Q25" s="37" t="b">
        <f t="shared" si="11"/>
        <v>1</v>
      </c>
      <c r="R25" s="20"/>
      <c r="S25" s="20"/>
      <c r="T25" s="21"/>
      <c r="U25" s="21"/>
      <c r="V25" s="21"/>
      <c r="W25" s="21"/>
      <c r="X25" s="21"/>
    </row>
    <row r="26" spans="1:24" ht="39.9" customHeight="1" thickBot="1" x14ac:dyDescent="0.35">
      <c r="A26" s="71" t="s">
        <v>40</v>
      </c>
      <c r="B26" s="109">
        <f>COUNTIF('pow rez'!C3:C11,"W")</f>
        <v>1</v>
      </c>
      <c r="C26" s="110">
        <f>SUMIF('pow rez'!C3:C11,"W",'pow rez'!J3:J11)</f>
        <v>8594687.6099999994</v>
      </c>
      <c r="D26" s="111">
        <f>SUMIF('pow rez'!C3:C11,"W",'pow rez'!L3:L11)</f>
        <v>4297343.8</v>
      </c>
      <c r="E26" s="72">
        <f>SUMIF('pow rez'!C3:C11,"W",'pow rez'!K3:K11)</f>
        <v>4297343.8099999996</v>
      </c>
      <c r="F26" s="163">
        <f>SUMIF('pow rez'!$C$3:$C$11,"W",'pow rez'!N3:N11)</f>
        <v>0</v>
      </c>
      <c r="G26" s="163">
        <f>SUMIF('pow rez'!$C$3:$C$11,"W",'pow rez'!O3:O11)</f>
        <v>0</v>
      </c>
      <c r="H26" s="163">
        <f>SUMIF('pow rez'!$C$3:$C$11,"W",'pow rez'!P3:P11)</f>
        <v>0</v>
      </c>
      <c r="I26" s="163">
        <f>SUMIF('pow rez'!$C$3:$C$11,"W",'pow rez'!Q3:Q11)</f>
        <v>0</v>
      </c>
      <c r="J26" s="163">
        <f>SUMIF('pow rez'!$C$3:$C$11,"W",'pow rez'!R3:R11)</f>
        <v>83820.59</v>
      </c>
      <c r="K26" s="163">
        <f>SUMIF('pow rez'!$C$3:$C$11,"W",'pow rez'!S3:S11)</f>
        <v>4213523.22</v>
      </c>
      <c r="L26" s="163">
        <f>SUMIF('pow rez'!$C$3:$C$11,"W",'pow rez'!T3:T11)</f>
        <v>0</v>
      </c>
      <c r="M26" s="163">
        <f>SUMIF('pow rez'!$C$3:$C$11,"W",'pow rez'!U3:U11)</f>
        <v>0</v>
      </c>
      <c r="N26" s="163">
        <f>SUMIF('pow rez'!$C$3:$C$11,"W",'pow rez'!V3:V11)</f>
        <v>0</v>
      </c>
      <c r="O26" s="163">
        <f>SUMIF('pow rez'!$C$3:$C$11,"W",'pow rez'!W3:W11)</f>
        <v>0</v>
      </c>
      <c r="P26" s="19" t="b">
        <f t="shared" si="10"/>
        <v>1</v>
      </c>
      <c r="Q26" s="37" t="b">
        <f t="shared" si="11"/>
        <v>1</v>
      </c>
      <c r="R26" s="20"/>
      <c r="S26" s="20"/>
      <c r="T26" s="21"/>
      <c r="U26" s="21"/>
      <c r="V26" s="21"/>
      <c r="W26" s="21"/>
      <c r="X26" s="21"/>
    </row>
    <row r="27" spans="1:24" ht="39.9" customHeight="1" thickTop="1" x14ac:dyDescent="0.3">
      <c r="A27" s="64" t="s">
        <v>3</v>
      </c>
      <c r="B27" s="65">
        <f>COUNTA('gm rez'!L2:L27)</f>
        <v>25</v>
      </c>
      <c r="C27" s="66">
        <f>SUM('gm rez'!K3:K27)</f>
        <v>20919212.219999995</v>
      </c>
      <c r="D27" s="67">
        <f>SUM('gm rez'!M3:M27)</f>
        <v>9890793.3599999994</v>
      </c>
      <c r="E27" s="68">
        <f>SUM('gm rez'!L3:L27)</f>
        <v>11028418.860000001</v>
      </c>
      <c r="F27" s="154">
        <f>SUM('gm rez'!O3:O27)</f>
        <v>0</v>
      </c>
      <c r="G27" s="154">
        <f>SUM('gm rez'!P3:P27)</f>
        <v>0</v>
      </c>
      <c r="H27" s="154">
        <f>SUM('gm rez'!Q3:Q27)</f>
        <v>0</v>
      </c>
      <c r="I27" s="154">
        <f>SUM('gm rez'!R3:R27)</f>
        <v>0</v>
      </c>
      <c r="J27" s="154">
        <f>SUM('gm rez'!S3:S27)</f>
        <v>11028418.860000001</v>
      </c>
      <c r="K27" s="154">
        <f>SUM('gm rez'!T3:T27)</f>
        <v>0</v>
      </c>
      <c r="L27" s="154">
        <f>SUM('gm rez'!U3:U27)</f>
        <v>0</v>
      </c>
      <c r="M27" s="154">
        <f>SUM('gm rez'!V3:V27)</f>
        <v>0</v>
      </c>
      <c r="N27" s="154">
        <f>SUM('gm rez'!W3:W27)</f>
        <v>0</v>
      </c>
      <c r="O27" s="156">
        <f>SUM('gm rez'!X3:X27)</f>
        <v>0</v>
      </c>
      <c r="P27" s="19" t="b">
        <f t="shared" si="10"/>
        <v>1</v>
      </c>
      <c r="Q27" s="37" t="b">
        <f t="shared" si="11"/>
        <v>1</v>
      </c>
      <c r="R27" s="26"/>
      <c r="S27" s="26"/>
      <c r="T27" s="27"/>
      <c r="U27" s="27"/>
      <c r="V27" s="22"/>
      <c r="W27" s="11"/>
      <c r="X27" s="11"/>
    </row>
    <row r="28" spans="1:24" ht="39.9" customHeight="1" x14ac:dyDescent="0.3">
      <c r="A28" s="70" t="s">
        <v>39</v>
      </c>
      <c r="B28" s="106">
        <f>COUNTIF('gm rez'!C3:C27,"N")</f>
        <v>25</v>
      </c>
      <c r="C28" s="107">
        <f>SUMIF('gm rez'!C3:C27,"N",'gm rez'!K3:K27)</f>
        <v>20919212.219999995</v>
      </c>
      <c r="D28" s="108">
        <f>SUMIF('gm rez'!C3:C27,"N",'gm rez'!M3:M27)</f>
        <v>9890793.3599999994</v>
      </c>
      <c r="E28" s="40">
        <f>SUMIF('gm rez'!C3:C27,"N",'gm rez'!L3:L27)</f>
        <v>11028418.860000001</v>
      </c>
      <c r="F28" s="160">
        <f>SUMIF('gm rez'!C3:C27,"N",'gm rez'!O3:O27)</f>
        <v>0</v>
      </c>
      <c r="G28" s="160">
        <f>SUMIF('gm rez'!C3:C27,"N",'gm rez'!P3:P27)</f>
        <v>0</v>
      </c>
      <c r="H28" s="160">
        <f>SUMIF('gm rez'!C3:C27,"N",'gm rez'!Q3:Q27)</f>
        <v>0</v>
      </c>
      <c r="I28" s="160">
        <f>SUMIF('gm rez'!C3:C27,"N",'gm rez'!R3:R27)</f>
        <v>0</v>
      </c>
      <c r="J28" s="160">
        <f>SUMIF('gm rez'!C3:C27,"N",'gm rez'!S3:S27)</f>
        <v>11028418.860000001</v>
      </c>
      <c r="K28" s="160">
        <f>SUMIF('gm rez'!C3:C27,"N",'gm rez'!T3:T27)</f>
        <v>0</v>
      </c>
      <c r="L28" s="160">
        <f>SUMIF('gm rez'!C3:C27,"N",'gm rez'!U3:U27)</f>
        <v>0</v>
      </c>
      <c r="M28" s="160">
        <f>SUMIF('gm rez'!C3:C27,"N",'gm rez'!V3:V27)</f>
        <v>0</v>
      </c>
      <c r="N28" s="160">
        <f>SUMIF('gm rez'!C3:C27,"N",'gm rez'!W3:W27)</f>
        <v>0</v>
      </c>
      <c r="O28" s="205">
        <f>SUMIF('gm rez'!C3:C27,"N",'gm rez'!X3:X27)</f>
        <v>0</v>
      </c>
      <c r="P28" s="19" t="b">
        <f t="shared" si="10"/>
        <v>1</v>
      </c>
      <c r="Q28" s="37" t="b">
        <f>E28=SUM(F28:O28)</f>
        <v>1</v>
      </c>
      <c r="R28" s="26"/>
      <c r="S28" s="26"/>
      <c r="T28" s="27"/>
      <c r="U28" s="27"/>
      <c r="V28" s="22"/>
      <c r="W28" s="11"/>
      <c r="X28" s="11"/>
    </row>
    <row r="29" spans="1:24" ht="39.9" customHeight="1" thickBot="1" x14ac:dyDescent="0.35">
      <c r="A29" s="71" t="s">
        <v>40</v>
      </c>
      <c r="B29" s="109">
        <f>COUNTIF('gm rez'!C3:C27,"W")</f>
        <v>0</v>
      </c>
      <c r="C29" s="110">
        <f>SUMIF('gm rez'!C3:C27,"W",'gm rez'!K3:K27)</f>
        <v>0</v>
      </c>
      <c r="D29" s="111">
        <f>SUMIF('gm rez'!C3:C27,"W",'gm rez'!M3:M27)</f>
        <v>0</v>
      </c>
      <c r="E29" s="72">
        <f>SUMIF('gm rez'!C3:C27,"W",'gm rez'!L3:L27)</f>
        <v>0</v>
      </c>
      <c r="F29" s="163">
        <f>SUMIF('gm rez'!C3:C27,"W",'gm rez'!O3:O27)</f>
        <v>0</v>
      </c>
      <c r="G29" s="163">
        <f>SUMIF('gm rez'!C3:C27,"W",'gm rez'!P3:P27)</f>
        <v>0</v>
      </c>
      <c r="H29" s="163">
        <f>SUMIF('gm rez'!C3:C27,"W",'gm rez'!Q3:Q27)</f>
        <v>0</v>
      </c>
      <c r="I29" s="163">
        <f>SUMIF('gm rez'!C3:C27,"W",'gm rez'!R3:R27)</f>
        <v>0</v>
      </c>
      <c r="J29" s="163">
        <f>SUMIF('gm rez'!C3:C27,"W",'gm rez'!S3:S27)</f>
        <v>0</v>
      </c>
      <c r="K29" s="163">
        <f>SUMIF('gm rez'!C3:C27,"W",'gm rez'!T3:T27)</f>
        <v>0</v>
      </c>
      <c r="L29" s="163">
        <f>SUMIF('gm rez'!C3:C27,"W",'gm rez'!U3:U27)</f>
        <v>0</v>
      </c>
      <c r="M29" s="163">
        <f>SUMIF('gm rez'!C3:C27,"W",'gm rez'!V3:V27)</f>
        <v>0</v>
      </c>
      <c r="N29" s="163">
        <f>SUMIF('gm rez'!C3:C27,"W",'gm rez'!W3:W27)</f>
        <v>0</v>
      </c>
      <c r="O29" s="206">
        <f>SUMIF('gm rez'!C3:C27,"W",'gm rez'!X3:X27)</f>
        <v>0</v>
      </c>
      <c r="P29" s="19" t="b">
        <f t="shared" si="10"/>
        <v>1</v>
      </c>
      <c r="Q29" s="37" t="b">
        <f t="shared" si="11"/>
        <v>1</v>
      </c>
      <c r="R29" s="26"/>
      <c r="S29" s="26"/>
      <c r="T29" s="27"/>
      <c r="U29" s="27"/>
      <c r="V29" s="22"/>
      <c r="W29" s="11"/>
      <c r="X29" s="11"/>
    </row>
    <row r="30" spans="1:24" ht="39.9" customHeight="1" thickTop="1" x14ac:dyDescent="0.3">
      <c r="A30" s="84" t="s">
        <v>23</v>
      </c>
      <c r="B30" s="85">
        <f>B24+B27</f>
        <v>34</v>
      </c>
      <c r="C30" s="86">
        <f t="shared" ref="C30:O30" si="12">C24+C27</f>
        <v>95043440.020000011</v>
      </c>
      <c r="D30" s="87">
        <f t="shared" si="12"/>
        <v>40476333.109999999</v>
      </c>
      <c r="E30" s="63">
        <f t="shared" si="12"/>
        <v>54567106.910000011</v>
      </c>
      <c r="F30" s="181">
        <f t="shared" si="12"/>
        <v>0</v>
      </c>
      <c r="G30" s="182">
        <f t="shared" si="12"/>
        <v>0</v>
      </c>
      <c r="H30" s="182">
        <f t="shared" si="12"/>
        <v>0</v>
      </c>
      <c r="I30" s="182">
        <f t="shared" si="12"/>
        <v>0</v>
      </c>
      <c r="J30" s="182">
        <f t="shared" si="12"/>
        <v>50353583.690000013</v>
      </c>
      <c r="K30" s="182">
        <f t="shared" si="12"/>
        <v>4213523.22</v>
      </c>
      <c r="L30" s="182">
        <f t="shared" si="12"/>
        <v>0</v>
      </c>
      <c r="M30" s="182">
        <f t="shared" si="12"/>
        <v>0</v>
      </c>
      <c r="N30" s="182">
        <f t="shared" si="12"/>
        <v>0</v>
      </c>
      <c r="O30" s="183">
        <f t="shared" si="12"/>
        <v>0</v>
      </c>
      <c r="P30" s="19" t="b">
        <f t="shared" si="10"/>
        <v>1</v>
      </c>
      <c r="Q30" s="37" t="b">
        <f t="shared" si="11"/>
        <v>1</v>
      </c>
      <c r="R30" s="28"/>
      <c r="S30" s="28"/>
      <c r="T30" s="2"/>
      <c r="U30" s="2"/>
    </row>
    <row r="31" spans="1:24" ht="39.9" customHeight="1" x14ac:dyDescent="0.3">
      <c r="A31" s="54" t="s">
        <v>39</v>
      </c>
      <c r="B31" s="52">
        <f t="shared" ref="B31:O31" si="13">B25+B28</f>
        <v>33</v>
      </c>
      <c r="C31" s="47">
        <f t="shared" si="13"/>
        <v>86448752.409999996</v>
      </c>
      <c r="D31" s="57">
        <f t="shared" si="13"/>
        <v>36178989.309999995</v>
      </c>
      <c r="E31" s="40">
        <f t="shared" si="13"/>
        <v>50269763.100000009</v>
      </c>
      <c r="F31" s="184">
        <f t="shared" si="13"/>
        <v>0</v>
      </c>
      <c r="G31" s="185">
        <f t="shared" si="13"/>
        <v>0</v>
      </c>
      <c r="H31" s="185">
        <f t="shared" si="13"/>
        <v>0</v>
      </c>
      <c r="I31" s="185">
        <f t="shared" si="13"/>
        <v>0</v>
      </c>
      <c r="J31" s="185">
        <f t="shared" si="13"/>
        <v>50269763.100000009</v>
      </c>
      <c r="K31" s="185">
        <f t="shared" si="13"/>
        <v>0</v>
      </c>
      <c r="L31" s="185">
        <f t="shared" si="13"/>
        <v>0</v>
      </c>
      <c r="M31" s="185">
        <f t="shared" si="13"/>
        <v>0</v>
      </c>
      <c r="N31" s="185">
        <f t="shared" si="13"/>
        <v>0</v>
      </c>
      <c r="O31" s="186">
        <f t="shared" si="13"/>
        <v>0</v>
      </c>
      <c r="P31" s="19" t="b">
        <f t="shared" si="10"/>
        <v>1</v>
      </c>
      <c r="Q31" s="37" t="b">
        <f t="shared" si="11"/>
        <v>1</v>
      </c>
      <c r="R31" s="28"/>
      <c r="S31" s="28"/>
      <c r="T31" s="2"/>
      <c r="U31" s="2"/>
    </row>
    <row r="32" spans="1:24" ht="39.9" customHeight="1" thickBot="1" x14ac:dyDescent="0.35">
      <c r="A32" s="88" t="s">
        <v>40</v>
      </c>
      <c r="B32" s="89">
        <f t="shared" ref="B32:O32" si="14">B26+B29</f>
        <v>1</v>
      </c>
      <c r="C32" s="90">
        <f t="shared" si="14"/>
        <v>8594687.6099999994</v>
      </c>
      <c r="D32" s="91">
        <f t="shared" si="14"/>
        <v>4297343.8</v>
      </c>
      <c r="E32" s="92">
        <f t="shared" si="14"/>
        <v>4297343.8099999996</v>
      </c>
      <c r="F32" s="187">
        <f t="shared" si="14"/>
        <v>0</v>
      </c>
      <c r="G32" s="188">
        <f t="shared" si="14"/>
        <v>0</v>
      </c>
      <c r="H32" s="188">
        <f t="shared" si="14"/>
        <v>0</v>
      </c>
      <c r="I32" s="188">
        <f t="shared" si="14"/>
        <v>0</v>
      </c>
      <c r="J32" s="188">
        <f t="shared" si="14"/>
        <v>83820.59</v>
      </c>
      <c r="K32" s="188">
        <f t="shared" si="14"/>
        <v>4213523.22</v>
      </c>
      <c r="L32" s="188">
        <f t="shared" si="14"/>
        <v>0</v>
      </c>
      <c r="M32" s="188">
        <f t="shared" si="14"/>
        <v>0</v>
      </c>
      <c r="N32" s="188">
        <f t="shared" si="14"/>
        <v>0</v>
      </c>
      <c r="O32" s="189">
        <f t="shared" si="14"/>
        <v>0</v>
      </c>
      <c r="P32" s="19" t="b">
        <f t="shared" si="10"/>
        <v>1</v>
      </c>
      <c r="Q32" s="37" t="b">
        <f t="shared" si="11"/>
        <v>1</v>
      </c>
      <c r="R32" s="28"/>
      <c r="S32" s="28"/>
      <c r="T32" s="2"/>
      <c r="U32" s="2"/>
    </row>
    <row r="33" spans="1:21" ht="39.9" customHeight="1" thickTop="1" x14ac:dyDescent="0.3">
      <c r="A33" s="93" t="s">
        <v>34</v>
      </c>
      <c r="B33" s="94">
        <f t="shared" ref="B33:O33" si="15">B20+B30</f>
        <v>149</v>
      </c>
      <c r="C33" s="95">
        <f t="shared" si="15"/>
        <v>764834784.27999973</v>
      </c>
      <c r="D33" s="96">
        <f t="shared" si="15"/>
        <v>337395006.03199995</v>
      </c>
      <c r="E33" s="97">
        <f t="shared" si="15"/>
        <v>427439778.24799997</v>
      </c>
      <c r="F33" s="190">
        <f t="shared" si="15"/>
        <v>0</v>
      </c>
      <c r="G33" s="191">
        <f t="shared" si="15"/>
        <v>0</v>
      </c>
      <c r="H33" s="191">
        <f t="shared" si="15"/>
        <v>24982017</v>
      </c>
      <c r="I33" s="191">
        <f t="shared" si="15"/>
        <v>31617249.199999996</v>
      </c>
      <c r="J33" s="191">
        <f t="shared" si="15"/>
        <v>321854192.60799998</v>
      </c>
      <c r="K33" s="191">
        <f t="shared" si="15"/>
        <v>45487325.899999999</v>
      </c>
      <c r="L33" s="191">
        <f t="shared" si="15"/>
        <v>3498993.54</v>
      </c>
      <c r="M33" s="191">
        <f t="shared" si="15"/>
        <v>0</v>
      </c>
      <c r="N33" s="191">
        <f t="shared" si="15"/>
        <v>0</v>
      </c>
      <c r="O33" s="192">
        <f t="shared" si="15"/>
        <v>0</v>
      </c>
      <c r="P33" s="19" t="b">
        <f>C33=(D33+E33)</f>
        <v>1</v>
      </c>
      <c r="Q33" s="37" t="b">
        <f>E33=SUM(F33:O33)</f>
        <v>1</v>
      </c>
      <c r="R33" s="28"/>
      <c r="S33" s="28"/>
      <c r="T33" s="2"/>
      <c r="U33" s="2"/>
    </row>
    <row r="34" spans="1:21" ht="39.9" customHeight="1" x14ac:dyDescent="0.3">
      <c r="A34" s="112" t="s">
        <v>38</v>
      </c>
      <c r="B34" s="113">
        <f t="shared" ref="B34:O34" si="16">B21</f>
        <v>19</v>
      </c>
      <c r="C34" s="114">
        <f t="shared" si="16"/>
        <v>201372616</v>
      </c>
      <c r="D34" s="115">
        <f t="shared" si="16"/>
        <v>101652012.50999999</v>
      </c>
      <c r="E34" s="41">
        <f t="shared" si="16"/>
        <v>99720603.489999995</v>
      </c>
      <c r="F34" s="193">
        <f t="shared" si="16"/>
        <v>0</v>
      </c>
      <c r="G34" s="194">
        <f t="shared" si="16"/>
        <v>0</v>
      </c>
      <c r="H34" s="194">
        <f t="shared" si="16"/>
        <v>24982017</v>
      </c>
      <c r="I34" s="194">
        <f t="shared" si="16"/>
        <v>31617249.199999996</v>
      </c>
      <c r="J34" s="194">
        <f t="shared" si="16"/>
        <v>39561891.82</v>
      </c>
      <c r="K34" s="194">
        <f t="shared" si="16"/>
        <v>3559445.47</v>
      </c>
      <c r="L34" s="194">
        <f t="shared" si="16"/>
        <v>0</v>
      </c>
      <c r="M34" s="194">
        <f t="shared" si="16"/>
        <v>0</v>
      </c>
      <c r="N34" s="194">
        <f t="shared" si="16"/>
        <v>0</v>
      </c>
      <c r="O34" s="195">
        <f t="shared" si="16"/>
        <v>0</v>
      </c>
      <c r="P34" s="19" t="b">
        <f>C34=(D34+E34)</f>
        <v>1</v>
      </c>
      <c r="Q34" s="37" t="b">
        <f>E34=SUM(F34:O34)</f>
        <v>1</v>
      </c>
      <c r="R34" s="28"/>
      <c r="S34" s="28"/>
      <c r="T34" s="2"/>
      <c r="U34" s="2"/>
    </row>
    <row r="35" spans="1:21" ht="39.9" customHeight="1" x14ac:dyDescent="0.3">
      <c r="A35" s="98" t="s">
        <v>39</v>
      </c>
      <c r="B35" s="53">
        <f t="shared" ref="B35:O35" si="17">B22+B31</f>
        <v>121</v>
      </c>
      <c r="C35" s="48">
        <f t="shared" si="17"/>
        <v>430274173.83999991</v>
      </c>
      <c r="D35" s="58">
        <f t="shared" si="17"/>
        <v>188902373.40200001</v>
      </c>
      <c r="E35" s="59">
        <f t="shared" si="17"/>
        <v>241371800.43800002</v>
      </c>
      <c r="F35" s="196">
        <f t="shared" si="17"/>
        <v>0</v>
      </c>
      <c r="G35" s="197">
        <f t="shared" si="17"/>
        <v>0</v>
      </c>
      <c r="H35" s="197">
        <f t="shared" si="17"/>
        <v>0</v>
      </c>
      <c r="I35" s="197">
        <f t="shared" si="17"/>
        <v>0</v>
      </c>
      <c r="J35" s="197">
        <f t="shared" si="17"/>
        <v>241371800.43800002</v>
      </c>
      <c r="K35" s="197">
        <f t="shared" si="17"/>
        <v>0</v>
      </c>
      <c r="L35" s="197">
        <f t="shared" si="17"/>
        <v>0</v>
      </c>
      <c r="M35" s="197">
        <f t="shared" si="17"/>
        <v>0</v>
      </c>
      <c r="N35" s="197">
        <f t="shared" si="17"/>
        <v>0</v>
      </c>
      <c r="O35" s="198">
        <f t="shared" si="17"/>
        <v>0</v>
      </c>
      <c r="P35" s="19" t="b">
        <f>C35=(D35+E35)</f>
        <v>1</v>
      </c>
      <c r="Q35" s="37" t="b">
        <f t="shared" si="11"/>
        <v>1</v>
      </c>
      <c r="R35" s="28"/>
      <c r="S35" s="28"/>
      <c r="T35" s="2"/>
      <c r="U35" s="2"/>
    </row>
    <row r="36" spans="1:21" ht="39.9" customHeight="1" thickBot="1" x14ac:dyDescent="0.35">
      <c r="A36" s="99" t="s">
        <v>40</v>
      </c>
      <c r="B36" s="100">
        <f t="shared" ref="B36:O36" si="18">B23+B32</f>
        <v>9</v>
      </c>
      <c r="C36" s="101">
        <f t="shared" si="18"/>
        <v>133187994.44000001</v>
      </c>
      <c r="D36" s="102">
        <f t="shared" si="18"/>
        <v>46840620.119999997</v>
      </c>
      <c r="E36" s="72">
        <f t="shared" si="18"/>
        <v>86347374.319999993</v>
      </c>
      <c r="F36" s="199">
        <f t="shared" si="18"/>
        <v>0</v>
      </c>
      <c r="G36" s="200">
        <f t="shared" si="18"/>
        <v>0</v>
      </c>
      <c r="H36" s="200">
        <f t="shared" si="18"/>
        <v>0</v>
      </c>
      <c r="I36" s="200">
        <f t="shared" si="18"/>
        <v>0</v>
      </c>
      <c r="J36" s="200">
        <f t="shared" si="18"/>
        <v>40920500.350000009</v>
      </c>
      <c r="K36" s="200">
        <f t="shared" si="18"/>
        <v>41927880.43</v>
      </c>
      <c r="L36" s="200">
        <f t="shared" si="18"/>
        <v>3498993.54</v>
      </c>
      <c r="M36" s="200">
        <f t="shared" si="18"/>
        <v>0</v>
      </c>
      <c r="N36" s="200">
        <f t="shared" si="18"/>
        <v>0</v>
      </c>
      <c r="O36" s="201">
        <f t="shared" si="18"/>
        <v>0</v>
      </c>
      <c r="P36" s="19" t="b">
        <f t="shared" si="10"/>
        <v>1</v>
      </c>
      <c r="Q36" s="37" t="b">
        <f t="shared" si="11"/>
        <v>1</v>
      </c>
      <c r="R36" s="28"/>
      <c r="S36" s="28"/>
      <c r="T36" s="2"/>
      <c r="U36" s="2"/>
    </row>
    <row r="37" spans="1:21" ht="15" thickTop="1" x14ac:dyDescent="0.3">
      <c r="A37" s="29"/>
      <c r="B37" s="29"/>
      <c r="C37" s="29"/>
      <c r="D37" s="29"/>
      <c r="E37" s="29"/>
      <c r="F37" s="202"/>
      <c r="G37" s="202"/>
      <c r="H37" s="202"/>
      <c r="I37" s="202"/>
      <c r="J37" s="202"/>
      <c r="K37" s="202"/>
      <c r="L37" s="202"/>
      <c r="M37" s="202"/>
      <c r="N37" s="202"/>
      <c r="O37" s="202"/>
      <c r="P37" s="29"/>
      <c r="Q37" s="29"/>
      <c r="R37" s="28"/>
      <c r="S37" s="28"/>
      <c r="T37" s="2"/>
      <c r="U37" s="2"/>
    </row>
    <row r="38" spans="1:21" x14ac:dyDescent="0.3">
      <c r="A38" s="29"/>
      <c r="B38" s="29"/>
      <c r="C38" s="29"/>
      <c r="D38" s="29"/>
      <c r="E38" s="29"/>
      <c r="F38" s="202"/>
      <c r="G38" s="202"/>
      <c r="H38" s="202"/>
      <c r="I38" s="202"/>
      <c r="J38" s="202"/>
      <c r="K38" s="202"/>
      <c r="L38" s="202"/>
      <c r="M38" s="202"/>
      <c r="N38" s="202"/>
      <c r="O38" s="202"/>
      <c r="P38" s="29"/>
      <c r="Q38" s="29"/>
      <c r="R38" s="28"/>
      <c r="S38" s="28"/>
      <c r="T38" s="2"/>
      <c r="U38" s="2"/>
    </row>
    <row r="39" spans="1:21" x14ac:dyDescent="0.3">
      <c r="A39" s="29"/>
      <c r="B39" s="29"/>
      <c r="C39" s="29"/>
      <c r="D39" s="29"/>
      <c r="E39" s="29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29"/>
      <c r="Q39" s="29"/>
      <c r="R39" s="28"/>
      <c r="S39" s="28"/>
      <c r="T39" s="2"/>
      <c r="U39" s="2"/>
    </row>
    <row r="40" spans="1:21" x14ac:dyDescent="0.3">
      <c r="A40" s="29"/>
      <c r="B40" s="29"/>
      <c r="C40" s="29"/>
      <c r="D40" s="29"/>
      <c r="E40" s="29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29"/>
      <c r="Q40" s="29"/>
      <c r="R40" s="28"/>
      <c r="S40" s="28"/>
      <c r="T40" s="2"/>
      <c r="U40" s="2"/>
    </row>
    <row r="41" spans="1:21" x14ac:dyDescent="0.3">
      <c r="A41" s="30"/>
      <c r="B41" s="30"/>
      <c r="C41" s="30"/>
      <c r="D41" s="30"/>
      <c r="E41" s="30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30"/>
      <c r="Q41" s="30"/>
      <c r="R41" s="2"/>
      <c r="S41" s="2"/>
      <c r="T41" s="2"/>
      <c r="U41" s="2"/>
    </row>
    <row r="42" spans="1:21" x14ac:dyDescent="0.3">
      <c r="A42" s="30"/>
      <c r="B42" s="30"/>
      <c r="C42" s="30"/>
      <c r="D42" s="30"/>
      <c r="E42" s="30"/>
      <c r="F42" s="203"/>
      <c r="G42" s="203"/>
      <c r="H42" s="203"/>
      <c r="I42" s="203"/>
      <c r="J42" s="203"/>
      <c r="K42" s="203"/>
      <c r="L42" s="203"/>
      <c r="M42" s="203"/>
      <c r="N42" s="203"/>
      <c r="O42" s="203"/>
      <c r="P42" s="30"/>
      <c r="Q42" s="30"/>
      <c r="R42" s="2"/>
      <c r="S42" s="2"/>
      <c r="T42" s="2"/>
      <c r="U42" s="2"/>
    </row>
    <row r="43" spans="1:21" x14ac:dyDescent="0.3">
      <c r="A43" s="30"/>
      <c r="B43" s="30"/>
      <c r="C43" s="30"/>
      <c r="D43" s="30"/>
      <c r="E43" s="30"/>
      <c r="F43" s="203"/>
      <c r="G43" s="203"/>
      <c r="H43" s="203"/>
      <c r="I43" s="203"/>
      <c r="J43" s="203"/>
      <c r="K43" s="203"/>
      <c r="L43" s="203"/>
      <c r="M43" s="203"/>
      <c r="N43" s="203"/>
      <c r="O43" s="203"/>
      <c r="P43" s="30"/>
      <c r="Q43" s="30"/>
      <c r="R43" s="2"/>
      <c r="S43" s="2"/>
      <c r="T43" s="2"/>
      <c r="U43" s="2"/>
    </row>
  </sheetData>
  <mergeCells count="7">
    <mergeCell ref="F2:N6"/>
    <mergeCell ref="F7:N7"/>
    <mergeCell ref="A10:A11"/>
    <mergeCell ref="B10:B11"/>
    <mergeCell ref="C10:C11"/>
    <mergeCell ref="D10:D11"/>
    <mergeCell ref="E10:E11"/>
  </mergeCells>
  <pageMargins left="0.70866141732283472" right="0.70866141732283472" top="0.74803149606299213" bottom="0.74803149606299213" header="0.31496062992125984" footer="0.31496062992125984"/>
  <pageSetup paperSize="8" scale="61" orientation="landscape" r:id="rId1"/>
  <headerFooter>
    <oddHeader>&amp;LWojewództwo Lubelskie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42"/>
  <sheetViews>
    <sheetView showGridLines="0" view="pageBreakPreview" zoomScale="90" zoomScaleNormal="90" zoomScaleSheetLayoutView="90" workbookViewId="0">
      <selection sqref="A1:A2"/>
    </sheetView>
  </sheetViews>
  <sheetFormatPr defaultColWidth="9.109375" defaultRowHeight="14.4" x14ac:dyDescent="0.3"/>
  <cols>
    <col min="1" max="1" width="8.5546875" style="38" customWidth="1"/>
    <col min="2" max="5" width="15.6640625" style="38" customWidth="1"/>
    <col min="6" max="6" width="72.33203125" style="38" customWidth="1"/>
    <col min="7" max="9" width="15.6640625" style="38" customWidth="1"/>
    <col min="10" max="10" width="15.6640625" style="4" customWidth="1"/>
    <col min="11" max="12" width="15.6640625" style="3" customWidth="1"/>
    <col min="13" max="13" width="15.6640625" style="145" customWidth="1"/>
    <col min="14" max="23" width="15.6640625" style="3" customWidth="1"/>
    <col min="24" max="24" width="15.6640625" style="38" customWidth="1"/>
    <col min="25" max="26" width="15.6640625" style="1" customWidth="1"/>
    <col min="27" max="27" width="15.6640625" style="38" customWidth="1"/>
    <col min="28" max="16384" width="9.109375" style="3"/>
  </cols>
  <sheetData>
    <row r="1" spans="1:27" x14ac:dyDescent="0.3">
      <c r="A1" s="234" t="s">
        <v>4</v>
      </c>
      <c r="B1" s="234" t="s">
        <v>5</v>
      </c>
      <c r="C1" s="235" t="s">
        <v>44</v>
      </c>
      <c r="D1" s="236" t="s">
        <v>6</v>
      </c>
      <c r="E1" s="236" t="s">
        <v>33</v>
      </c>
      <c r="F1" s="236" t="s">
        <v>7</v>
      </c>
      <c r="G1" s="234" t="s">
        <v>27</v>
      </c>
      <c r="H1" s="234" t="s">
        <v>8</v>
      </c>
      <c r="I1" s="234" t="s">
        <v>24</v>
      </c>
      <c r="J1" s="234" t="s">
        <v>9</v>
      </c>
      <c r="K1" s="234" t="s">
        <v>16</v>
      </c>
      <c r="L1" s="236" t="s">
        <v>13</v>
      </c>
      <c r="M1" s="237" t="s">
        <v>11</v>
      </c>
      <c r="N1" s="234" t="s">
        <v>12</v>
      </c>
      <c r="O1" s="234"/>
      <c r="P1" s="234"/>
      <c r="Q1" s="234"/>
      <c r="R1" s="234"/>
      <c r="S1" s="234"/>
      <c r="T1" s="234"/>
      <c r="U1" s="234"/>
      <c r="V1" s="234"/>
      <c r="W1" s="234"/>
      <c r="X1" s="238"/>
      <c r="Y1" s="238"/>
      <c r="Z1" s="238"/>
      <c r="AA1" s="239"/>
    </row>
    <row r="2" spans="1:27" ht="36" customHeight="1" x14ac:dyDescent="0.3">
      <c r="A2" s="234"/>
      <c r="B2" s="234"/>
      <c r="C2" s="240"/>
      <c r="D2" s="241"/>
      <c r="E2" s="241"/>
      <c r="F2" s="241"/>
      <c r="G2" s="234"/>
      <c r="H2" s="234"/>
      <c r="I2" s="234"/>
      <c r="J2" s="234"/>
      <c r="K2" s="234"/>
      <c r="L2" s="241"/>
      <c r="M2" s="237"/>
      <c r="N2" s="242">
        <v>2019</v>
      </c>
      <c r="O2" s="242">
        <v>2020</v>
      </c>
      <c r="P2" s="242">
        <v>2021</v>
      </c>
      <c r="Q2" s="242">
        <v>2022</v>
      </c>
      <c r="R2" s="242">
        <v>2023</v>
      </c>
      <c r="S2" s="242">
        <v>2024</v>
      </c>
      <c r="T2" s="242">
        <v>2025</v>
      </c>
      <c r="U2" s="242">
        <v>2026</v>
      </c>
      <c r="V2" s="242">
        <v>2027</v>
      </c>
      <c r="W2" s="242">
        <v>2028</v>
      </c>
      <c r="X2" s="238" t="s">
        <v>29</v>
      </c>
      <c r="Y2" s="238" t="s">
        <v>30</v>
      </c>
      <c r="Z2" s="238" t="s">
        <v>31</v>
      </c>
      <c r="AA2" s="243" t="s">
        <v>32</v>
      </c>
    </row>
    <row r="3" spans="1:27" s="116" customFormat="1" ht="34.200000000000003" x14ac:dyDescent="0.3">
      <c r="A3" s="244">
        <v>1</v>
      </c>
      <c r="B3" s="244" t="s">
        <v>49</v>
      </c>
      <c r="C3" s="245" t="s">
        <v>50</v>
      </c>
      <c r="D3" s="246" t="s">
        <v>51</v>
      </c>
      <c r="E3" s="246" t="s">
        <v>207</v>
      </c>
      <c r="F3" s="247" t="s">
        <v>52</v>
      </c>
      <c r="G3" s="244" t="s">
        <v>53</v>
      </c>
      <c r="H3" s="248">
        <v>28.199000000000002</v>
      </c>
      <c r="I3" s="249" t="s">
        <v>596</v>
      </c>
      <c r="J3" s="250">
        <v>24024876.07</v>
      </c>
      <c r="K3" s="250">
        <v>12224099</v>
      </c>
      <c r="L3" s="251">
        <v>11800777.07</v>
      </c>
      <c r="M3" s="252">
        <v>0.50880000000000003</v>
      </c>
      <c r="N3" s="253"/>
      <c r="O3" s="253"/>
      <c r="P3" s="251">
        <v>9859733</v>
      </c>
      <c r="Q3" s="251">
        <v>2364366</v>
      </c>
      <c r="R3" s="251"/>
      <c r="S3" s="251"/>
      <c r="T3" s="254"/>
      <c r="U3" s="255"/>
      <c r="V3" s="255"/>
      <c r="W3" s="255"/>
      <c r="X3" s="291" t="b">
        <f t="shared" ref="X3:X35" si="0">K3=SUM(N3:W3)</f>
        <v>1</v>
      </c>
      <c r="Y3" s="280">
        <f t="shared" ref="Y3:Y34" si="1">ROUND(K3/J3,4)</f>
        <v>0.50880000000000003</v>
      </c>
      <c r="Z3" s="292" t="b">
        <f t="shared" ref="Z3:Z31" si="2">Y3=M3</f>
        <v>1</v>
      </c>
      <c r="AA3" s="292" t="b">
        <f t="shared" ref="AA3:AA34" si="3">J3=K3+L3</f>
        <v>1</v>
      </c>
    </row>
    <row r="4" spans="1:27" s="116" customFormat="1" ht="34.200000000000003" x14ac:dyDescent="0.3">
      <c r="A4" s="244">
        <v>2</v>
      </c>
      <c r="B4" s="244" t="s">
        <v>54</v>
      </c>
      <c r="C4" s="245" t="s">
        <v>50</v>
      </c>
      <c r="D4" s="246" t="s">
        <v>51</v>
      </c>
      <c r="E4" s="246" t="s">
        <v>207</v>
      </c>
      <c r="F4" s="247" t="s">
        <v>55</v>
      </c>
      <c r="G4" s="244" t="s">
        <v>56</v>
      </c>
      <c r="H4" s="248">
        <v>14.837999999999999</v>
      </c>
      <c r="I4" s="249" t="s">
        <v>597</v>
      </c>
      <c r="J4" s="250">
        <v>21746464.210000001</v>
      </c>
      <c r="K4" s="250">
        <v>8026254</v>
      </c>
      <c r="L4" s="251">
        <v>13720210.210000001</v>
      </c>
      <c r="M4" s="252">
        <v>0.36909999999999998</v>
      </c>
      <c r="N4" s="253"/>
      <c r="O4" s="253"/>
      <c r="P4" s="251">
        <v>7196262</v>
      </c>
      <c r="Q4" s="251">
        <v>829992</v>
      </c>
      <c r="R4" s="251"/>
      <c r="S4" s="251"/>
      <c r="T4" s="254"/>
      <c r="U4" s="255"/>
      <c r="V4" s="255"/>
      <c r="W4" s="255"/>
      <c r="X4" s="291" t="b">
        <f t="shared" ref="X4:X31" si="4">K4=SUM(N4:W4)</f>
        <v>1</v>
      </c>
      <c r="Y4" s="280">
        <f t="shared" ref="Y4:Y31" si="5">ROUND(K4/J4,4)</f>
        <v>0.36909999999999998</v>
      </c>
      <c r="Z4" s="292" t="b">
        <f t="shared" ref="Z4:Z31" si="6">Y4=M4</f>
        <v>1</v>
      </c>
      <c r="AA4" s="292" t="b">
        <f t="shared" ref="AA4:AA31" si="7">J4=K4+L4</f>
        <v>1</v>
      </c>
    </row>
    <row r="5" spans="1:27" s="116" customFormat="1" ht="22.8" x14ac:dyDescent="0.3">
      <c r="A5" s="244">
        <v>3</v>
      </c>
      <c r="B5" s="244" t="s">
        <v>57</v>
      </c>
      <c r="C5" s="245" t="s">
        <v>50</v>
      </c>
      <c r="D5" s="246" t="s">
        <v>58</v>
      </c>
      <c r="E5" s="246" t="s">
        <v>201</v>
      </c>
      <c r="F5" s="247" t="s">
        <v>59</v>
      </c>
      <c r="G5" s="244" t="s">
        <v>56</v>
      </c>
      <c r="H5" s="248">
        <v>1.2170000000000001</v>
      </c>
      <c r="I5" s="249" t="s">
        <v>598</v>
      </c>
      <c r="J5" s="250">
        <v>6112616.8799999999</v>
      </c>
      <c r="K5" s="250">
        <v>3667570</v>
      </c>
      <c r="L5" s="251">
        <v>2445046.88</v>
      </c>
      <c r="M5" s="252">
        <v>0.6</v>
      </c>
      <c r="N5" s="253"/>
      <c r="O5" s="253"/>
      <c r="P5" s="251">
        <v>183378</v>
      </c>
      <c r="Q5" s="251">
        <v>1283650</v>
      </c>
      <c r="R5" s="251">
        <v>2200542</v>
      </c>
      <c r="S5" s="251"/>
      <c r="T5" s="254"/>
      <c r="U5" s="255"/>
      <c r="V5" s="255"/>
      <c r="W5" s="255"/>
      <c r="X5" s="291" t="b">
        <f t="shared" si="4"/>
        <v>1</v>
      </c>
      <c r="Y5" s="280">
        <f t="shared" si="5"/>
        <v>0.6</v>
      </c>
      <c r="Z5" s="292" t="b">
        <f t="shared" si="6"/>
        <v>1</v>
      </c>
      <c r="AA5" s="292" t="b">
        <f t="shared" si="7"/>
        <v>1</v>
      </c>
    </row>
    <row r="6" spans="1:27" s="116" customFormat="1" ht="22.8" x14ac:dyDescent="0.3">
      <c r="A6" s="244">
        <v>4</v>
      </c>
      <c r="B6" s="244" t="s">
        <v>60</v>
      </c>
      <c r="C6" s="245" t="s">
        <v>50</v>
      </c>
      <c r="D6" s="256" t="s">
        <v>61</v>
      </c>
      <c r="E6" s="256" t="s">
        <v>206</v>
      </c>
      <c r="F6" s="257" t="s">
        <v>62</v>
      </c>
      <c r="G6" s="244" t="s">
        <v>56</v>
      </c>
      <c r="H6" s="248">
        <v>9.4659999999999993</v>
      </c>
      <c r="I6" s="249" t="s">
        <v>599</v>
      </c>
      <c r="J6" s="258">
        <v>14391327.49</v>
      </c>
      <c r="K6" s="250">
        <v>7195663</v>
      </c>
      <c r="L6" s="251">
        <v>7195664.4900000002</v>
      </c>
      <c r="M6" s="252">
        <v>0.5</v>
      </c>
      <c r="N6" s="253"/>
      <c r="O6" s="253"/>
      <c r="P6" s="251">
        <v>1498424</v>
      </c>
      <c r="Q6" s="251">
        <v>3734103</v>
      </c>
      <c r="R6" s="251">
        <v>1963136</v>
      </c>
      <c r="S6" s="251"/>
      <c r="T6" s="254"/>
      <c r="U6" s="255"/>
      <c r="V6" s="255"/>
      <c r="W6" s="255"/>
      <c r="X6" s="291" t="b">
        <f t="shared" si="4"/>
        <v>1</v>
      </c>
      <c r="Y6" s="280">
        <f t="shared" si="5"/>
        <v>0.5</v>
      </c>
      <c r="Z6" s="292" t="b">
        <f t="shared" si="6"/>
        <v>1</v>
      </c>
      <c r="AA6" s="292" t="b">
        <f t="shared" si="7"/>
        <v>1</v>
      </c>
    </row>
    <row r="7" spans="1:27" s="116" customFormat="1" ht="34.200000000000003" x14ac:dyDescent="0.3">
      <c r="A7" s="244">
        <v>5</v>
      </c>
      <c r="B7" s="244" t="s">
        <v>63</v>
      </c>
      <c r="C7" s="245" t="s">
        <v>50</v>
      </c>
      <c r="D7" s="246" t="s">
        <v>64</v>
      </c>
      <c r="E7" s="246" t="s">
        <v>197</v>
      </c>
      <c r="F7" s="247" t="s">
        <v>65</v>
      </c>
      <c r="G7" s="244" t="s">
        <v>53</v>
      </c>
      <c r="H7" s="248">
        <v>8.5660000000000007</v>
      </c>
      <c r="I7" s="249" t="s">
        <v>600</v>
      </c>
      <c r="J7" s="259">
        <v>6815200.9000000004</v>
      </c>
      <c r="K7" s="260">
        <v>3833622</v>
      </c>
      <c r="L7" s="251">
        <v>2981578.9000000004</v>
      </c>
      <c r="M7" s="252">
        <v>0.5625</v>
      </c>
      <c r="N7" s="253"/>
      <c r="O7" s="253"/>
      <c r="P7" s="251">
        <v>1661960</v>
      </c>
      <c r="Q7" s="251">
        <v>0</v>
      </c>
      <c r="R7" s="251">
        <v>2171662</v>
      </c>
      <c r="S7" s="251"/>
      <c r="T7" s="254"/>
      <c r="U7" s="255"/>
      <c r="V7" s="255"/>
      <c r="W7" s="255"/>
      <c r="X7" s="291" t="b">
        <f t="shared" si="4"/>
        <v>1</v>
      </c>
      <c r="Y7" s="280">
        <f t="shared" si="5"/>
        <v>0.5625</v>
      </c>
      <c r="Z7" s="292" t="b">
        <f t="shared" si="6"/>
        <v>1</v>
      </c>
      <c r="AA7" s="292" t="b">
        <f t="shared" si="7"/>
        <v>1</v>
      </c>
    </row>
    <row r="8" spans="1:27" s="116" customFormat="1" ht="45.6" x14ac:dyDescent="0.3">
      <c r="A8" s="244">
        <v>6</v>
      </c>
      <c r="B8" s="244" t="s">
        <v>66</v>
      </c>
      <c r="C8" s="245" t="s">
        <v>50</v>
      </c>
      <c r="D8" s="246" t="s">
        <v>51</v>
      </c>
      <c r="E8" s="246" t="s">
        <v>207</v>
      </c>
      <c r="F8" s="247" t="s">
        <v>67</v>
      </c>
      <c r="G8" s="244" t="s">
        <v>53</v>
      </c>
      <c r="H8" s="248">
        <v>14.148</v>
      </c>
      <c r="I8" s="249" t="s">
        <v>601</v>
      </c>
      <c r="J8" s="259">
        <v>14312646.08</v>
      </c>
      <c r="K8" s="250">
        <v>8587587</v>
      </c>
      <c r="L8" s="251">
        <v>5725059.0800000001</v>
      </c>
      <c r="M8" s="252">
        <v>0.6</v>
      </c>
      <c r="N8" s="253"/>
      <c r="O8" s="253"/>
      <c r="P8" s="251">
        <v>4064516</v>
      </c>
      <c r="Q8" s="251">
        <v>867091</v>
      </c>
      <c r="R8" s="251">
        <v>3655980</v>
      </c>
      <c r="S8" s="251"/>
      <c r="T8" s="254"/>
      <c r="U8" s="255"/>
      <c r="V8" s="255"/>
      <c r="W8" s="255"/>
      <c r="X8" s="291" t="b">
        <f t="shared" si="4"/>
        <v>1</v>
      </c>
      <c r="Y8" s="280">
        <f t="shared" si="5"/>
        <v>0.6</v>
      </c>
      <c r="Z8" s="292" t="b">
        <f t="shared" si="6"/>
        <v>1</v>
      </c>
      <c r="AA8" s="292" t="b">
        <f t="shared" si="7"/>
        <v>1</v>
      </c>
    </row>
    <row r="9" spans="1:27" s="116" customFormat="1" x14ac:dyDescent="0.3">
      <c r="A9" s="244">
        <v>7</v>
      </c>
      <c r="B9" s="244" t="s">
        <v>68</v>
      </c>
      <c r="C9" s="245" t="s">
        <v>50</v>
      </c>
      <c r="D9" s="246" t="s">
        <v>69</v>
      </c>
      <c r="E9" s="246" t="s">
        <v>196</v>
      </c>
      <c r="F9" s="247" t="s">
        <v>70</v>
      </c>
      <c r="G9" s="244" t="s">
        <v>53</v>
      </c>
      <c r="H9" s="248">
        <v>3.847</v>
      </c>
      <c r="I9" s="249" t="s">
        <v>602</v>
      </c>
      <c r="J9" s="250">
        <v>13836063.220000001</v>
      </c>
      <c r="K9" s="250">
        <v>7329067.1799999997</v>
      </c>
      <c r="L9" s="251">
        <v>6506996.040000001</v>
      </c>
      <c r="M9" s="252">
        <v>0.52969999999999995</v>
      </c>
      <c r="N9" s="253"/>
      <c r="O9" s="253"/>
      <c r="P9" s="251"/>
      <c r="Q9" s="251">
        <v>3630307.55</v>
      </c>
      <c r="R9" s="251">
        <v>3698759.63</v>
      </c>
      <c r="S9" s="251"/>
      <c r="T9" s="254"/>
      <c r="U9" s="255"/>
      <c r="V9" s="255"/>
      <c r="W9" s="255"/>
      <c r="X9" s="291" t="b">
        <f t="shared" si="4"/>
        <v>1</v>
      </c>
      <c r="Y9" s="280">
        <f t="shared" si="5"/>
        <v>0.52969999999999995</v>
      </c>
      <c r="Z9" s="292" t="b">
        <f t="shared" si="6"/>
        <v>1</v>
      </c>
      <c r="AA9" s="292" t="b">
        <f t="shared" si="7"/>
        <v>1</v>
      </c>
    </row>
    <row r="10" spans="1:27" s="116" customFormat="1" ht="22.8" x14ac:dyDescent="0.3">
      <c r="A10" s="244">
        <v>8</v>
      </c>
      <c r="B10" s="244" t="s">
        <v>71</v>
      </c>
      <c r="C10" s="245" t="s">
        <v>50</v>
      </c>
      <c r="D10" s="256" t="s">
        <v>72</v>
      </c>
      <c r="E10" s="256" t="s">
        <v>199</v>
      </c>
      <c r="F10" s="257" t="s">
        <v>73</v>
      </c>
      <c r="G10" s="244" t="s">
        <v>53</v>
      </c>
      <c r="H10" s="248">
        <v>8.2200000000000006</v>
      </c>
      <c r="I10" s="249" t="s">
        <v>603</v>
      </c>
      <c r="J10" s="258">
        <v>8756936.1600000001</v>
      </c>
      <c r="K10" s="250">
        <v>4073561.36</v>
      </c>
      <c r="L10" s="251">
        <v>4683374.8000000007</v>
      </c>
      <c r="M10" s="252">
        <v>0.4652</v>
      </c>
      <c r="N10" s="253"/>
      <c r="O10" s="253"/>
      <c r="P10" s="251"/>
      <c r="Q10" s="251">
        <v>2444136.8199999998</v>
      </c>
      <c r="R10" s="251">
        <v>1629424.54</v>
      </c>
      <c r="S10" s="251"/>
      <c r="T10" s="254"/>
      <c r="U10" s="255"/>
      <c r="V10" s="255"/>
      <c r="W10" s="255"/>
      <c r="X10" s="291" t="b">
        <f t="shared" si="4"/>
        <v>1</v>
      </c>
      <c r="Y10" s="280">
        <f t="shared" si="5"/>
        <v>0.4652</v>
      </c>
      <c r="Z10" s="292" t="b">
        <f t="shared" si="6"/>
        <v>1</v>
      </c>
      <c r="AA10" s="292" t="b">
        <f t="shared" si="7"/>
        <v>1</v>
      </c>
    </row>
    <row r="11" spans="1:27" s="116" customFormat="1" ht="22.8" x14ac:dyDescent="0.3">
      <c r="A11" s="244">
        <v>9</v>
      </c>
      <c r="B11" s="244" t="s">
        <v>74</v>
      </c>
      <c r="C11" s="245" t="s">
        <v>50</v>
      </c>
      <c r="D11" s="256" t="s">
        <v>61</v>
      </c>
      <c r="E11" s="256" t="s">
        <v>206</v>
      </c>
      <c r="F11" s="257" t="s">
        <v>75</v>
      </c>
      <c r="G11" s="244" t="s">
        <v>56</v>
      </c>
      <c r="H11" s="248">
        <v>10.07</v>
      </c>
      <c r="I11" s="249" t="s">
        <v>604</v>
      </c>
      <c r="J11" s="261">
        <v>20999030.199999999</v>
      </c>
      <c r="K11" s="250">
        <v>10499515.1</v>
      </c>
      <c r="L11" s="251">
        <v>10499515.1</v>
      </c>
      <c r="M11" s="252">
        <v>0.5</v>
      </c>
      <c r="N11" s="253"/>
      <c r="O11" s="253"/>
      <c r="P11" s="251"/>
      <c r="Q11" s="251">
        <v>2100894.27</v>
      </c>
      <c r="R11" s="251">
        <v>5249048.1500000004</v>
      </c>
      <c r="S11" s="251">
        <v>3149572.68</v>
      </c>
      <c r="T11" s="254"/>
      <c r="U11" s="255"/>
      <c r="V11" s="255"/>
      <c r="W11" s="255"/>
      <c r="X11" s="291" t="b">
        <f t="shared" si="4"/>
        <v>1</v>
      </c>
      <c r="Y11" s="280">
        <f t="shared" si="5"/>
        <v>0.5</v>
      </c>
      <c r="Z11" s="292" t="b">
        <f t="shared" si="6"/>
        <v>1</v>
      </c>
      <c r="AA11" s="292" t="b">
        <f t="shared" si="7"/>
        <v>1</v>
      </c>
    </row>
    <row r="12" spans="1:27" s="116" customFormat="1" x14ac:dyDescent="0.3">
      <c r="A12" s="244">
        <v>10</v>
      </c>
      <c r="B12" s="244" t="s">
        <v>76</v>
      </c>
      <c r="C12" s="245" t="s">
        <v>50</v>
      </c>
      <c r="D12" s="246" t="s">
        <v>58</v>
      </c>
      <c r="E12" s="246" t="s">
        <v>201</v>
      </c>
      <c r="F12" s="247" t="s">
        <v>77</v>
      </c>
      <c r="G12" s="244" t="s">
        <v>53</v>
      </c>
      <c r="H12" s="248">
        <v>5.0830000000000002</v>
      </c>
      <c r="I12" s="249" t="s">
        <v>605</v>
      </c>
      <c r="J12" s="259">
        <v>12075465.279999999</v>
      </c>
      <c r="K12" s="250">
        <v>5482255.8499999996</v>
      </c>
      <c r="L12" s="251">
        <v>6593209.4299999997</v>
      </c>
      <c r="M12" s="252">
        <v>0.45400000000000001</v>
      </c>
      <c r="N12" s="253"/>
      <c r="O12" s="253"/>
      <c r="P12" s="251"/>
      <c r="Q12" s="251">
        <v>1626307.16</v>
      </c>
      <c r="R12" s="251">
        <v>3855948.6899999995</v>
      </c>
      <c r="S12" s="251"/>
      <c r="T12" s="254"/>
      <c r="U12" s="255"/>
      <c r="V12" s="255"/>
      <c r="W12" s="255"/>
      <c r="X12" s="291" t="b">
        <f t="shared" si="4"/>
        <v>1</v>
      </c>
      <c r="Y12" s="280">
        <f t="shared" si="5"/>
        <v>0.45400000000000001</v>
      </c>
      <c r="Z12" s="292" t="b">
        <f t="shared" si="6"/>
        <v>1</v>
      </c>
      <c r="AA12" s="292" t="b">
        <f t="shared" si="7"/>
        <v>1</v>
      </c>
    </row>
    <row r="13" spans="1:27" s="211" customFormat="1" x14ac:dyDescent="0.3">
      <c r="A13" s="262">
        <v>11</v>
      </c>
      <c r="B13" s="262" t="s">
        <v>208</v>
      </c>
      <c r="C13" s="262" t="s">
        <v>209</v>
      </c>
      <c r="D13" s="262" t="s">
        <v>58</v>
      </c>
      <c r="E13" s="262" t="s">
        <v>201</v>
      </c>
      <c r="F13" s="263" t="s">
        <v>210</v>
      </c>
      <c r="G13" s="264" t="s">
        <v>53</v>
      </c>
      <c r="H13" s="265">
        <v>6.2869999999999999</v>
      </c>
      <c r="I13" s="266" t="s">
        <v>211</v>
      </c>
      <c r="J13" s="267">
        <v>22317547.100000001</v>
      </c>
      <c r="K13" s="268">
        <v>17854037.68</v>
      </c>
      <c r="L13" s="269">
        <f t="shared" ref="L13:L31" si="8">J13-K13</f>
        <v>4463509.4200000018</v>
      </c>
      <c r="M13" s="270">
        <f>K13/J13</f>
        <v>0.79999999999999993</v>
      </c>
      <c r="N13" s="271"/>
      <c r="O13" s="272"/>
      <c r="P13" s="272"/>
      <c r="Q13" s="272"/>
      <c r="R13" s="251">
        <v>11852856.779999999</v>
      </c>
      <c r="S13" s="251">
        <v>6001180.9000000004</v>
      </c>
      <c r="T13" s="273"/>
      <c r="U13" s="273"/>
      <c r="V13" s="273"/>
      <c r="W13" s="255"/>
      <c r="X13" s="291" t="b">
        <f t="shared" si="4"/>
        <v>1</v>
      </c>
      <c r="Y13" s="280">
        <f t="shared" si="5"/>
        <v>0.8</v>
      </c>
      <c r="Z13" s="292" t="b">
        <f t="shared" si="6"/>
        <v>1</v>
      </c>
      <c r="AA13" s="292" t="b">
        <f t="shared" si="7"/>
        <v>1</v>
      </c>
    </row>
    <row r="14" spans="1:27" ht="22.8" x14ac:dyDescent="0.3">
      <c r="A14" s="123">
        <v>12</v>
      </c>
      <c r="B14" s="123" t="s">
        <v>212</v>
      </c>
      <c r="C14" s="123" t="s">
        <v>213</v>
      </c>
      <c r="D14" s="123" t="s">
        <v>214</v>
      </c>
      <c r="E14" s="123" t="s">
        <v>195</v>
      </c>
      <c r="F14" s="207" t="s">
        <v>215</v>
      </c>
      <c r="G14" s="124" t="s">
        <v>56</v>
      </c>
      <c r="H14" s="125">
        <v>4.07</v>
      </c>
      <c r="I14" s="126" t="s">
        <v>216</v>
      </c>
      <c r="J14" s="127">
        <v>26614220.07</v>
      </c>
      <c r="K14" s="274">
        <f t="shared" ref="K14:K23" si="9">ROUND(J14*M14,2)</f>
        <v>15968532.039999999</v>
      </c>
      <c r="L14" s="129">
        <f t="shared" si="8"/>
        <v>10645688.030000001</v>
      </c>
      <c r="M14" s="141">
        <v>0.6</v>
      </c>
      <c r="N14" s="271"/>
      <c r="O14" s="272"/>
      <c r="P14" s="272"/>
      <c r="Q14" s="272"/>
      <c r="R14" s="272">
        <f t="shared" ref="R14:R23" si="10">K14</f>
        <v>15968532.039999999</v>
      </c>
      <c r="S14" s="275"/>
      <c r="T14" s="273"/>
      <c r="U14" s="273"/>
      <c r="V14" s="273"/>
      <c r="W14" s="255"/>
      <c r="X14" s="291" t="b">
        <f t="shared" si="4"/>
        <v>1</v>
      </c>
      <c r="Y14" s="280">
        <f t="shared" si="5"/>
        <v>0.6</v>
      </c>
      <c r="Z14" s="292" t="b">
        <f t="shared" si="6"/>
        <v>1</v>
      </c>
      <c r="AA14" s="292" t="b">
        <f t="shared" si="7"/>
        <v>1</v>
      </c>
    </row>
    <row r="15" spans="1:27" ht="22.8" x14ac:dyDescent="0.3">
      <c r="A15" s="123">
        <v>13</v>
      </c>
      <c r="B15" s="123" t="s">
        <v>217</v>
      </c>
      <c r="C15" s="123" t="s">
        <v>213</v>
      </c>
      <c r="D15" s="123" t="s">
        <v>218</v>
      </c>
      <c r="E15" s="123" t="s">
        <v>194</v>
      </c>
      <c r="F15" s="207" t="s">
        <v>219</v>
      </c>
      <c r="G15" s="130" t="s">
        <v>53</v>
      </c>
      <c r="H15" s="125">
        <v>10.569000000000001</v>
      </c>
      <c r="I15" s="131" t="s">
        <v>220</v>
      </c>
      <c r="J15" s="128">
        <v>17211070.059999999</v>
      </c>
      <c r="K15" s="274">
        <f t="shared" si="9"/>
        <v>10326642.039999999</v>
      </c>
      <c r="L15" s="129">
        <f t="shared" si="8"/>
        <v>6884428.0199999996</v>
      </c>
      <c r="M15" s="141">
        <v>0.6</v>
      </c>
      <c r="N15" s="271"/>
      <c r="O15" s="272"/>
      <c r="P15" s="272"/>
      <c r="Q15" s="272"/>
      <c r="R15" s="272">
        <f t="shared" si="10"/>
        <v>10326642.039999999</v>
      </c>
      <c r="S15" s="275"/>
      <c r="T15" s="273"/>
      <c r="U15" s="273"/>
      <c r="V15" s="273"/>
      <c r="W15" s="255"/>
      <c r="X15" s="291" t="b">
        <f t="shared" si="4"/>
        <v>1</v>
      </c>
      <c r="Y15" s="280">
        <f t="shared" si="5"/>
        <v>0.6</v>
      </c>
      <c r="Z15" s="292" t="b">
        <f t="shared" si="6"/>
        <v>1</v>
      </c>
      <c r="AA15" s="292" t="b">
        <f t="shared" si="7"/>
        <v>1</v>
      </c>
    </row>
    <row r="16" spans="1:27" ht="22.8" x14ac:dyDescent="0.3">
      <c r="A16" s="132">
        <v>14</v>
      </c>
      <c r="B16" s="132" t="s">
        <v>221</v>
      </c>
      <c r="C16" s="132" t="s">
        <v>213</v>
      </c>
      <c r="D16" s="132" t="s">
        <v>222</v>
      </c>
      <c r="E16" s="123" t="s">
        <v>193</v>
      </c>
      <c r="F16" s="208" t="s">
        <v>223</v>
      </c>
      <c r="G16" s="133" t="s">
        <v>56</v>
      </c>
      <c r="H16" s="134">
        <v>8.2460000000000004</v>
      </c>
      <c r="I16" s="135" t="s">
        <v>224</v>
      </c>
      <c r="J16" s="136">
        <v>24144542.68</v>
      </c>
      <c r="K16" s="274">
        <f t="shared" si="9"/>
        <v>14486725.609999999</v>
      </c>
      <c r="L16" s="129">
        <f t="shared" si="8"/>
        <v>9657817.0700000003</v>
      </c>
      <c r="M16" s="142">
        <v>0.6</v>
      </c>
      <c r="N16" s="271"/>
      <c r="O16" s="272"/>
      <c r="P16" s="272"/>
      <c r="Q16" s="272"/>
      <c r="R16" s="272">
        <f t="shared" si="10"/>
        <v>14486725.609999999</v>
      </c>
      <c r="S16" s="275"/>
      <c r="T16" s="273"/>
      <c r="U16" s="273"/>
      <c r="V16" s="273"/>
      <c r="W16" s="255"/>
      <c r="X16" s="291" t="b">
        <f t="shared" si="4"/>
        <v>1</v>
      </c>
      <c r="Y16" s="280">
        <f t="shared" si="5"/>
        <v>0.6</v>
      </c>
      <c r="Z16" s="292" t="b">
        <f t="shared" si="6"/>
        <v>1</v>
      </c>
      <c r="AA16" s="292" t="b">
        <f t="shared" si="7"/>
        <v>1</v>
      </c>
    </row>
    <row r="17" spans="1:27" ht="22.8" x14ac:dyDescent="0.3">
      <c r="A17" s="123">
        <v>15</v>
      </c>
      <c r="B17" s="123" t="s">
        <v>225</v>
      </c>
      <c r="C17" s="123" t="s">
        <v>213</v>
      </c>
      <c r="D17" s="123" t="s">
        <v>214</v>
      </c>
      <c r="E17" s="123" t="s">
        <v>195</v>
      </c>
      <c r="F17" s="207" t="s">
        <v>226</v>
      </c>
      <c r="G17" s="124" t="s">
        <v>56</v>
      </c>
      <c r="H17" s="125">
        <v>3.363</v>
      </c>
      <c r="I17" s="126" t="s">
        <v>216</v>
      </c>
      <c r="J17" s="127">
        <v>22546056.289999999</v>
      </c>
      <c r="K17" s="274">
        <f t="shared" si="9"/>
        <v>13527633.77</v>
      </c>
      <c r="L17" s="129">
        <f t="shared" si="8"/>
        <v>9018422.5199999996</v>
      </c>
      <c r="M17" s="141">
        <v>0.6</v>
      </c>
      <c r="N17" s="271"/>
      <c r="O17" s="272"/>
      <c r="P17" s="272"/>
      <c r="Q17" s="272"/>
      <c r="R17" s="272">
        <f t="shared" si="10"/>
        <v>13527633.77</v>
      </c>
      <c r="S17" s="275"/>
      <c r="T17" s="273"/>
      <c r="U17" s="273"/>
      <c r="V17" s="273"/>
      <c r="W17" s="255"/>
      <c r="X17" s="291" t="b">
        <f t="shared" si="4"/>
        <v>1</v>
      </c>
      <c r="Y17" s="280">
        <f t="shared" si="5"/>
        <v>0.6</v>
      </c>
      <c r="Z17" s="292" t="b">
        <f t="shared" si="6"/>
        <v>1</v>
      </c>
      <c r="AA17" s="292" t="b">
        <f t="shared" si="7"/>
        <v>1</v>
      </c>
    </row>
    <row r="18" spans="1:27" x14ac:dyDescent="0.3">
      <c r="A18" s="123">
        <v>16</v>
      </c>
      <c r="B18" s="123" t="s">
        <v>227</v>
      </c>
      <c r="C18" s="123" t="s">
        <v>213</v>
      </c>
      <c r="D18" s="123" t="s">
        <v>228</v>
      </c>
      <c r="E18" s="123" t="s">
        <v>119</v>
      </c>
      <c r="F18" s="207" t="s">
        <v>229</v>
      </c>
      <c r="G18" s="130" t="s">
        <v>53</v>
      </c>
      <c r="H18" s="125">
        <v>1.7749999999999999</v>
      </c>
      <c r="I18" s="126" t="s">
        <v>230</v>
      </c>
      <c r="J18" s="127">
        <v>18181889.539999999</v>
      </c>
      <c r="K18" s="274">
        <f t="shared" si="9"/>
        <v>10909133.720000001</v>
      </c>
      <c r="L18" s="129">
        <f t="shared" si="8"/>
        <v>7272755.8199999984</v>
      </c>
      <c r="M18" s="141">
        <v>0.6</v>
      </c>
      <c r="N18" s="271"/>
      <c r="O18" s="272"/>
      <c r="P18" s="272"/>
      <c r="Q18" s="272"/>
      <c r="R18" s="272">
        <f t="shared" si="10"/>
        <v>10909133.720000001</v>
      </c>
      <c r="S18" s="275"/>
      <c r="T18" s="273"/>
      <c r="U18" s="273"/>
      <c r="V18" s="273"/>
      <c r="W18" s="255"/>
      <c r="X18" s="291" t="b">
        <f t="shared" si="4"/>
        <v>1</v>
      </c>
      <c r="Y18" s="280">
        <f t="shared" si="5"/>
        <v>0.6</v>
      </c>
      <c r="Z18" s="292" t="b">
        <f t="shared" si="6"/>
        <v>1</v>
      </c>
      <c r="AA18" s="292" t="b">
        <f t="shared" si="7"/>
        <v>1</v>
      </c>
    </row>
    <row r="19" spans="1:27" ht="22.8" x14ac:dyDescent="0.3">
      <c r="A19" s="123">
        <v>17</v>
      </c>
      <c r="B19" s="123" t="s">
        <v>231</v>
      </c>
      <c r="C19" s="123" t="s">
        <v>213</v>
      </c>
      <c r="D19" s="123" t="s">
        <v>232</v>
      </c>
      <c r="E19" s="146" t="s">
        <v>205</v>
      </c>
      <c r="F19" s="207" t="s">
        <v>233</v>
      </c>
      <c r="G19" s="130" t="s">
        <v>56</v>
      </c>
      <c r="H19" s="125">
        <v>2.5089999999999999</v>
      </c>
      <c r="I19" s="126" t="s">
        <v>234</v>
      </c>
      <c r="J19" s="127">
        <v>9104798.4000000004</v>
      </c>
      <c r="K19" s="274">
        <f t="shared" si="9"/>
        <v>4552399.2</v>
      </c>
      <c r="L19" s="129">
        <f t="shared" si="8"/>
        <v>4552399.2</v>
      </c>
      <c r="M19" s="141">
        <v>0.5</v>
      </c>
      <c r="N19" s="271"/>
      <c r="O19" s="272"/>
      <c r="P19" s="272"/>
      <c r="Q19" s="272"/>
      <c r="R19" s="272">
        <f t="shared" si="10"/>
        <v>4552399.2</v>
      </c>
      <c r="S19" s="275"/>
      <c r="T19" s="273"/>
      <c r="U19" s="273"/>
      <c r="V19" s="273"/>
      <c r="W19" s="255"/>
      <c r="X19" s="291" t="b">
        <f t="shared" si="4"/>
        <v>1</v>
      </c>
      <c r="Y19" s="280">
        <f t="shared" si="5"/>
        <v>0.5</v>
      </c>
      <c r="Z19" s="292" t="b">
        <f t="shared" si="6"/>
        <v>1</v>
      </c>
      <c r="AA19" s="292" t="b">
        <f t="shared" si="7"/>
        <v>1</v>
      </c>
    </row>
    <row r="20" spans="1:27" ht="22.8" x14ac:dyDescent="0.3">
      <c r="A20" s="123">
        <v>18</v>
      </c>
      <c r="B20" s="123" t="s">
        <v>235</v>
      </c>
      <c r="C20" s="123" t="s">
        <v>213</v>
      </c>
      <c r="D20" s="123" t="s">
        <v>236</v>
      </c>
      <c r="E20" s="123" t="s">
        <v>204</v>
      </c>
      <c r="F20" s="207" t="s">
        <v>237</v>
      </c>
      <c r="G20" s="130" t="s">
        <v>56</v>
      </c>
      <c r="H20" s="125">
        <v>2.2949999999999999</v>
      </c>
      <c r="I20" s="131" t="s">
        <v>230</v>
      </c>
      <c r="J20" s="128">
        <v>4861318.87</v>
      </c>
      <c r="K20" s="274">
        <f>ROUND(J20*M20,2)</f>
        <v>2430659.44</v>
      </c>
      <c r="L20" s="129">
        <f t="shared" si="8"/>
        <v>2430659.4300000002</v>
      </c>
      <c r="M20" s="141">
        <v>0.5</v>
      </c>
      <c r="N20" s="271"/>
      <c r="O20" s="272"/>
      <c r="P20" s="272"/>
      <c r="Q20" s="272"/>
      <c r="R20" s="272">
        <f t="shared" si="10"/>
        <v>2430659.44</v>
      </c>
      <c r="S20" s="275"/>
      <c r="T20" s="273"/>
      <c r="U20" s="273"/>
      <c r="V20" s="273"/>
      <c r="W20" s="255"/>
      <c r="X20" s="291" t="b">
        <f t="shared" si="4"/>
        <v>1</v>
      </c>
      <c r="Y20" s="280">
        <f t="shared" si="5"/>
        <v>0.5</v>
      </c>
      <c r="Z20" s="292" t="b">
        <f t="shared" si="6"/>
        <v>1</v>
      </c>
      <c r="AA20" s="292" t="b">
        <f t="shared" si="7"/>
        <v>1</v>
      </c>
    </row>
    <row r="21" spans="1:27" x14ac:dyDescent="0.3">
      <c r="A21" s="123">
        <v>19</v>
      </c>
      <c r="B21" s="123" t="s">
        <v>238</v>
      </c>
      <c r="C21" s="123" t="s">
        <v>213</v>
      </c>
      <c r="D21" s="123" t="s">
        <v>69</v>
      </c>
      <c r="E21" s="123" t="s">
        <v>196</v>
      </c>
      <c r="F21" s="207" t="s">
        <v>239</v>
      </c>
      <c r="G21" s="130" t="s">
        <v>53</v>
      </c>
      <c r="H21" s="125">
        <v>4.2850000000000001</v>
      </c>
      <c r="I21" s="131" t="s">
        <v>240</v>
      </c>
      <c r="J21" s="128">
        <v>10936142.140000001</v>
      </c>
      <c r="K21" s="274">
        <f t="shared" si="9"/>
        <v>6561685.2800000003</v>
      </c>
      <c r="L21" s="129">
        <f t="shared" si="8"/>
        <v>4374456.8600000003</v>
      </c>
      <c r="M21" s="141">
        <v>0.6</v>
      </c>
      <c r="N21" s="271"/>
      <c r="O21" s="272"/>
      <c r="P21" s="272"/>
      <c r="Q21" s="272"/>
      <c r="R21" s="272">
        <f t="shared" si="10"/>
        <v>6561685.2800000003</v>
      </c>
      <c r="S21" s="275"/>
      <c r="T21" s="273"/>
      <c r="U21" s="273"/>
      <c r="V21" s="273"/>
      <c r="W21" s="255"/>
      <c r="X21" s="291" t="b">
        <f t="shared" si="4"/>
        <v>1</v>
      </c>
      <c r="Y21" s="280">
        <f t="shared" si="5"/>
        <v>0.6</v>
      </c>
      <c r="Z21" s="292" t="b">
        <f t="shared" si="6"/>
        <v>1</v>
      </c>
      <c r="AA21" s="292" t="b">
        <f t="shared" si="7"/>
        <v>1</v>
      </c>
    </row>
    <row r="22" spans="1:27" ht="22.8" x14ac:dyDescent="0.3">
      <c r="A22" s="123">
        <v>20</v>
      </c>
      <c r="B22" s="123" t="s">
        <v>241</v>
      </c>
      <c r="C22" s="123" t="s">
        <v>213</v>
      </c>
      <c r="D22" s="123" t="s">
        <v>218</v>
      </c>
      <c r="E22" s="123" t="s">
        <v>194</v>
      </c>
      <c r="F22" s="207" t="s">
        <v>242</v>
      </c>
      <c r="G22" s="130" t="s">
        <v>53</v>
      </c>
      <c r="H22" s="125">
        <v>3.746</v>
      </c>
      <c r="I22" s="131" t="s">
        <v>220</v>
      </c>
      <c r="J22" s="128">
        <v>9021738.2799999993</v>
      </c>
      <c r="K22" s="274">
        <f t="shared" si="9"/>
        <v>5413042.9699999997</v>
      </c>
      <c r="L22" s="129">
        <f t="shared" si="8"/>
        <v>3608695.3099999996</v>
      </c>
      <c r="M22" s="141">
        <v>0.6</v>
      </c>
      <c r="N22" s="271"/>
      <c r="O22" s="272"/>
      <c r="P22" s="272"/>
      <c r="Q22" s="272"/>
      <c r="R22" s="272">
        <f t="shared" si="10"/>
        <v>5413042.9699999997</v>
      </c>
      <c r="S22" s="275"/>
      <c r="T22" s="273"/>
      <c r="U22" s="273"/>
      <c r="V22" s="273"/>
      <c r="W22" s="255"/>
      <c r="X22" s="291" t="b">
        <f t="shared" si="4"/>
        <v>1</v>
      </c>
      <c r="Y22" s="280">
        <f t="shared" si="5"/>
        <v>0.6</v>
      </c>
      <c r="Z22" s="292" t="b">
        <f t="shared" si="6"/>
        <v>1</v>
      </c>
      <c r="AA22" s="292" t="b">
        <f t="shared" si="7"/>
        <v>1</v>
      </c>
    </row>
    <row r="23" spans="1:27" ht="22.8" x14ac:dyDescent="0.3">
      <c r="A23" s="132">
        <v>21</v>
      </c>
      <c r="B23" s="132" t="s">
        <v>243</v>
      </c>
      <c r="C23" s="132" t="s">
        <v>213</v>
      </c>
      <c r="D23" s="137" t="s">
        <v>244</v>
      </c>
      <c r="E23" s="123" t="s">
        <v>198</v>
      </c>
      <c r="F23" s="208" t="s">
        <v>245</v>
      </c>
      <c r="G23" s="132" t="s">
        <v>53</v>
      </c>
      <c r="H23" s="134">
        <v>8.8520000000000003</v>
      </c>
      <c r="I23" s="135" t="s">
        <v>246</v>
      </c>
      <c r="J23" s="138">
        <v>25187887.010000002</v>
      </c>
      <c r="K23" s="274">
        <f t="shared" si="9"/>
        <v>15112732.210000001</v>
      </c>
      <c r="L23" s="129">
        <f t="shared" si="8"/>
        <v>10075154.800000001</v>
      </c>
      <c r="M23" s="142">
        <v>0.6</v>
      </c>
      <c r="N23" s="271"/>
      <c r="O23" s="272"/>
      <c r="P23" s="272"/>
      <c r="Q23" s="272"/>
      <c r="R23" s="272">
        <f t="shared" si="10"/>
        <v>15112732.210000001</v>
      </c>
      <c r="S23" s="275"/>
      <c r="T23" s="273"/>
      <c r="U23" s="273"/>
      <c r="V23" s="273"/>
      <c r="W23" s="255"/>
      <c r="X23" s="291" t="b">
        <f t="shared" si="4"/>
        <v>1</v>
      </c>
      <c r="Y23" s="280">
        <f t="shared" si="5"/>
        <v>0.6</v>
      </c>
      <c r="Z23" s="292" t="b">
        <f t="shared" si="6"/>
        <v>1</v>
      </c>
      <c r="AA23" s="292" t="b">
        <f t="shared" si="7"/>
        <v>1</v>
      </c>
    </row>
    <row r="24" spans="1:27" s="211" customFormat="1" ht="22.8" x14ac:dyDescent="0.3">
      <c r="A24" s="262">
        <v>22</v>
      </c>
      <c r="B24" s="262" t="s">
        <v>247</v>
      </c>
      <c r="C24" s="262" t="s">
        <v>209</v>
      </c>
      <c r="D24" s="262" t="s">
        <v>61</v>
      </c>
      <c r="E24" s="262" t="s">
        <v>206</v>
      </c>
      <c r="F24" s="263" t="s">
        <v>248</v>
      </c>
      <c r="G24" s="276" t="s">
        <v>56</v>
      </c>
      <c r="H24" s="265">
        <v>3.71</v>
      </c>
      <c r="I24" s="277" t="s">
        <v>249</v>
      </c>
      <c r="J24" s="278">
        <v>23326647.07</v>
      </c>
      <c r="K24" s="250">
        <v>16328652.939999999</v>
      </c>
      <c r="L24" s="269">
        <f>J24-K24</f>
        <v>6997994.1300000008</v>
      </c>
      <c r="M24" s="270">
        <f>K24/J24</f>
        <v>0.69999999961417514</v>
      </c>
      <c r="N24" s="293"/>
      <c r="O24" s="272"/>
      <c r="P24" s="272"/>
      <c r="Q24" s="272"/>
      <c r="R24" s="251">
        <v>6997994.4000000004</v>
      </c>
      <c r="S24" s="251">
        <v>5831665</v>
      </c>
      <c r="T24" s="251">
        <v>3498993.54</v>
      </c>
      <c r="U24" s="273"/>
      <c r="V24" s="273"/>
      <c r="W24" s="255"/>
      <c r="X24" s="291" t="b">
        <f t="shared" si="4"/>
        <v>1</v>
      </c>
      <c r="Y24" s="280">
        <f t="shared" si="5"/>
        <v>0.7</v>
      </c>
      <c r="Z24" s="292" t="b">
        <f t="shared" si="6"/>
        <v>0</v>
      </c>
      <c r="AA24" s="292" t="b">
        <f t="shared" si="7"/>
        <v>1</v>
      </c>
    </row>
    <row r="25" spans="1:27" x14ac:dyDescent="0.3">
      <c r="A25" s="123">
        <v>23</v>
      </c>
      <c r="B25" s="123" t="s">
        <v>250</v>
      </c>
      <c r="C25" s="123" t="s">
        <v>213</v>
      </c>
      <c r="D25" s="123" t="s">
        <v>236</v>
      </c>
      <c r="E25" s="123" t="s">
        <v>204</v>
      </c>
      <c r="F25" s="207" t="s">
        <v>251</v>
      </c>
      <c r="G25" s="130" t="s">
        <v>53</v>
      </c>
      <c r="H25" s="125">
        <v>7.43</v>
      </c>
      <c r="I25" s="131" t="s">
        <v>220</v>
      </c>
      <c r="J25" s="128">
        <v>16623336.140000001</v>
      </c>
      <c r="K25" s="274">
        <f>ROUND(J25*M25,2)</f>
        <v>8311668.0700000003</v>
      </c>
      <c r="L25" s="129">
        <f t="shared" si="8"/>
        <v>8311668.0700000003</v>
      </c>
      <c r="M25" s="141">
        <v>0.5</v>
      </c>
      <c r="N25" s="271"/>
      <c r="O25" s="272"/>
      <c r="P25" s="272"/>
      <c r="Q25" s="272"/>
      <c r="R25" s="272">
        <f t="shared" ref="R25:R30" si="11">K25</f>
        <v>8311668.0700000003</v>
      </c>
      <c r="S25" s="275"/>
      <c r="T25" s="273"/>
      <c r="U25" s="273"/>
      <c r="V25" s="273"/>
      <c r="W25" s="255"/>
      <c r="X25" s="291" t="b">
        <f t="shared" si="4"/>
        <v>1</v>
      </c>
      <c r="Y25" s="280">
        <f t="shared" si="5"/>
        <v>0.5</v>
      </c>
      <c r="Z25" s="292" t="b">
        <f t="shared" si="6"/>
        <v>1</v>
      </c>
      <c r="AA25" s="292" t="b">
        <f t="shared" si="7"/>
        <v>1</v>
      </c>
    </row>
    <row r="26" spans="1:27" ht="22.8" x14ac:dyDescent="0.3">
      <c r="A26" s="123">
        <v>24</v>
      </c>
      <c r="B26" s="123" t="s">
        <v>254</v>
      </c>
      <c r="C26" s="123" t="s">
        <v>213</v>
      </c>
      <c r="D26" s="123" t="s">
        <v>255</v>
      </c>
      <c r="E26" s="123" t="s">
        <v>202</v>
      </c>
      <c r="F26" s="207" t="s">
        <v>256</v>
      </c>
      <c r="G26" s="130" t="s">
        <v>53</v>
      </c>
      <c r="H26" s="125">
        <v>0.67</v>
      </c>
      <c r="I26" s="126" t="s">
        <v>216</v>
      </c>
      <c r="J26" s="129">
        <v>2489381.69</v>
      </c>
      <c r="K26" s="274">
        <f>ROUND(J26*M26,2)</f>
        <v>1244690.8500000001</v>
      </c>
      <c r="L26" s="129">
        <f t="shared" si="8"/>
        <v>1244690.8399999999</v>
      </c>
      <c r="M26" s="141">
        <v>0.5</v>
      </c>
      <c r="N26" s="271"/>
      <c r="O26" s="272"/>
      <c r="P26" s="272"/>
      <c r="Q26" s="272"/>
      <c r="R26" s="272">
        <f t="shared" si="11"/>
        <v>1244690.8500000001</v>
      </c>
      <c r="S26" s="275"/>
      <c r="T26" s="273"/>
      <c r="U26" s="273"/>
      <c r="V26" s="273"/>
      <c r="W26" s="255"/>
      <c r="X26" s="291" t="b">
        <f t="shared" si="4"/>
        <v>1</v>
      </c>
      <c r="Y26" s="280">
        <f t="shared" si="5"/>
        <v>0.5</v>
      </c>
      <c r="Z26" s="292" t="b">
        <f t="shared" si="6"/>
        <v>1</v>
      </c>
      <c r="AA26" s="292" t="b">
        <f t="shared" si="7"/>
        <v>1</v>
      </c>
    </row>
    <row r="27" spans="1:27" x14ac:dyDescent="0.3">
      <c r="A27" s="123">
        <v>25</v>
      </c>
      <c r="B27" s="123" t="s">
        <v>260</v>
      </c>
      <c r="C27" s="123" t="s">
        <v>213</v>
      </c>
      <c r="D27" s="123" t="s">
        <v>261</v>
      </c>
      <c r="E27" s="123" t="s">
        <v>192</v>
      </c>
      <c r="F27" s="207" t="s">
        <v>262</v>
      </c>
      <c r="G27" s="130" t="s">
        <v>53</v>
      </c>
      <c r="H27" s="125">
        <v>2.91</v>
      </c>
      <c r="I27" s="131" t="s">
        <v>263</v>
      </c>
      <c r="J27" s="128">
        <v>8802803.4199999999</v>
      </c>
      <c r="K27" s="274">
        <f>ROUND(J27*M27,2)</f>
        <v>5281682.05</v>
      </c>
      <c r="L27" s="129">
        <f t="shared" si="8"/>
        <v>3521121.37</v>
      </c>
      <c r="M27" s="141">
        <v>0.6</v>
      </c>
      <c r="N27" s="271"/>
      <c r="O27" s="272"/>
      <c r="P27" s="272"/>
      <c r="Q27" s="272"/>
      <c r="R27" s="272">
        <f t="shared" si="11"/>
        <v>5281682.05</v>
      </c>
      <c r="S27" s="275"/>
      <c r="T27" s="273"/>
      <c r="U27" s="273"/>
      <c r="V27" s="273"/>
      <c r="W27" s="255"/>
      <c r="X27" s="291" t="b">
        <f t="shared" si="4"/>
        <v>1</v>
      </c>
      <c r="Y27" s="280">
        <f t="shared" si="5"/>
        <v>0.6</v>
      </c>
      <c r="Z27" s="292" t="b">
        <f t="shared" si="6"/>
        <v>1</v>
      </c>
      <c r="AA27" s="292" t="b">
        <f t="shared" si="7"/>
        <v>1</v>
      </c>
    </row>
    <row r="28" spans="1:27" ht="22.8" x14ac:dyDescent="0.3">
      <c r="A28" s="123">
        <v>26</v>
      </c>
      <c r="B28" s="123" t="s">
        <v>264</v>
      </c>
      <c r="C28" s="123" t="s">
        <v>213</v>
      </c>
      <c r="D28" s="123" t="s">
        <v>265</v>
      </c>
      <c r="E28" s="123" t="s">
        <v>200</v>
      </c>
      <c r="F28" s="207" t="s">
        <v>266</v>
      </c>
      <c r="G28" s="130" t="s">
        <v>53</v>
      </c>
      <c r="H28" s="125">
        <v>1.35</v>
      </c>
      <c r="I28" s="131" t="s">
        <v>267</v>
      </c>
      <c r="J28" s="128">
        <v>3104622.32</v>
      </c>
      <c r="K28" s="274">
        <f>ROUND(J28*M28,2)</f>
        <v>1552311.16</v>
      </c>
      <c r="L28" s="129">
        <f t="shared" si="8"/>
        <v>1552311.16</v>
      </c>
      <c r="M28" s="141">
        <v>0.5</v>
      </c>
      <c r="N28" s="271"/>
      <c r="O28" s="272"/>
      <c r="P28" s="272"/>
      <c r="Q28" s="272"/>
      <c r="R28" s="272">
        <f t="shared" si="11"/>
        <v>1552311.16</v>
      </c>
      <c r="S28" s="275"/>
      <c r="T28" s="273"/>
      <c r="U28" s="273"/>
      <c r="V28" s="273"/>
      <c r="W28" s="255"/>
      <c r="X28" s="291" t="b">
        <f t="shared" si="4"/>
        <v>1</v>
      </c>
      <c r="Y28" s="280">
        <f t="shared" si="5"/>
        <v>0.5</v>
      </c>
      <c r="Z28" s="292" t="b">
        <f t="shared" si="6"/>
        <v>1</v>
      </c>
      <c r="AA28" s="292" t="b">
        <f t="shared" si="7"/>
        <v>1</v>
      </c>
    </row>
    <row r="29" spans="1:27" ht="22.8" x14ac:dyDescent="0.3">
      <c r="A29" s="123">
        <v>27</v>
      </c>
      <c r="B29" s="123" t="s">
        <v>268</v>
      </c>
      <c r="C29" s="123" t="s">
        <v>213</v>
      </c>
      <c r="D29" s="123" t="s">
        <v>269</v>
      </c>
      <c r="E29" s="123" t="s">
        <v>203</v>
      </c>
      <c r="F29" s="207" t="s">
        <v>270</v>
      </c>
      <c r="G29" s="130" t="s">
        <v>53</v>
      </c>
      <c r="H29" s="125">
        <v>0.68899999999999995</v>
      </c>
      <c r="I29" s="126" t="s">
        <v>216</v>
      </c>
      <c r="J29" s="127">
        <v>3478532.92</v>
      </c>
      <c r="K29" s="274">
        <f>ROUND(J29*M29,2)</f>
        <v>1739266.46</v>
      </c>
      <c r="L29" s="129">
        <f t="shared" si="8"/>
        <v>1739266.46</v>
      </c>
      <c r="M29" s="141">
        <v>0.5</v>
      </c>
      <c r="N29" s="271"/>
      <c r="O29" s="272"/>
      <c r="P29" s="272"/>
      <c r="Q29" s="272"/>
      <c r="R29" s="272">
        <f t="shared" si="11"/>
        <v>1739266.46</v>
      </c>
      <c r="S29" s="275"/>
      <c r="T29" s="273"/>
      <c r="U29" s="273"/>
      <c r="V29" s="273"/>
      <c r="W29" s="255"/>
      <c r="X29" s="291" t="b">
        <f t="shared" si="4"/>
        <v>1</v>
      </c>
      <c r="Y29" s="280">
        <f t="shared" si="5"/>
        <v>0.5</v>
      </c>
      <c r="Z29" s="292" t="b">
        <f t="shared" si="6"/>
        <v>1</v>
      </c>
      <c r="AA29" s="292" t="b">
        <f t="shared" si="7"/>
        <v>1</v>
      </c>
    </row>
    <row r="30" spans="1:27" s="212" customFormat="1" ht="22.8" x14ac:dyDescent="0.3">
      <c r="A30" s="123">
        <v>28</v>
      </c>
      <c r="B30" s="123" t="s">
        <v>288</v>
      </c>
      <c r="C30" s="123" t="s">
        <v>213</v>
      </c>
      <c r="D30" s="123" t="s">
        <v>51</v>
      </c>
      <c r="E30" s="123" t="s">
        <v>207</v>
      </c>
      <c r="F30" s="207" t="s">
        <v>289</v>
      </c>
      <c r="G30" s="130" t="s">
        <v>53</v>
      </c>
      <c r="H30" s="125">
        <v>1.972</v>
      </c>
      <c r="I30" s="126" t="s">
        <v>216</v>
      </c>
      <c r="J30" s="127">
        <v>4327351.03</v>
      </c>
      <c r="K30" s="274">
        <f>0.6*J30</f>
        <v>2596410.6180000002</v>
      </c>
      <c r="L30" s="129">
        <f t="shared" si="8"/>
        <v>1730940.412</v>
      </c>
      <c r="M30" s="141">
        <f>K30/J30</f>
        <v>0.6</v>
      </c>
      <c r="N30" s="271"/>
      <c r="O30" s="272"/>
      <c r="P30" s="272"/>
      <c r="Q30" s="272"/>
      <c r="R30" s="272">
        <f t="shared" si="11"/>
        <v>2596410.6180000002</v>
      </c>
      <c r="S30" s="275"/>
      <c r="T30" s="273"/>
      <c r="U30" s="279"/>
      <c r="V30" s="279"/>
      <c r="W30" s="279"/>
      <c r="X30" s="291" t="b">
        <f t="shared" si="4"/>
        <v>1</v>
      </c>
      <c r="Y30" s="280">
        <f t="shared" si="5"/>
        <v>0.6</v>
      </c>
      <c r="Z30" s="292" t="b">
        <f t="shared" si="6"/>
        <v>1</v>
      </c>
      <c r="AA30" s="292" t="b">
        <f t="shared" si="7"/>
        <v>1</v>
      </c>
    </row>
    <row r="31" spans="1:27" ht="22.8" x14ac:dyDescent="0.3">
      <c r="A31" s="282" t="s">
        <v>610</v>
      </c>
      <c r="B31" s="123" t="s">
        <v>271</v>
      </c>
      <c r="C31" s="123" t="s">
        <v>213</v>
      </c>
      <c r="D31" s="123" t="s">
        <v>72</v>
      </c>
      <c r="E31" s="123" t="s">
        <v>199</v>
      </c>
      <c r="F31" s="207" t="s">
        <v>272</v>
      </c>
      <c r="G31" s="130" t="s">
        <v>53</v>
      </c>
      <c r="H31" s="125">
        <v>4.0659999999999998</v>
      </c>
      <c r="I31" s="126" t="s">
        <v>273</v>
      </c>
      <c r="J31" s="127">
        <v>4511930.6500000004</v>
      </c>
      <c r="K31" s="272">
        <v>595569.76</v>
      </c>
      <c r="L31" s="129">
        <f t="shared" si="8"/>
        <v>3916360.8900000006</v>
      </c>
      <c r="M31" s="141">
        <v>0.5</v>
      </c>
      <c r="N31" s="271"/>
      <c r="O31" s="272"/>
      <c r="P31" s="272"/>
      <c r="Q31" s="272"/>
      <c r="R31" s="272">
        <v>595569.76</v>
      </c>
      <c r="S31" s="275"/>
      <c r="T31" s="273"/>
      <c r="U31" s="273"/>
      <c r="V31" s="273"/>
      <c r="W31" s="255"/>
      <c r="X31" s="291" t="b">
        <f t="shared" si="4"/>
        <v>1</v>
      </c>
      <c r="Y31" s="280">
        <f t="shared" si="5"/>
        <v>0.13200000000000001</v>
      </c>
      <c r="Z31" s="292" t="b">
        <f t="shared" si="6"/>
        <v>0</v>
      </c>
      <c r="AA31" s="292" t="b">
        <f t="shared" si="7"/>
        <v>1</v>
      </c>
    </row>
    <row r="32" spans="1:27" x14ac:dyDescent="0.3">
      <c r="A32" s="283" t="s">
        <v>45</v>
      </c>
      <c r="B32" s="283"/>
      <c r="C32" s="283"/>
      <c r="D32" s="283"/>
      <c r="E32" s="283"/>
      <c r="F32" s="283"/>
      <c r="G32" s="283"/>
      <c r="H32" s="42">
        <f>SUM(H3:H31)</f>
        <v>182.44799999999998</v>
      </c>
      <c r="I32" s="284" t="s">
        <v>14</v>
      </c>
      <c r="J32" s="285">
        <f>SUM(J3:J31)</f>
        <v>399862442.1699999</v>
      </c>
      <c r="K32" s="285">
        <f>SUM(K3:K31)</f>
        <v>225712670.35799995</v>
      </c>
      <c r="L32" s="285">
        <f>SUM(L3:L31)</f>
        <v>174149771.81199998</v>
      </c>
      <c r="M32" s="143" t="s">
        <v>14</v>
      </c>
      <c r="N32" s="285">
        <f t="shared" ref="N32:W32" si="12">SUM(N3:N31)</f>
        <v>0</v>
      </c>
      <c r="O32" s="285">
        <f t="shared" si="12"/>
        <v>0</v>
      </c>
      <c r="P32" s="286">
        <f t="shared" si="12"/>
        <v>24464273</v>
      </c>
      <c r="Q32" s="286">
        <f t="shared" si="12"/>
        <v>18880847.800000001</v>
      </c>
      <c r="R32" s="286">
        <f t="shared" si="12"/>
        <v>163886137.43799999</v>
      </c>
      <c r="S32" s="286">
        <f t="shared" si="12"/>
        <v>14982418.58</v>
      </c>
      <c r="T32" s="286">
        <f t="shared" si="12"/>
        <v>3498993.54</v>
      </c>
      <c r="U32" s="286">
        <f t="shared" si="12"/>
        <v>0</v>
      </c>
      <c r="V32" s="286">
        <f t="shared" si="12"/>
        <v>0</v>
      </c>
      <c r="W32" s="286">
        <f t="shared" si="12"/>
        <v>0</v>
      </c>
      <c r="X32" s="238" t="b">
        <f t="shared" si="0"/>
        <v>1</v>
      </c>
      <c r="Y32" s="280">
        <f t="shared" si="1"/>
        <v>0.5645</v>
      </c>
      <c r="Z32" s="281" t="s">
        <v>14</v>
      </c>
      <c r="AA32" s="281" t="b">
        <f t="shared" si="3"/>
        <v>1</v>
      </c>
    </row>
    <row r="33" spans="1:27" x14ac:dyDescent="0.3">
      <c r="A33" s="287" t="s">
        <v>38</v>
      </c>
      <c r="B33" s="287"/>
      <c r="C33" s="287"/>
      <c r="D33" s="287"/>
      <c r="E33" s="287"/>
      <c r="F33" s="287"/>
      <c r="G33" s="287"/>
      <c r="H33" s="44">
        <f>SUMIF($C$3:$C$31,"K",H3:H31)</f>
        <v>103.654</v>
      </c>
      <c r="I33" s="288" t="s">
        <v>14</v>
      </c>
      <c r="J33" s="289">
        <f>SUMIF($C$3:$C$31,"K",J3:J31)</f>
        <v>143070626.49000001</v>
      </c>
      <c r="K33" s="289">
        <f>SUMIF($C$3:$C$31,"K",K3:K31)</f>
        <v>70919194.489999995</v>
      </c>
      <c r="L33" s="289">
        <f>SUMIF($C$3:$C$31,"K",L3:L31)</f>
        <v>72151432</v>
      </c>
      <c r="M33" s="144" t="s">
        <v>14</v>
      </c>
      <c r="N33" s="289">
        <f t="shared" ref="N33:W33" si="13">SUMIF($C$3:$C$31,"K",N3:N31)</f>
        <v>0</v>
      </c>
      <c r="O33" s="289">
        <f t="shared" si="13"/>
        <v>0</v>
      </c>
      <c r="P33" s="290">
        <f t="shared" si="13"/>
        <v>24464273</v>
      </c>
      <c r="Q33" s="290">
        <f t="shared" si="13"/>
        <v>18880847.800000001</v>
      </c>
      <c r="R33" s="290">
        <f t="shared" si="13"/>
        <v>24424501.009999998</v>
      </c>
      <c r="S33" s="290">
        <f t="shared" si="13"/>
        <v>3149572.68</v>
      </c>
      <c r="T33" s="290">
        <f t="shared" si="13"/>
        <v>0</v>
      </c>
      <c r="U33" s="290">
        <f t="shared" si="13"/>
        <v>0</v>
      </c>
      <c r="V33" s="290">
        <f t="shared" si="13"/>
        <v>0</v>
      </c>
      <c r="W33" s="290">
        <f t="shared" si="13"/>
        <v>0</v>
      </c>
      <c r="X33" s="238" t="b">
        <f t="shared" si="0"/>
        <v>1</v>
      </c>
      <c r="Y33" s="280">
        <f t="shared" si="1"/>
        <v>0.49569999999999997</v>
      </c>
      <c r="Z33" s="281" t="s">
        <v>14</v>
      </c>
      <c r="AA33" s="281" t="b">
        <f t="shared" si="3"/>
        <v>1</v>
      </c>
    </row>
    <row r="34" spans="1:27" x14ac:dyDescent="0.3">
      <c r="A34" s="283" t="s">
        <v>39</v>
      </c>
      <c r="B34" s="283"/>
      <c r="C34" s="283"/>
      <c r="D34" s="283"/>
      <c r="E34" s="283"/>
      <c r="F34" s="283"/>
      <c r="G34" s="283"/>
      <c r="H34" s="42">
        <f>SUMIF($C$3:$C$31,"N",H3:H31)</f>
        <v>68.796999999999997</v>
      </c>
      <c r="I34" s="284" t="s">
        <v>14</v>
      </c>
      <c r="J34" s="285">
        <f>SUMIF($C$3:$C$31,"N",J3:J31)</f>
        <v>211147621.50999993</v>
      </c>
      <c r="K34" s="285">
        <f>SUMIF($C$3:$C$31,"N",K3:K31)</f>
        <v>120610785.24799998</v>
      </c>
      <c r="L34" s="285">
        <f>SUMIF($C$3:$C$31,"N",L3:L31)</f>
        <v>90536836.261999995</v>
      </c>
      <c r="M34" s="143" t="s">
        <v>14</v>
      </c>
      <c r="N34" s="285">
        <f t="shared" ref="N34:W34" si="14">SUMIF($C$3:$C$31,"N",N3:N31)</f>
        <v>0</v>
      </c>
      <c r="O34" s="285">
        <f t="shared" si="14"/>
        <v>0</v>
      </c>
      <c r="P34" s="286">
        <f t="shared" si="14"/>
        <v>0</v>
      </c>
      <c r="Q34" s="286">
        <f t="shared" si="14"/>
        <v>0</v>
      </c>
      <c r="R34" s="286">
        <f t="shared" si="14"/>
        <v>120610785.24799998</v>
      </c>
      <c r="S34" s="286">
        <f t="shared" si="14"/>
        <v>0</v>
      </c>
      <c r="T34" s="286">
        <f t="shared" si="14"/>
        <v>0</v>
      </c>
      <c r="U34" s="286">
        <f t="shared" si="14"/>
        <v>0</v>
      </c>
      <c r="V34" s="286">
        <f t="shared" si="14"/>
        <v>0</v>
      </c>
      <c r="W34" s="286">
        <f t="shared" si="14"/>
        <v>0</v>
      </c>
      <c r="X34" s="238" t="b">
        <f t="shared" si="0"/>
        <v>1</v>
      </c>
      <c r="Y34" s="280">
        <f t="shared" si="1"/>
        <v>0.57120000000000004</v>
      </c>
      <c r="Z34" s="281" t="s">
        <v>14</v>
      </c>
      <c r="AA34" s="281" t="b">
        <f t="shared" si="3"/>
        <v>1</v>
      </c>
    </row>
    <row r="35" spans="1:27" x14ac:dyDescent="0.3">
      <c r="A35" s="287" t="s">
        <v>40</v>
      </c>
      <c r="B35" s="287"/>
      <c r="C35" s="287"/>
      <c r="D35" s="287"/>
      <c r="E35" s="287"/>
      <c r="F35" s="287"/>
      <c r="G35" s="287"/>
      <c r="H35" s="44">
        <f>SUMIF($C$3:$C$31,"W",H3:H31)</f>
        <v>9.9969999999999999</v>
      </c>
      <c r="I35" s="288" t="s">
        <v>14</v>
      </c>
      <c r="J35" s="289">
        <f>SUMIF($C$3:$C$31,"W",J3:J31)</f>
        <v>45644194.170000002</v>
      </c>
      <c r="K35" s="289">
        <f>SUMIF($C$3:$C$31,"W",K3:K31)</f>
        <v>34182690.619999997</v>
      </c>
      <c r="L35" s="289">
        <f>SUMIF($C$3:$C$31,"W",L3:L31)</f>
        <v>11461503.550000003</v>
      </c>
      <c r="M35" s="144" t="s">
        <v>14</v>
      </c>
      <c r="N35" s="289">
        <f t="shared" ref="N35:W35" si="15">SUMIF($C$3:$C$31,"W",N3:N31)</f>
        <v>0</v>
      </c>
      <c r="O35" s="289">
        <f t="shared" si="15"/>
        <v>0</v>
      </c>
      <c r="P35" s="290">
        <f t="shared" si="15"/>
        <v>0</v>
      </c>
      <c r="Q35" s="290">
        <f t="shared" si="15"/>
        <v>0</v>
      </c>
      <c r="R35" s="290">
        <f t="shared" si="15"/>
        <v>18850851.18</v>
      </c>
      <c r="S35" s="290">
        <f t="shared" si="15"/>
        <v>11832845.9</v>
      </c>
      <c r="T35" s="290">
        <f t="shared" si="15"/>
        <v>3498993.54</v>
      </c>
      <c r="U35" s="290">
        <f t="shared" si="15"/>
        <v>0</v>
      </c>
      <c r="V35" s="290">
        <f t="shared" si="15"/>
        <v>0</v>
      </c>
      <c r="W35" s="290">
        <f t="shared" si="15"/>
        <v>0</v>
      </c>
      <c r="X35" s="238" t="b">
        <f t="shared" si="0"/>
        <v>1</v>
      </c>
      <c r="Y35" s="280">
        <f t="shared" ref="Y35" si="16">ROUND(K35/J35,4)</f>
        <v>0.74890000000000001</v>
      </c>
      <c r="Z35" s="281" t="s">
        <v>14</v>
      </c>
      <c r="AA35" s="281" t="b">
        <f t="shared" ref="AA35" si="17">J35=K35+L35</f>
        <v>1</v>
      </c>
    </row>
    <row r="36" spans="1:27" x14ac:dyDescent="0.3">
      <c r="A36" s="117"/>
      <c r="B36" s="117"/>
      <c r="C36" s="117"/>
      <c r="D36" s="117"/>
      <c r="E36" s="117"/>
      <c r="F36" s="117"/>
      <c r="G36" s="117"/>
    </row>
    <row r="37" spans="1:27" x14ac:dyDescent="0.3">
      <c r="A37" s="118" t="s">
        <v>25</v>
      </c>
      <c r="B37" s="118"/>
      <c r="C37" s="118"/>
      <c r="D37" s="118"/>
      <c r="E37" s="118"/>
      <c r="F37" s="118"/>
      <c r="G37" s="118"/>
      <c r="H37" s="1"/>
      <c r="I37" s="1"/>
      <c r="J37" s="5"/>
      <c r="K37" s="13"/>
      <c r="L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"/>
      <c r="AA37" s="1"/>
    </row>
    <row r="38" spans="1:27" x14ac:dyDescent="0.3">
      <c r="A38" s="119" t="s">
        <v>26</v>
      </c>
      <c r="B38" s="119"/>
      <c r="C38" s="119"/>
      <c r="D38" s="119"/>
      <c r="E38" s="119"/>
      <c r="F38" s="119"/>
      <c r="G38" s="119"/>
      <c r="H38" s="1"/>
      <c r="I38" s="1"/>
      <c r="J38" s="147"/>
      <c r="K38" s="33"/>
      <c r="L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"/>
    </row>
    <row r="39" spans="1:27" x14ac:dyDescent="0.3">
      <c r="A39" s="118" t="s">
        <v>43</v>
      </c>
      <c r="B39" s="117"/>
      <c r="C39" s="117"/>
      <c r="D39" s="117"/>
      <c r="E39" s="117"/>
      <c r="F39" s="117"/>
      <c r="G39" s="117"/>
      <c r="J39" s="213"/>
      <c r="K39" s="213"/>
      <c r="L39" s="213"/>
      <c r="M39" s="213"/>
      <c r="N39" s="213"/>
      <c r="O39" s="213"/>
      <c r="P39" s="213"/>
      <c r="Q39" s="213"/>
      <c r="R39" s="213"/>
      <c r="S39" s="213"/>
      <c r="T39" s="213"/>
      <c r="U39" s="213"/>
      <c r="V39" s="213"/>
      <c r="W39" s="213"/>
    </row>
    <row r="40" spans="1:27" x14ac:dyDescent="0.3">
      <c r="A40" s="120" t="s">
        <v>48</v>
      </c>
      <c r="B40" s="120"/>
      <c r="C40" s="120"/>
      <c r="D40" s="120"/>
      <c r="E40" s="120"/>
      <c r="F40" s="120"/>
      <c r="G40" s="120"/>
      <c r="J40" s="213"/>
      <c r="K40" s="213"/>
      <c r="L40" s="213"/>
      <c r="M40" s="213"/>
      <c r="N40" s="213"/>
      <c r="O40" s="213"/>
      <c r="P40" s="213"/>
      <c r="Q40" s="213"/>
      <c r="R40" s="213"/>
      <c r="S40" s="213"/>
      <c r="T40" s="213"/>
      <c r="U40" s="213"/>
      <c r="V40" s="213"/>
      <c r="W40" s="213"/>
    </row>
    <row r="41" spans="1:27" x14ac:dyDescent="0.3">
      <c r="J41" s="214"/>
      <c r="K41" s="214"/>
      <c r="L41" s="214"/>
      <c r="M41" s="214"/>
      <c r="N41" s="214"/>
      <c r="O41" s="214"/>
      <c r="P41" s="214"/>
      <c r="Q41" s="214"/>
      <c r="R41" s="214"/>
      <c r="S41" s="214"/>
      <c r="T41" s="214"/>
      <c r="U41" s="214"/>
      <c r="V41" s="214"/>
      <c r="W41" s="214"/>
    </row>
    <row r="42" spans="1:27" x14ac:dyDescent="0.3">
      <c r="J42" s="214"/>
      <c r="K42" s="214"/>
      <c r="L42" s="214"/>
      <c r="M42" s="214"/>
      <c r="N42" s="214"/>
      <c r="O42" s="214"/>
      <c r="P42" s="214"/>
      <c r="Q42" s="214"/>
      <c r="R42" s="214"/>
      <c r="S42" s="214"/>
      <c r="T42" s="214"/>
      <c r="U42" s="214"/>
    </row>
  </sheetData>
  <mergeCells count="18">
    <mergeCell ref="D1:D2"/>
    <mergeCell ref="A35:G35"/>
    <mergeCell ref="A34:G34"/>
    <mergeCell ref="E1:E2"/>
    <mergeCell ref="A32:G32"/>
    <mergeCell ref="A1:A2"/>
    <mergeCell ref="B1:B2"/>
    <mergeCell ref="C1:C2"/>
    <mergeCell ref="F1:F2"/>
    <mergeCell ref="G1:G2"/>
    <mergeCell ref="A33:G33"/>
    <mergeCell ref="L1:L2"/>
    <mergeCell ref="M1:M2"/>
    <mergeCell ref="N1:W1"/>
    <mergeCell ref="H1:H2"/>
    <mergeCell ref="I1:I2"/>
    <mergeCell ref="J1:J2"/>
    <mergeCell ref="K1:K2"/>
  </mergeCells>
  <conditionalFormatting sqref="X3:AA33">
    <cfRule type="cellIs" dxfId="73" priority="27" operator="equal">
      <formula>FALSE</formula>
    </cfRule>
  </conditionalFormatting>
  <conditionalFormatting sqref="X3:Z33">
    <cfRule type="containsText" dxfId="72" priority="25" operator="containsText" text="fałsz">
      <formula>NOT(ISERROR(SEARCH("fałsz",X3)))</formula>
    </cfRule>
  </conditionalFormatting>
  <conditionalFormatting sqref="Y35:Z35">
    <cfRule type="cellIs" dxfId="71" priority="22" operator="equal">
      <formula>FALSE</formula>
    </cfRule>
  </conditionalFormatting>
  <conditionalFormatting sqref="X35">
    <cfRule type="cellIs" dxfId="70" priority="21" operator="equal">
      <formula>FALSE</formula>
    </cfRule>
  </conditionalFormatting>
  <conditionalFormatting sqref="X35:Z35">
    <cfRule type="containsText" dxfId="69" priority="20" operator="containsText" text="fałsz">
      <formula>NOT(ISERROR(SEARCH("fałsz",X35)))</formula>
    </cfRule>
  </conditionalFormatting>
  <conditionalFormatting sqref="AA35">
    <cfRule type="cellIs" dxfId="68" priority="19" operator="equal">
      <formula>FALSE</formula>
    </cfRule>
  </conditionalFormatting>
  <conditionalFormatting sqref="AA35">
    <cfRule type="cellIs" dxfId="67" priority="18" operator="equal">
      <formula>FALSE</formula>
    </cfRule>
  </conditionalFormatting>
  <conditionalFormatting sqref="Y34:Z34">
    <cfRule type="cellIs" dxfId="66" priority="17" operator="equal">
      <formula>FALSE</formula>
    </cfRule>
  </conditionalFormatting>
  <conditionalFormatting sqref="X34">
    <cfRule type="cellIs" dxfId="65" priority="16" operator="equal">
      <formula>FALSE</formula>
    </cfRule>
  </conditionalFormatting>
  <conditionalFormatting sqref="X34:Z34">
    <cfRule type="containsText" dxfId="64" priority="15" operator="containsText" text="fałsz">
      <formula>NOT(ISERROR(SEARCH("fałsz",X34)))</formula>
    </cfRule>
  </conditionalFormatting>
  <conditionalFormatting sqref="AA34">
    <cfRule type="cellIs" dxfId="63" priority="14" operator="equal">
      <formula>FALSE</formula>
    </cfRule>
  </conditionalFormatting>
  <conditionalFormatting sqref="AA34">
    <cfRule type="cellIs" dxfId="62" priority="13" operator="equal">
      <formula>FALSE</formula>
    </cfRule>
  </conditionalFormatting>
  <conditionalFormatting sqref="M25">
    <cfRule type="cellIs" dxfId="61" priority="3" operator="equal">
      <formula>0</formula>
    </cfRule>
  </conditionalFormatting>
  <conditionalFormatting sqref="M25">
    <cfRule type="containsText" dxfId="60" priority="4" operator="containsText" text="fałsz">
      <formula>NOT(ISERROR(SEARCH("fałsz",M25)))</formula>
    </cfRule>
  </conditionalFormatting>
  <conditionalFormatting sqref="M26">
    <cfRule type="cellIs" dxfId="59" priority="5" operator="equal">
      <formula>0</formula>
    </cfRule>
  </conditionalFormatting>
  <conditionalFormatting sqref="M26">
    <cfRule type="containsText" dxfId="58" priority="6" operator="containsText" text="fałsz">
      <formula>NOT(ISERROR(SEARCH("fałsz",M26)))</formula>
    </cfRule>
  </conditionalFormatting>
  <conditionalFormatting sqref="M18">
    <cfRule type="cellIs" dxfId="57" priority="7" operator="equal">
      <formula>0</formula>
    </cfRule>
  </conditionalFormatting>
  <conditionalFormatting sqref="M18">
    <cfRule type="containsText" dxfId="56" priority="8" operator="containsText" text="fałsz">
      <formula>NOT(ISERROR(SEARCH("fałsz",M18)))</formula>
    </cfRule>
  </conditionalFormatting>
  <conditionalFormatting sqref="M28">
    <cfRule type="cellIs" dxfId="55" priority="9" operator="equal">
      <formula>0</formula>
    </cfRule>
  </conditionalFormatting>
  <conditionalFormatting sqref="M28">
    <cfRule type="containsText" dxfId="54" priority="10" operator="containsText" text="fałsz">
      <formula>NOT(ISERROR(SEARCH("fałsz",M28)))</formula>
    </cfRule>
  </conditionalFormatting>
  <conditionalFormatting sqref="M29">
    <cfRule type="cellIs" dxfId="53" priority="11" operator="equal">
      <formula>0</formula>
    </cfRule>
  </conditionalFormatting>
  <conditionalFormatting sqref="M29">
    <cfRule type="containsText" dxfId="52" priority="12" operator="containsText" text="fałsz">
      <formula>NOT(ISERROR(SEARCH("fałsz",M29)))</formula>
    </cfRule>
  </conditionalFormatting>
  <dataValidations count="4">
    <dataValidation type="list" allowBlank="1" showInputMessage="1" showErrorMessage="1" sqref="C3:C12" xr:uid="{00000000-0002-0000-0100-000000000000}">
      <formula1>"N,K,W"</formula1>
    </dataValidation>
    <dataValidation type="list" allowBlank="1" showInputMessage="1" showErrorMessage="1" sqref="G3:G12" xr:uid="{00000000-0002-0000-0100-000001000000}">
      <formula1>"B,P,R"</formula1>
    </dataValidation>
    <dataValidation type="list" allowBlank="1" showInputMessage="1" showErrorMessage="1" sqref="G13:G31" xr:uid="{00000000-0002-0000-0100-000002000000}">
      <formula1>"B,P,R"</formula1>
      <formula2>0</formula2>
    </dataValidation>
    <dataValidation type="list" allowBlank="1" showInputMessage="1" showErrorMessage="1" sqref="C13:C31" xr:uid="{00000000-0002-0000-0100-000003000000}">
      <formula1>"N,K,W"</formula1>
      <formula2>0</formula2>
    </dataValidation>
  </dataValidations>
  <pageMargins left="0.23622047244094491" right="0.23622047244094491" top="0.74803149606299213" bottom="0.74803149606299213" header="0.31496062992125984" footer="0.31496062992125984"/>
  <pageSetup paperSize="8" scale="50" fitToHeight="0" orientation="landscape" r:id="rId1"/>
  <headerFooter>
    <oddHeader>&amp;LWojewództwo Lubelskie - zadania powiatowe lista podstawowa</oddHeader>
    <oddFooter>Strona &amp;P z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C97"/>
  <sheetViews>
    <sheetView showGridLines="0" view="pageBreakPreview" zoomScale="90" zoomScaleNormal="100" zoomScaleSheetLayoutView="90" workbookViewId="0">
      <selection sqref="A1:A2"/>
    </sheetView>
  </sheetViews>
  <sheetFormatPr defaultColWidth="9.109375" defaultRowHeight="10.199999999999999" x14ac:dyDescent="0.2"/>
  <cols>
    <col min="1" max="1" width="8.44140625" style="345" customWidth="1"/>
    <col min="2" max="6" width="15.6640625" style="345" customWidth="1"/>
    <col min="7" max="7" width="54" style="345" customWidth="1"/>
    <col min="8" max="8" width="15.6640625" style="345" customWidth="1"/>
    <col min="9" max="9" width="15.6640625" style="346" customWidth="1"/>
    <col min="10" max="10" width="15.6640625" style="345" customWidth="1"/>
    <col min="11" max="13" width="15.6640625" style="296" customWidth="1"/>
    <col min="14" max="14" width="15.6640625" style="297" customWidth="1"/>
    <col min="15" max="24" width="15.6640625" style="296" customWidth="1"/>
    <col min="25" max="27" width="15.6640625" style="295" customWidth="1"/>
    <col min="28" max="28" width="15.6640625" style="296" customWidth="1"/>
    <col min="29" max="16384" width="9.109375" style="296"/>
  </cols>
  <sheetData>
    <row r="1" spans="1:28" x14ac:dyDescent="0.2">
      <c r="A1" s="234" t="s">
        <v>4</v>
      </c>
      <c r="B1" s="234" t="s">
        <v>5</v>
      </c>
      <c r="C1" s="235" t="s">
        <v>44</v>
      </c>
      <c r="D1" s="236" t="s">
        <v>6</v>
      </c>
      <c r="E1" s="234" t="s">
        <v>33</v>
      </c>
      <c r="F1" s="236" t="s">
        <v>15</v>
      </c>
      <c r="G1" s="234" t="s">
        <v>7</v>
      </c>
      <c r="H1" s="234" t="s">
        <v>27</v>
      </c>
      <c r="I1" s="294" t="s">
        <v>8</v>
      </c>
      <c r="J1" s="234" t="s">
        <v>28</v>
      </c>
      <c r="K1" s="234" t="s">
        <v>9</v>
      </c>
      <c r="L1" s="234" t="s">
        <v>17</v>
      </c>
      <c r="M1" s="236" t="s">
        <v>13</v>
      </c>
      <c r="N1" s="234" t="s">
        <v>11</v>
      </c>
      <c r="O1" s="234" t="s">
        <v>12</v>
      </c>
      <c r="P1" s="234"/>
      <c r="Q1" s="234"/>
      <c r="R1" s="234"/>
      <c r="S1" s="234"/>
      <c r="T1" s="234"/>
      <c r="U1" s="234"/>
      <c r="V1" s="234"/>
      <c r="W1" s="234"/>
      <c r="X1" s="234"/>
    </row>
    <row r="2" spans="1:28" x14ac:dyDescent="0.2">
      <c r="A2" s="234"/>
      <c r="B2" s="234"/>
      <c r="C2" s="240"/>
      <c r="D2" s="241"/>
      <c r="E2" s="234"/>
      <c r="F2" s="241"/>
      <c r="G2" s="234"/>
      <c r="H2" s="234"/>
      <c r="I2" s="294"/>
      <c r="J2" s="234"/>
      <c r="K2" s="234"/>
      <c r="L2" s="234"/>
      <c r="M2" s="241"/>
      <c r="N2" s="234"/>
      <c r="O2" s="242">
        <v>2019</v>
      </c>
      <c r="P2" s="242">
        <v>2020</v>
      </c>
      <c r="Q2" s="242">
        <v>2021</v>
      </c>
      <c r="R2" s="242">
        <v>2022</v>
      </c>
      <c r="S2" s="242">
        <v>2023</v>
      </c>
      <c r="T2" s="242">
        <v>2024</v>
      </c>
      <c r="U2" s="242">
        <v>2025</v>
      </c>
      <c r="V2" s="242">
        <v>2026</v>
      </c>
      <c r="W2" s="242">
        <v>2027</v>
      </c>
      <c r="X2" s="242">
        <v>2028</v>
      </c>
      <c r="Y2" s="297" t="s">
        <v>29</v>
      </c>
      <c r="Z2" s="297" t="s">
        <v>30</v>
      </c>
      <c r="AA2" s="297" t="s">
        <v>31</v>
      </c>
      <c r="AB2" s="298" t="s">
        <v>32</v>
      </c>
    </row>
    <row r="3" spans="1:28" ht="20.399999999999999" x14ac:dyDescent="0.2">
      <c r="A3" s="299">
        <v>1</v>
      </c>
      <c r="B3" s="300" t="s">
        <v>78</v>
      </c>
      <c r="C3" s="301" t="s">
        <v>50</v>
      </c>
      <c r="D3" s="302" t="s">
        <v>79</v>
      </c>
      <c r="E3" s="302" t="s">
        <v>80</v>
      </c>
      <c r="F3" s="300" t="s">
        <v>81</v>
      </c>
      <c r="G3" s="303" t="s">
        <v>82</v>
      </c>
      <c r="H3" s="300" t="s">
        <v>56</v>
      </c>
      <c r="I3" s="304">
        <v>0.64300000000000002</v>
      </c>
      <c r="J3" s="305" t="s">
        <v>588</v>
      </c>
      <c r="K3" s="306">
        <v>4141957.95</v>
      </c>
      <c r="L3" s="307">
        <v>2070978</v>
      </c>
      <c r="M3" s="306">
        <v>2070979.95</v>
      </c>
      <c r="N3" s="308">
        <v>0.5</v>
      </c>
      <c r="O3" s="307"/>
      <c r="P3" s="309"/>
      <c r="Q3" s="306">
        <v>517744</v>
      </c>
      <c r="R3" s="306">
        <v>1035489</v>
      </c>
      <c r="S3" s="306">
        <v>517745</v>
      </c>
      <c r="T3" s="306"/>
      <c r="U3" s="306"/>
      <c r="V3" s="306"/>
      <c r="W3" s="306"/>
      <c r="X3" s="310"/>
      <c r="Y3" s="297" t="b">
        <f t="shared" ref="Y3:Y11" si="0">L3=SUM(O3:X3)</f>
        <v>1</v>
      </c>
      <c r="Z3" s="311">
        <f t="shared" ref="Z3:Z11" si="1">ROUND(L3/K3,4)</f>
        <v>0.5</v>
      </c>
      <c r="AA3" s="312" t="b">
        <f t="shared" ref="AA3:AA11" si="2">Z3=N3</f>
        <v>1</v>
      </c>
      <c r="AB3" s="312" t="b">
        <f t="shared" ref="AB3:AB11" si="3">K3=L3+M3</f>
        <v>1</v>
      </c>
    </row>
    <row r="4" spans="1:28" x14ac:dyDescent="0.2">
      <c r="A4" s="299">
        <v>2</v>
      </c>
      <c r="B4" s="300" t="s">
        <v>83</v>
      </c>
      <c r="C4" s="301" t="s">
        <v>50</v>
      </c>
      <c r="D4" s="302" t="s">
        <v>84</v>
      </c>
      <c r="E4" s="302" t="s">
        <v>85</v>
      </c>
      <c r="F4" s="300" t="s">
        <v>86</v>
      </c>
      <c r="G4" s="303" t="s">
        <v>87</v>
      </c>
      <c r="H4" s="300" t="s">
        <v>56</v>
      </c>
      <c r="I4" s="304">
        <v>2.8140000000000001</v>
      </c>
      <c r="J4" s="305" t="s">
        <v>589</v>
      </c>
      <c r="K4" s="306">
        <v>9179717.6500000004</v>
      </c>
      <c r="L4" s="307">
        <v>4036029.85</v>
      </c>
      <c r="M4" s="306">
        <v>5143687.8000000007</v>
      </c>
      <c r="N4" s="308">
        <v>0.43969999999999998</v>
      </c>
      <c r="O4" s="307"/>
      <c r="P4" s="309"/>
      <c r="Q4" s="306"/>
      <c r="R4" s="306">
        <v>2036029.85</v>
      </c>
      <c r="S4" s="306">
        <v>2000000</v>
      </c>
      <c r="T4" s="306"/>
      <c r="U4" s="306"/>
      <c r="V4" s="306"/>
      <c r="W4" s="306"/>
      <c r="X4" s="310"/>
      <c r="Y4" s="297" t="b">
        <f t="shared" si="0"/>
        <v>1</v>
      </c>
      <c r="Z4" s="311">
        <f t="shared" si="1"/>
        <v>0.43969999999999998</v>
      </c>
      <c r="AA4" s="312" t="b">
        <f t="shared" si="2"/>
        <v>1</v>
      </c>
      <c r="AB4" s="312" t="b">
        <f t="shared" si="3"/>
        <v>1</v>
      </c>
    </row>
    <row r="5" spans="1:28" ht="20.399999999999999" x14ac:dyDescent="0.2">
      <c r="A5" s="299">
        <v>3</v>
      </c>
      <c r="B5" s="300" t="s">
        <v>88</v>
      </c>
      <c r="C5" s="301" t="s">
        <v>50</v>
      </c>
      <c r="D5" s="302" t="s">
        <v>89</v>
      </c>
      <c r="E5" s="302" t="s">
        <v>90</v>
      </c>
      <c r="F5" s="300" t="s">
        <v>91</v>
      </c>
      <c r="G5" s="303" t="s">
        <v>92</v>
      </c>
      <c r="H5" s="300" t="s">
        <v>56</v>
      </c>
      <c r="I5" s="304">
        <v>1.377</v>
      </c>
      <c r="J5" s="305" t="s">
        <v>590</v>
      </c>
      <c r="K5" s="306">
        <v>9886073.7200000007</v>
      </c>
      <c r="L5" s="307">
        <v>4943036.8600000003</v>
      </c>
      <c r="M5" s="306">
        <v>4943036.8600000003</v>
      </c>
      <c r="N5" s="308">
        <v>0.5</v>
      </c>
      <c r="O5" s="307"/>
      <c r="P5" s="309"/>
      <c r="Q5" s="306"/>
      <c r="R5" s="306">
        <v>2500000</v>
      </c>
      <c r="S5" s="306">
        <v>2443036.86</v>
      </c>
      <c r="T5" s="306"/>
      <c r="U5" s="306"/>
      <c r="V5" s="306"/>
      <c r="W5" s="306"/>
      <c r="X5" s="310"/>
      <c r="Y5" s="297" t="b">
        <f t="shared" si="0"/>
        <v>1</v>
      </c>
      <c r="Z5" s="311">
        <f t="shared" si="1"/>
        <v>0.5</v>
      </c>
      <c r="AA5" s="312" t="b">
        <f t="shared" si="2"/>
        <v>1</v>
      </c>
      <c r="AB5" s="312" t="b">
        <f t="shared" si="3"/>
        <v>1</v>
      </c>
    </row>
    <row r="6" spans="1:28" ht="20.399999999999999" x14ac:dyDescent="0.2">
      <c r="A6" s="299">
        <v>4</v>
      </c>
      <c r="B6" s="300" t="s">
        <v>93</v>
      </c>
      <c r="C6" s="301" t="s">
        <v>50</v>
      </c>
      <c r="D6" s="302" t="s">
        <v>94</v>
      </c>
      <c r="E6" s="302" t="s">
        <v>95</v>
      </c>
      <c r="F6" s="300" t="s">
        <v>96</v>
      </c>
      <c r="G6" s="303" t="s">
        <v>97</v>
      </c>
      <c r="H6" s="300" t="s">
        <v>56</v>
      </c>
      <c r="I6" s="304">
        <v>3.4820000000000002</v>
      </c>
      <c r="J6" s="305" t="s">
        <v>591</v>
      </c>
      <c r="K6" s="306">
        <v>8416632.4299999997</v>
      </c>
      <c r="L6" s="307">
        <v>5049979.45</v>
      </c>
      <c r="M6" s="306">
        <v>3366652.9799999995</v>
      </c>
      <c r="N6" s="308">
        <v>0.6</v>
      </c>
      <c r="O6" s="307"/>
      <c r="P6" s="309"/>
      <c r="Q6" s="306"/>
      <c r="R6" s="306">
        <v>1049372.71</v>
      </c>
      <c r="S6" s="306">
        <v>4000606.74</v>
      </c>
      <c r="T6" s="306"/>
      <c r="U6" s="306"/>
      <c r="V6" s="306"/>
      <c r="W6" s="306"/>
      <c r="X6" s="310"/>
      <c r="Y6" s="297" t="b">
        <f t="shared" si="0"/>
        <v>1</v>
      </c>
      <c r="Z6" s="311">
        <f t="shared" si="1"/>
        <v>0.6</v>
      </c>
      <c r="AA6" s="312" t="b">
        <f t="shared" si="2"/>
        <v>1</v>
      </c>
      <c r="AB6" s="312" t="b">
        <f t="shared" si="3"/>
        <v>1</v>
      </c>
    </row>
    <row r="7" spans="1:28" ht="30.6" x14ac:dyDescent="0.2">
      <c r="A7" s="299">
        <v>5</v>
      </c>
      <c r="B7" s="300" t="s">
        <v>98</v>
      </c>
      <c r="C7" s="301" t="s">
        <v>50</v>
      </c>
      <c r="D7" s="302" t="s">
        <v>89</v>
      </c>
      <c r="E7" s="302" t="s">
        <v>90</v>
      </c>
      <c r="F7" s="300" t="s">
        <v>91</v>
      </c>
      <c r="G7" s="303" t="s">
        <v>99</v>
      </c>
      <c r="H7" s="300" t="s">
        <v>56</v>
      </c>
      <c r="I7" s="304">
        <v>1.204</v>
      </c>
      <c r="J7" s="305" t="s">
        <v>592</v>
      </c>
      <c r="K7" s="306">
        <v>9632885.0999999996</v>
      </c>
      <c r="L7" s="307">
        <v>5779731.0599999996</v>
      </c>
      <c r="M7" s="306">
        <v>3853154.04</v>
      </c>
      <c r="N7" s="308">
        <v>0.6</v>
      </c>
      <c r="O7" s="307"/>
      <c r="P7" s="309"/>
      <c r="Q7" s="306"/>
      <c r="R7" s="306">
        <v>3042031.41</v>
      </c>
      <c r="S7" s="306">
        <v>2737699.65</v>
      </c>
      <c r="T7" s="306"/>
      <c r="U7" s="306"/>
      <c r="V7" s="306"/>
      <c r="W7" s="306"/>
      <c r="X7" s="310"/>
      <c r="Y7" s="297" t="b">
        <f t="shared" si="0"/>
        <v>1</v>
      </c>
      <c r="Z7" s="311">
        <f t="shared" si="1"/>
        <v>0.6</v>
      </c>
      <c r="AA7" s="312" t="b">
        <f t="shared" si="2"/>
        <v>1</v>
      </c>
      <c r="AB7" s="312" t="b">
        <f t="shared" si="3"/>
        <v>1</v>
      </c>
    </row>
    <row r="8" spans="1:28" ht="20.399999999999999" x14ac:dyDescent="0.2">
      <c r="A8" s="299">
        <v>6</v>
      </c>
      <c r="B8" s="300" t="s">
        <v>100</v>
      </c>
      <c r="C8" s="301" t="s">
        <v>50</v>
      </c>
      <c r="D8" s="302" t="s">
        <v>101</v>
      </c>
      <c r="E8" s="302" t="s">
        <v>102</v>
      </c>
      <c r="F8" s="300" t="s">
        <v>103</v>
      </c>
      <c r="G8" s="303" t="s">
        <v>104</v>
      </c>
      <c r="H8" s="300" t="s">
        <v>56</v>
      </c>
      <c r="I8" s="304">
        <v>0.497</v>
      </c>
      <c r="J8" s="305" t="s">
        <v>591</v>
      </c>
      <c r="K8" s="306">
        <v>2664811.14</v>
      </c>
      <c r="L8" s="307">
        <v>1332405.57</v>
      </c>
      <c r="M8" s="306">
        <v>1332405.57</v>
      </c>
      <c r="N8" s="308">
        <v>0.5</v>
      </c>
      <c r="O8" s="307"/>
      <c r="P8" s="309"/>
      <c r="Q8" s="306"/>
      <c r="R8" s="306">
        <v>673631.61</v>
      </c>
      <c r="S8" s="306">
        <v>658773.96</v>
      </c>
      <c r="T8" s="306"/>
      <c r="U8" s="306"/>
      <c r="V8" s="306"/>
      <c r="W8" s="306"/>
      <c r="X8" s="310"/>
      <c r="Y8" s="297" t="b">
        <f t="shared" si="0"/>
        <v>1</v>
      </c>
      <c r="Z8" s="311">
        <f t="shared" si="1"/>
        <v>0.5</v>
      </c>
      <c r="AA8" s="312" t="b">
        <f t="shared" si="2"/>
        <v>1</v>
      </c>
      <c r="AB8" s="312" t="b">
        <f t="shared" si="3"/>
        <v>1</v>
      </c>
    </row>
    <row r="9" spans="1:28" ht="30.6" x14ac:dyDescent="0.2">
      <c r="A9" s="299">
        <v>7</v>
      </c>
      <c r="B9" s="300" t="s">
        <v>105</v>
      </c>
      <c r="C9" s="301" t="s">
        <v>50</v>
      </c>
      <c r="D9" s="302" t="s">
        <v>106</v>
      </c>
      <c r="E9" s="302" t="s">
        <v>107</v>
      </c>
      <c r="F9" s="300" t="s">
        <v>108</v>
      </c>
      <c r="G9" s="303" t="s">
        <v>109</v>
      </c>
      <c r="H9" s="300" t="s">
        <v>53</v>
      </c>
      <c r="I9" s="304">
        <v>2.758</v>
      </c>
      <c r="J9" s="305" t="s">
        <v>593</v>
      </c>
      <c r="K9" s="306">
        <v>2436911.39</v>
      </c>
      <c r="L9" s="307">
        <v>1218455</v>
      </c>
      <c r="M9" s="306">
        <v>1218456.3900000001</v>
      </c>
      <c r="N9" s="308">
        <v>0.5</v>
      </c>
      <c r="O9" s="307"/>
      <c r="P9" s="309"/>
      <c r="Q9" s="306"/>
      <c r="R9" s="306">
        <v>624323</v>
      </c>
      <c r="S9" s="306">
        <v>594132</v>
      </c>
      <c r="T9" s="306"/>
      <c r="U9" s="306"/>
      <c r="V9" s="306"/>
      <c r="W9" s="306"/>
      <c r="X9" s="310"/>
      <c r="Y9" s="297" t="b">
        <f t="shared" si="0"/>
        <v>1</v>
      </c>
      <c r="Z9" s="311">
        <f t="shared" si="1"/>
        <v>0.5</v>
      </c>
      <c r="AA9" s="312" t="b">
        <f t="shared" si="2"/>
        <v>1</v>
      </c>
      <c r="AB9" s="312" t="b">
        <f t="shared" si="3"/>
        <v>1</v>
      </c>
    </row>
    <row r="10" spans="1:28" ht="40.799999999999997" x14ac:dyDescent="0.2">
      <c r="A10" s="299">
        <v>8</v>
      </c>
      <c r="B10" s="300" t="s">
        <v>110</v>
      </c>
      <c r="C10" s="301" t="s">
        <v>50</v>
      </c>
      <c r="D10" s="302" t="s">
        <v>111</v>
      </c>
      <c r="E10" s="302" t="s">
        <v>112</v>
      </c>
      <c r="F10" s="300" t="s">
        <v>113</v>
      </c>
      <c r="G10" s="303" t="s">
        <v>114</v>
      </c>
      <c r="H10" s="300" t="s">
        <v>56</v>
      </c>
      <c r="I10" s="304">
        <v>2.6059999999999999</v>
      </c>
      <c r="J10" s="305" t="s">
        <v>594</v>
      </c>
      <c r="K10" s="306">
        <v>8121016.3700000001</v>
      </c>
      <c r="L10" s="307">
        <v>2731302.06</v>
      </c>
      <c r="M10" s="306">
        <v>5389714.3100000005</v>
      </c>
      <c r="N10" s="308">
        <v>0.33629999999999999</v>
      </c>
      <c r="O10" s="307"/>
      <c r="P10" s="309"/>
      <c r="Q10" s="306"/>
      <c r="R10" s="306">
        <v>1365651.03</v>
      </c>
      <c r="S10" s="306">
        <v>1365651.03</v>
      </c>
      <c r="T10" s="306"/>
      <c r="U10" s="306"/>
      <c r="V10" s="306"/>
      <c r="W10" s="306"/>
      <c r="X10" s="310"/>
      <c r="Y10" s="297" t="b">
        <f t="shared" si="0"/>
        <v>1</v>
      </c>
      <c r="Z10" s="311">
        <f t="shared" si="1"/>
        <v>0.33629999999999999</v>
      </c>
      <c r="AA10" s="312" t="b">
        <f t="shared" si="2"/>
        <v>1</v>
      </c>
      <c r="AB10" s="312" t="b">
        <f t="shared" si="3"/>
        <v>1</v>
      </c>
    </row>
    <row r="11" spans="1:28" ht="20.399999999999999" x14ac:dyDescent="0.2">
      <c r="A11" s="299">
        <v>9</v>
      </c>
      <c r="B11" s="300" t="s">
        <v>115</v>
      </c>
      <c r="C11" s="301" t="s">
        <v>50</v>
      </c>
      <c r="D11" s="302" t="s">
        <v>79</v>
      </c>
      <c r="E11" s="302" t="s">
        <v>80</v>
      </c>
      <c r="F11" s="300" t="s">
        <v>81</v>
      </c>
      <c r="G11" s="303" t="s">
        <v>116</v>
      </c>
      <c r="H11" s="300" t="s">
        <v>56</v>
      </c>
      <c r="I11" s="304">
        <v>0.45</v>
      </c>
      <c r="J11" s="305" t="s">
        <v>595</v>
      </c>
      <c r="K11" s="306">
        <v>3821983.76</v>
      </c>
      <c r="L11" s="307">
        <v>1639491.15</v>
      </c>
      <c r="M11" s="306">
        <v>2182492.61</v>
      </c>
      <c r="N11" s="308">
        <v>0.42899999999999999</v>
      </c>
      <c r="O11" s="307"/>
      <c r="P11" s="309"/>
      <c r="Q11" s="306"/>
      <c r="R11" s="306">
        <v>409872.79</v>
      </c>
      <c r="S11" s="306">
        <v>819745.57</v>
      </c>
      <c r="T11" s="306">
        <v>409872.78999999992</v>
      </c>
      <c r="U11" s="306"/>
      <c r="V11" s="306"/>
      <c r="W11" s="306"/>
      <c r="X11" s="310"/>
      <c r="Y11" s="297" t="b">
        <f t="shared" si="0"/>
        <v>1</v>
      </c>
      <c r="Z11" s="311">
        <f t="shared" si="1"/>
        <v>0.42899999999999999</v>
      </c>
      <c r="AA11" s="312" t="b">
        <f t="shared" si="2"/>
        <v>1</v>
      </c>
      <c r="AB11" s="312" t="b">
        <f t="shared" si="3"/>
        <v>1</v>
      </c>
    </row>
    <row r="12" spans="1:28" ht="20.399999999999999" x14ac:dyDescent="0.2">
      <c r="A12" s="313">
        <v>10</v>
      </c>
      <c r="B12" s="314" t="s">
        <v>290</v>
      </c>
      <c r="C12" s="315" t="s">
        <v>213</v>
      </c>
      <c r="D12" s="316" t="s">
        <v>291</v>
      </c>
      <c r="E12" s="316" t="s">
        <v>127</v>
      </c>
      <c r="F12" s="314" t="s">
        <v>190</v>
      </c>
      <c r="G12" s="317" t="s">
        <v>292</v>
      </c>
      <c r="H12" s="318" t="s">
        <v>56</v>
      </c>
      <c r="I12" s="319">
        <v>0.89500000000000002</v>
      </c>
      <c r="J12" s="320" t="s">
        <v>293</v>
      </c>
      <c r="K12" s="321">
        <v>7752469.7000000002</v>
      </c>
      <c r="L12" s="321">
        <f>0.7*K12</f>
        <v>5426728.79</v>
      </c>
      <c r="M12" s="321">
        <f t="shared" ref="M12:M43" si="4">K12-L12</f>
        <v>2325740.91</v>
      </c>
      <c r="N12" s="322">
        <f>L12/K12</f>
        <v>0.7</v>
      </c>
      <c r="O12" s="323"/>
      <c r="P12" s="324"/>
      <c r="Q12" s="324"/>
      <c r="R12" s="324"/>
      <c r="S12" s="324">
        <f>L12</f>
        <v>5426728.79</v>
      </c>
      <c r="T12" s="324"/>
      <c r="U12" s="324"/>
      <c r="V12" s="324"/>
      <c r="W12" s="325"/>
      <c r="X12" s="310"/>
      <c r="Y12" s="297" t="b">
        <f t="shared" ref="Y12:Y43" si="5">L12=SUM(O12:X12)</f>
        <v>1</v>
      </c>
      <c r="Z12" s="311">
        <f t="shared" ref="Z12:Z43" si="6">ROUND(L12/K12,4)</f>
        <v>0.7</v>
      </c>
      <c r="AA12" s="312" t="b">
        <f t="shared" ref="AA12:AA43" si="7">Z12=N12</f>
        <v>1</v>
      </c>
      <c r="AB12" s="312" t="b">
        <f t="shared" ref="AB12:AB43" si="8">K12=L12+M12</f>
        <v>1</v>
      </c>
    </row>
    <row r="13" spans="1:28" s="329" customFormat="1" ht="30.6" x14ac:dyDescent="0.2">
      <c r="A13" s="299">
        <v>11</v>
      </c>
      <c r="B13" s="300" t="s">
        <v>294</v>
      </c>
      <c r="C13" s="301" t="s">
        <v>209</v>
      </c>
      <c r="D13" s="302" t="s">
        <v>295</v>
      </c>
      <c r="E13" s="302" t="s">
        <v>117</v>
      </c>
      <c r="F13" s="300" t="s">
        <v>296</v>
      </c>
      <c r="G13" s="303" t="s">
        <v>297</v>
      </c>
      <c r="H13" s="326" t="s">
        <v>56</v>
      </c>
      <c r="I13" s="327">
        <v>0.97399999999999998</v>
      </c>
      <c r="J13" s="328" t="s">
        <v>298</v>
      </c>
      <c r="K13" s="307">
        <v>48903856.420000002</v>
      </c>
      <c r="L13" s="307">
        <f t="shared" ref="L13:L43" si="9">ROUND(K13*N13,2)</f>
        <v>29342313.850000001</v>
      </c>
      <c r="M13" s="307">
        <f t="shared" si="4"/>
        <v>19561542.57</v>
      </c>
      <c r="N13" s="308">
        <v>0.6</v>
      </c>
      <c r="O13" s="309"/>
      <c r="P13" s="306"/>
      <c r="Q13" s="306"/>
      <c r="R13" s="306"/>
      <c r="S13" s="306">
        <v>12575277.360000001</v>
      </c>
      <c r="T13" s="306">
        <v>16767036.49</v>
      </c>
      <c r="U13" s="306"/>
      <c r="V13" s="306"/>
      <c r="W13" s="310"/>
      <c r="X13" s="310"/>
      <c r="Y13" s="297" t="b">
        <f t="shared" si="5"/>
        <v>1</v>
      </c>
      <c r="Z13" s="311">
        <f t="shared" si="6"/>
        <v>0.6</v>
      </c>
      <c r="AA13" s="312" t="b">
        <f t="shared" si="7"/>
        <v>1</v>
      </c>
      <c r="AB13" s="312" t="b">
        <f t="shared" si="8"/>
        <v>1</v>
      </c>
    </row>
    <row r="14" spans="1:28" s="329" customFormat="1" x14ac:dyDescent="0.2">
      <c r="A14" s="299">
        <v>12</v>
      </c>
      <c r="B14" s="300" t="s">
        <v>299</v>
      </c>
      <c r="C14" s="301" t="s">
        <v>209</v>
      </c>
      <c r="D14" s="302" t="s">
        <v>84</v>
      </c>
      <c r="E14" s="302" t="s">
        <v>85</v>
      </c>
      <c r="F14" s="300" t="s">
        <v>86</v>
      </c>
      <c r="G14" s="303" t="s">
        <v>300</v>
      </c>
      <c r="H14" s="326" t="s">
        <v>56</v>
      </c>
      <c r="I14" s="327">
        <v>1.1419999999999999</v>
      </c>
      <c r="J14" s="328" t="s">
        <v>259</v>
      </c>
      <c r="K14" s="307">
        <v>5574477.5499999998</v>
      </c>
      <c r="L14" s="307">
        <f t="shared" si="9"/>
        <v>3344686.53</v>
      </c>
      <c r="M14" s="307">
        <f t="shared" si="4"/>
        <v>2229791.02</v>
      </c>
      <c r="N14" s="308">
        <v>0.6</v>
      </c>
      <c r="O14" s="309"/>
      <c r="P14" s="306"/>
      <c r="Q14" s="306"/>
      <c r="R14" s="306"/>
      <c r="S14" s="306">
        <v>1724686.5299999998</v>
      </c>
      <c r="T14" s="306">
        <v>1620000</v>
      </c>
      <c r="U14" s="306"/>
      <c r="V14" s="306"/>
      <c r="W14" s="310"/>
      <c r="X14" s="310"/>
      <c r="Y14" s="297" t="b">
        <f t="shared" si="5"/>
        <v>1</v>
      </c>
      <c r="Z14" s="311">
        <f t="shared" si="6"/>
        <v>0.6</v>
      </c>
      <c r="AA14" s="312" t="b">
        <f t="shared" si="7"/>
        <v>1</v>
      </c>
      <c r="AB14" s="312" t="b">
        <f t="shared" si="8"/>
        <v>1</v>
      </c>
    </row>
    <row r="15" spans="1:28" s="329" customFormat="1" x14ac:dyDescent="0.2">
      <c r="A15" s="299">
        <v>13</v>
      </c>
      <c r="B15" s="300" t="s">
        <v>301</v>
      </c>
      <c r="C15" s="301" t="s">
        <v>209</v>
      </c>
      <c r="D15" s="302" t="s">
        <v>302</v>
      </c>
      <c r="E15" s="302" t="s">
        <v>151</v>
      </c>
      <c r="F15" s="300" t="s">
        <v>186</v>
      </c>
      <c r="G15" s="303" t="s">
        <v>303</v>
      </c>
      <c r="H15" s="326" t="s">
        <v>56</v>
      </c>
      <c r="I15" s="327">
        <v>1.3819999999999999</v>
      </c>
      <c r="J15" s="328" t="s">
        <v>304</v>
      </c>
      <c r="K15" s="307">
        <v>7887059.2300000004</v>
      </c>
      <c r="L15" s="307">
        <v>5520941.46</v>
      </c>
      <c r="M15" s="307">
        <f t="shared" si="4"/>
        <v>2366117.7700000005</v>
      </c>
      <c r="N15" s="308">
        <f>L15/K15</f>
        <v>0.69999999987320993</v>
      </c>
      <c r="O15" s="309"/>
      <c r="P15" s="306"/>
      <c r="Q15" s="306"/>
      <c r="R15" s="306"/>
      <c r="S15" s="306">
        <v>3279489.85</v>
      </c>
      <c r="T15" s="306">
        <v>2241451.61</v>
      </c>
      <c r="U15" s="306"/>
      <c r="V15" s="306"/>
      <c r="W15" s="310"/>
      <c r="X15" s="310"/>
      <c r="Y15" s="297" t="b">
        <f t="shared" si="5"/>
        <v>1</v>
      </c>
      <c r="Z15" s="311">
        <f t="shared" si="6"/>
        <v>0.7</v>
      </c>
      <c r="AA15" s="312" t="b">
        <f>Z15=N15</f>
        <v>0</v>
      </c>
      <c r="AB15" s="312" t="b">
        <f t="shared" si="8"/>
        <v>1</v>
      </c>
    </row>
    <row r="16" spans="1:28" ht="20.399999999999999" x14ac:dyDescent="0.2">
      <c r="A16" s="313">
        <v>14</v>
      </c>
      <c r="B16" s="314" t="s">
        <v>305</v>
      </c>
      <c r="C16" s="315" t="s">
        <v>213</v>
      </c>
      <c r="D16" s="316" t="s">
        <v>306</v>
      </c>
      <c r="E16" s="316" t="s">
        <v>129</v>
      </c>
      <c r="F16" s="314" t="s">
        <v>108</v>
      </c>
      <c r="G16" s="317" t="s">
        <v>307</v>
      </c>
      <c r="H16" s="318" t="s">
        <v>56</v>
      </c>
      <c r="I16" s="319">
        <v>1.44</v>
      </c>
      <c r="J16" s="320" t="s">
        <v>230</v>
      </c>
      <c r="K16" s="321">
        <v>3729940.78</v>
      </c>
      <c r="L16" s="321">
        <f t="shared" si="9"/>
        <v>1864970.39</v>
      </c>
      <c r="M16" s="321">
        <f t="shared" si="4"/>
        <v>1864970.39</v>
      </c>
      <c r="N16" s="322">
        <v>0.5</v>
      </c>
      <c r="O16" s="323"/>
      <c r="P16" s="330"/>
      <c r="Q16" s="324"/>
      <c r="R16" s="324"/>
      <c r="S16" s="324">
        <f>L16</f>
        <v>1864970.39</v>
      </c>
      <c r="T16" s="324"/>
      <c r="U16" s="324"/>
      <c r="V16" s="324"/>
      <c r="W16" s="325"/>
      <c r="X16" s="310"/>
      <c r="Y16" s="297" t="b">
        <f t="shared" si="5"/>
        <v>1</v>
      </c>
      <c r="Z16" s="311">
        <f t="shared" si="6"/>
        <v>0.5</v>
      </c>
      <c r="AA16" s="312" t="b">
        <f t="shared" si="7"/>
        <v>1</v>
      </c>
      <c r="AB16" s="312" t="b">
        <f t="shared" si="8"/>
        <v>1</v>
      </c>
    </row>
    <row r="17" spans="1:28" s="329" customFormat="1" x14ac:dyDescent="0.2">
      <c r="A17" s="299">
        <v>15</v>
      </c>
      <c r="B17" s="300" t="s">
        <v>308</v>
      </c>
      <c r="C17" s="301" t="s">
        <v>209</v>
      </c>
      <c r="D17" s="302" t="s">
        <v>302</v>
      </c>
      <c r="E17" s="302" t="s">
        <v>151</v>
      </c>
      <c r="F17" s="300" t="s">
        <v>186</v>
      </c>
      <c r="G17" s="303" t="s">
        <v>309</v>
      </c>
      <c r="H17" s="326" t="s">
        <v>56</v>
      </c>
      <c r="I17" s="327">
        <v>0.86699999999999999</v>
      </c>
      <c r="J17" s="328" t="s">
        <v>310</v>
      </c>
      <c r="K17" s="307">
        <v>4058609.81</v>
      </c>
      <c r="L17" s="307">
        <f t="shared" si="9"/>
        <v>2029304.91</v>
      </c>
      <c r="M17" s="307">
        <f t="shared" si="4"/>
        <v>2029304.9000000001</v>
      </c>
      <c r="N17" s="308">
        <v>0.5</v>
      </c>
      <c r="O17" s="309"/>
      <c r="P17" s="306"/>
      <c r="Q17" s="306"/>
      <c r="R17" s="306"/>
      <c r="S17" s="306">
        <v>355002.88</v>
      </c>
      <c r="T17" s="306">
        <v>1674302.03</v>
      </c>
      <c r="U17" s="306"/>
      <c r="V17" s="306"/>
      <c r="W17" s="310"/>
      <c r="X17" s="310"/>
      <c r="Y17" s="297" t="b">
        <f t="shared" si="5"/>
        <v>1</v>
      </c>
      <c r="Z17" s="311">
        <f t="shared" si="6"/>
        <v>0.5</v>
      </c>
      <c r="AA17" s="312" t="b">
        <f t="shared" si="7"/>
        <v>1</v>
      </c>
      <c r="AB17" s="312" t="b">
        <f t="shared" si="8"/>
        <v>1</v>
      </c>
    </row>
    <row r="18" spans="1:28" ht="20.399999999999999" x14ac:dyDescent="0.2">
      <c r="A18" s="313">
        <v>16</v>
      </c>
      <c r="B18" s="314" t="s">
        <v>311</v>
      </c>
      <c r="C18" s="315" t="s">
        <v>213</v>
      </c>
      <c r="D18" s="316" t="s">
        <v>312</v>
      </c>
      <c r="E18" s="316" t="s">
        <v>131</v>
      </c>
      <c r="F18" s="314" t="s">
        <v>81</v>
      </c>
      <c r="G18" s="317" t="s">
        <v>313</v>
      </c>
      <c r="H18" s="318" t="s">
        <v>53</v>
      </c>
      <c r="I18" s="319">
        <v>2.4809999999999999</v>
      </c>
      <c r="J18" s="320" t="s">
        <v>314</v>
      </c>
      <c r="K18" s="321">
        <v>2255616.7200000002</v>
      </c>
      <c r="L18" s="321">
        <f t="shared" si="9"/>
        <v>1127808.3600000001</v>
      </c>
      <c r="M18" s="321">
        <f t="shared" si="4"/>
        <v>1127808.3600000001</v>
      </c>
      <c r="N18" s="322">
        <v>0.5</v>
      </c>
      <c r="O18" s="323"/>
      <c r="P18" s="324"/>
      <c r="Q18" s="324"/>
      <c r="R18" s="324"/>
      <c r="S18" s="324">
        <f t="shared" ref="S18:S23" si="10">L18</f>
        <v>1127808.3600000001</v>
      </c>
      <c r="T18" s="324"/>
      <c r="U18" s="324"/>
      <c r="V18" s="324"/>
      <c r="W18" s="325"/>
      <c r="X18" s="310"/>
      <c r="Y18" s="297" t="b">
        <f t="shared" si="5"/>
        <v>1</v>
      </c>
      <c r="Z18" s="311">
        <f t="shared" si="6"/>
        <v>0.5</v>
      </c>
      <c r="AA18" s="312" t="b">
        <f t="shared" si="7"/>
        <v>1</v>
      </c>
      <c r="AB18" s="312" t="b">
        <f t="shared" si="8"/>
        <v>1</v>
      </c>
    </row>
    <row r="19" spans="1:28" ht="20.399999999999999" x14ac:dyDescent="0.2">
      <c r="A19" s="313">
        <v>17</v>
      </c>
      <c r="B19" s="314" t="s">
        <v>315</v>
      </c>
      <c r="C19" s="315" t="s">
        <v>213</v>
      </c>
      <c r="D19" s="316" t="s">
        <v>316</v>
      </c>
      <c r="E19" s="316" t="s">
        <v>118</v>
      </c>
      <c r="F19" s="314" t="s">
        <v>317</v>
      </c>
      <c r="G19" s="317" t="s">
        <v>318</v>
      </c>
      <c r="H19" s="318" t="s">
        <v>53</v>
      </c>
      <c r="I19" s="319">
        <v>1.74</v>
      </c>
      <c r="J19" s="320" t="s">
        <v>319</v>
      </c>
      <c r="K19" s="321">
        <v>14698299.32</v>
      </c>
      <c r="L19" s="321">
        <f t="shared" si="9"/>
        <v>8818979.5899999999</v>
      </c>
      <c r="M19" s="321">
        <f t="shared" si="4"/>
        <v>5879319.7300000004</v>
      </c>
      <c r="N19" s="322">
        <v>0.6</v>
      </c>
      <c r="O19" s="323"/>
      <c r="P19" s="324"/>
      <c r="Q19" s="324"/>
      <c r="R19" s="324"/>
      <c r="S19" s="324">
        <f t="shared" si="10"/>
        <v>8818979.5899999999</v>
      </c>
      <c r="T19" s="324"/>
      <c r="U19" s="324"/>
      <c r="V19" s="324"/>
      <c r="W19" s="325"/>
      <c r="X19" s="310"/>
      <c r="Y19" s="297" t="b">
        <f t="shared" si="5"/>
        <v>1</v>
      </c>
      <c r="Z19" s="311">
        <f t="shared" si="6"/>
        <v>0.6</v>
      </c>
      <c r="AA19" s="312" t="b">
        <f t="shared" si="7"/>
        <v>1</v>
      </c>
      <c r="AB19" s="312" t="b">
        <f t="shared" si="8"/>
        <v>1</v>
      </c>
    </row>
    <row r="20" spans="1:28" ht="20.399999999999999" x14ac:dyDescent="0.2">
      <c r="A20" s="313">
        <v>18</v>
      </c>
      <c r="B20" s="314" t="s">
        <v>320</v>
      </c>
      <c r="C20" s="315" t="s">
        <v>213</v>
      </c>
      <c r="D20" s="316" t="s">
        <v>321</v>
      </c>
      <c r="E20" s="316" t="s">
        <v>173</v>
      </c>
      <c r="F20" s="314" t="s">
        <v>181</v>
      </c>
      <c r="G20" s="317" t="s">
        <v>322</v>
      </c>
      <c r="H20" s="318" t="s">
        <v>53</v>
      </c>
      <c r="I20" s="319">
        <v>0.995</v>
      </c>
      <c r="J20" s="320" t="s">
        <v>240</v>
      </c>
      <c r="K20" s="321">
        <v>1825720.72</v>
      </c>
      <c r="L20" s="321">
        <f t="shared" si="9"/>
        <v>912860.36</v>
      </c>
      <c r="M20" s="321">
        <f t="shared" si="4"/>
        <v>912860.36</v>
      </c>
      <c r="N20" s="322">
        <v>0.5</v>
      </c>
      <c r="O20" s="323"/>
      <c r="P20" s="324"/>
      <c r="Q20" s="324"/>
      <c r="R20" s="324"/>
      <c r="S20" s="324">
        <f t="shared" si="10"/>
        <v>912860.36</v>
      </c>
      <c r="T20" s="324"/>
      <c r="U20" s="324"/>
      <c r="V20" s="324"/>
      <c r="W20" s="325"/>
      <c r="X20" s="310"/>
      <c r="Y20" s="297" t="b">
        <f t="shared" si="5"/>
        <v>1</v>
      </c>
      <c r="Z20" s="311">
        <f t="shared" si="6"/>
        <v>0.5</v>
      </c>
      <c r="AA20" s="312" t="b">
        <f t="shared" si="7"/>
        <v>1</v>
      </c>
      <c r="AB20" s="312" t="b">
        <f t="shared" si="8"/>
        <v>1</v>
      </c>
    </row>
    <row r="21" spans="1:28" ht="30.6" x14ac:dyDescent="0.2">
      <c r="A21" s="313">
        <v>19</v>
      </c>
      <c r="B21" s="314" t="s">
        <v>323</v>
      </c>
      <c r="C21" s="315" t="s">
        <v>213</v>
      </c>
      <c r="D21" s="316" t="s">
        <v>295</v>
      </c>
      <c r="E21" s="316" t="s">
        <v>117</v>
      </c>
      <c r="F21" s="314" t="s">
        <v>296</v>
      </c>
      <c r="G21" s="317" t="s">
        <v>324</v>
      </c>
      <c r="H21" s="318" t="s">
        <v>56</v>
      </c>
      <c r="I21" s="319">
        <v>0.40699999999999997</v>
      </c>
      <c r="J21" s="320" t="s">
        <v>216</v>
      </c>
      <c r="K21" s="321">
        <v>1830885.03</v>
      </c>
      <c r="L21" s="321">
        <f t="shared" si="9"/>
        <v>1098531.02</v>
      </c>
      <c r="M21" s="321">
        <f t="shared" si="4"/>
        <v>732354.01</v>
      </c>
      <c r="N21" s="322">
        <v>0.6</v>
      </c>
      <c r="O21" s="323"/>
      <c r="P21" s="324"/>
      <c r="Q21" s="324"/>
      <c r="R21" s="324"/>
      <c r="S21" s="324">
        <f t="shared" si="10"/>
        <v>1098531.02</v>
      </c>
      <c r="T21" s="324"/>
      <c r="U21" s="324"/>
      <c r="V21" s="324"/>
      <c r="W21" s="325"/>
      <c r="X21" s="310"/>
      <c r="Y21" s="297" t="b">
        <f t="shared" si="5"/>
        <v>1</v>
      </c>
      <c r="Z21" s="311">
        <f t="shared" si="6"/>
        <v>0.6</v>
      </c>
      <c r="AA21" s="312" t="b">
        <f t="shared" si="7"/>
        <v>1</v>
      </c>
      <c r="AB21" s="312" t="b">
        <f t="shared" si="8"/>
        <v>1</v>
      </c>
    </row>
    <row r="22" spans="1:28" ht="20.399999999999999" x14ac:dyDescent="0.2">
      <c r="A22" s="313">
        <v>20</v>
      </c>
      <c r="B22" s="314" t="s">
        <v>325</v>
      </c>
      <c r="C22" s="315" t="s">
        <v>213</v>
      </c>
      <c r="D22" s="316" t="s">
        <v>326</v>
      </c>
      <c r="E22" s="316" t="s">
        <v>121</v>
      </c>
      <c r="F22" s="314" t="s">
        <v>108</v>
      </c>
      <c r="G22" s="317" t="s">
        <v>327</v>
      </c>
      <c r="H22" s="318" t="s">
        <v>53</v>
      </c>
      <c r="I22" s="319">
        <v>1.5580000000000001</v>
      </c>
      <c r="J22" s="320" t="s">
        <v>328</v>
      </c>
      <c r="K22" s="321">
        <v>4044951.86</v>
      </c>
      <c r="L22" s="321">
        <f t="shared" si="9"/>
        <v>2426971.12</v>
      </c>
      <c r="M22" s="321">
        <f t="shared" si="4"/>
        <v>1617980.7399999998</v>
      </c>
      <c r="N22" s="322">
        <v>0.6</v>
      </c>
      <c r="O22" s="323"/>
      <c r="P22" s="324"/>
      <c r="Q22" s="324"/>
      <c r="R22" s="324"/>
      <c r="S22" s="324">
        <f t="shared" si="10"/>
        <v>2426971.12</v>
      </c>
      <c r="T22" s="324"/>
      <c r="U22" s="324"/>
      <c r="V22" s="324"/>
      <c r="W22" s="325"/>
      <c r="X22" s="310"/>
      <c r="Y22" s="297" t="b">
        <f t="shared" si="5"/>
        <v>1</v>
      </c>
      <c r="Z22" s="311">
        <f t="shared" si="6"/>
        <v>0.6</v>
      </c>
      <c r="AA22" s="312" t="b">
        <f t="shared" si="7"/>
        <v>1</v>
      </c>
      <c r="AB22" s="312" t="b">
        <f t="shared" si="8"/>
        <v>1</v>
      </c>
    </row>
    <row r="23" spans="1:28" ht="20.399999999999999" x14ac:dyDescent="0.2">
      <c r="A23" s="313">
        <v>21</v>
      </c>
      <c r="B23" s="314" t="s">
        <v>329</v>
      </c>
      <c r="C23" s="315" t="s">
        <v>213</v>
      </c>
      <c r="D23" s="316" t="s">
        <v>330</v>
      </c>
      <c r="E23" s="316" t="s">
        <v>145</v>
      </c>
      <c r="F23" s="314" t="s">
        <v>190</v>
      </c>
      <c r="G23" s="317" t="s">
        <v>331</v>
      </c>
      <c r="H23" s="318" t="s">
        <v>56</v>
      </c>
      <c r="I23" s="319">
        <v>0.53500000000000003</v>
      </c>
      <c r="J23" s="320" t="s">
        <v>230</v>
      </c>
      <c r="K23" s="321">
        <v>2104424.6800000002</v>
      </c>
      <c r="L23" s="321">
        <f t="shared" si="9"/>
        <v>1052212.3400000001</v>
      </c>
      <c r="M23" s="321">
        <f t="shared" si="4"/>
        <v>1052212.3400000001</v>
      </c>
      <c r="N23" s="322">
        <v>0.5</v>
      </c>
      <c r="O23" s="323"/>
      <c r="P23" s="324"/>
      <c r="Q23" s="324"/>
      <c r="R23" s="324"/>
      <c r="S23" s="324">
        <f t="shared" si="10"/>
        <v>1052212.3400000001</v>
      </c>
      <c r="T23" s="324"/>
      <c r="U23" s="324"/>
      <c r="V23" s="324"/>
      <c r="W23" s="325"/>
      <c r="X23" s="310"/>
      <c r="Y23" s="297" t="b">
        <f t="shared" si="5"/>
        <v>1</v>
      </c>
      <c r="Z23" s="311">
        <f t="shared" si="6"/>
        <v>0.5</v>
      </c>
      <c r="AA23" s="312" t="b">
        <f t="shared" si="7"/>
        <v>1</v>
      </c>
      <c r="AB23" s="312" t="b">
        <f t="shared" si="8"/>
        <v>1</v>
      </c>
    </row>
    <row r="24" spans="1:28" s="329" customFormat="1" ht="30.6" x14ac:dyDescent="0.2">
      <c r="A24" s="299">
        <v>22</v>
      </c>
      <c r="B24" s="300" t="s">
        <v>332</v>
      </c>
      <c r="C24" s="301" t="s">
        <v>209</v>
      </c>
      <c r="D24" s="302" t="s">
        <v>89</v>
      </c>
      <c r="E24" s="302" t="s">
        <v>90</v>
      </c>
      <c r="F24" s="300" t="s">
        <v>91</v>
      </c>
      <c r="G24" s="303" t="s">
        <v>333</v>
      </c>
      <c r="H24" s="326" t="s">
        <v>56</v>
      </c>
      <c r="I24" s="327">
        <v>1.008</v>
      </c>
      <c r="J24" s="328" t="s">
        <v>334</v>
      </c>
      <c r="K24" s="307">
        <v>7966648.5899999999</v>
      </c>
      <c r="L24" s="307">
        <f t="shared" si="9"/>
        <v>3983324.3</v>
      </c>
      <c r="M24" s="307">
        <f t="shared" si="4"/>
        <v>3983324.29</v>
      </c>
      <c r="N24" s="308">
        <v>0.5</v>
      </c>
      <c r="O24" s="309"/>
      <c r="P24" s="306"/>
      <c r="Q24" s="306"/>
      <c r="R24" s="306"/>
      <c r="S24" s="306">
        <v>1800000</v>
      </c>
      <c r="T24" s="306">
        <v>2183324.2999999998</v>
      </c>
      <c r="U24" s="306"/>
      <c r="V24" s="306"/>
      <c r="W24" s="310"/>
      <c r="X24" s="310"/>
      <c r="Y24" s="297" t="b">
        <f t="shared" si="5"/>
        <v>1</v>
      </c>
      <c r="Z24" s="311">
        <f t="shared" si="6"/>
        <v>0.5</v>
      </c>
      <c r="AA24" s="312" t="b">
        <f t="shared" si="7"/>
        <v>1</v>
      </c>
      <c r="AB24" s="312" t="b">
        <f t="shared" si="8"/>
        <v>1</v>
      </c>
    </row>
    <row r="25" spans="1:28" x14ac:dyDescent="0.2">
      <c r="A25" s="313">
        <v>23</v>
      </c>
      <c r="B25" s="314" t="s">
        <v>335</v>
      </c>
      <c r="C25" s="315" t="s">
        <v>213</v>
      </c>
      <c r="D25" s="316" t="s">
        <v>336</v>
      </c>
      <c r="E25" s="316" t="s">
        <v>124</v>
      </c>
      <c r="F25" s="314" t="s">
        <v>183</v>
      </c>
      <c r="G25" s="317" t="s">
        <v>337</v>
      </c>
      <c r="H25" s="318" t="s">
        <v>56</v>
      </c>
      <c r="I25" s="319">
        <v>0.70399999999999996</v>
      </c>
      <c r="J25" s="320" t="s">
        <v>216</v>
      </c>
      <c r="K25" s="321">
        <v>3049789.98</v>
      </c>
      <c r="L25" s="321">
        <f t="shared" si="9"/>
        <v>1829873.99</v>
      </c>
      <c r="M25" s="321">
        <f t="shared" si="4"/>
        <v>1219915.99</v>
      </c>
      <c r="N25" s="322">
        <v>0.6</v>
      </c>
      <c r="O25" s="323"/>
      <c r="P25" s="324"/>
      <c r="Q25" s="324"/>
      <c r="R25" s="324"/>
      <c r="S25" s="324">
        <f t="shared" ref="S25:S37" si="11">L25</f>
        <v>1829873.99</v>
      </c>
      <c r="T25" s="324"/>
      <c r="U25" s="324"/>
      <c r="V25" s="324"/>
      <c r="W25" s="325"/>
      <c r="X25" s="310"/>
      <c r="Y25" s="297" t="b">
        <f t="shared" si="5"/>
        <v>1</v>
      </c>
      <c r="Z25" s="311">
        <f t="shared" si="6"/>
        <v>0.6</v>
      </c>
      <c r="AA25" s="312" t="b">
        <f t="shared" si="7"/>
        <v>1</v>
      </c>
      <c r="AB25" s="312" t="b">
        <f t="shared" si="8"/>
        <v>1</v>
      </c>
    </row>
    <row r="26" spans="1:28" ht="20.399999999999999" x14ac:dyDescent="0.2">
      <c r="A26" s="313">
        <v>24</v>
      </c>
      <c r="B26" s="314" t="s">
        <v>338</v>
      </c>
      <c r="C26" s="315" t="s">
        <v>213</v>
      </c>
      <c r="D26" s="316" t="s">
        <v>339</v>
      </c>
      <c r="E26" s="316" t="s">
        <v>179</v>
      </c>
      <c r="F26" s="314" t="s">
        <v>188</v>
      </c>
      <c r="G26" s="317" t="s">
        <v>340</v>
      </c>
      <c r="H26" s="318" t="s">
        <v>53</v>
      </c>
      <c r="I26" s="319">
        <v>0.45100000000000001</v>
      </c>
      <c r="J26" s="320" t="s">
        <v>341</v>
      </c>
      <c r="K26" s="321">
        <v>2620990.39</v>
      </c>
      <c r="L26" s="321">
        <f t="shared" si="9"/>
        <v>1310495.2</v>
      </c>
      <c r="M26" s="321">
        <f t="shared" si="4"/>
        <v>1310495.1900000002</v>
      </c>
      <c r="N26" s="322">
        <v>0.5</v>
      </c>
      <c r="O26" s="323"/>
      <c r="P26" s="324"/>
      <c r="Q26" s="324"/>
      <c r="R26" s="324"/>
      <c r="S26" s="324">
        <f t="shared" si="11"/>
        <v>1310495.2</v>
      </c>
      <c r="T26" s="324"/>
      <c r="U26" s="324"/>
      <c r="V26" s="324"/>
      <c r="W26" s="325"/>
      <c r="X26" s="310"/>
      <c r="Y26" s="297" t="b">
        <f t="shared" si="5"/>
        <v>1</v>
      </c>
      <c r="Z26" s="311">
        <f t="shared" si="6"/>
        <v>0.5</v>
      </c>
      <c r="AA26" s="312" t="b">
        <f t="shared" si="7"/>
        <v>1</v>
      </c>
      <c r="AB26" s="312" t="b">
        <f t="shared" si="8"/>
        <v>1</v>
      </c>
    </row>
    <row r="27" spans="1:28" ht="20.399999999999999" x14ac:dyDescent="0.2">
      <c r="A27" s="313">
        <v>25</v>
      </c>
      <c r="B27" s="314" t="s">
        <v>342</v>
      </c>
      <c r="C27" s="315" t="s">
        <v>213</v>
      </c>
      <c r="D27" s="316" t="s">
        <v>306</v>
      </c>
      <c r="E27" s="316" t="s">
        <v>129</v>
      </c>
      <c r="F27" s="314" t="s">
        <v>108</v>
      </c>
      <c r="G27" s="317" t="s">
        <v>343</v>
      </c>
      <c r="H27" s="318" t="s">
        <v>56</v>
      </c>
      <c r="I27" s="319">
        <v>1.6850000000000001</v>
      </c>
      <c r="J27" s="320" t="s">
        <v>230</v>
      </c>
      <c r="K27" s="321">
        <v>4135588.48</v>
      </c>
      <c r="L27" s="321">
        <f t="shared" si="9"/>
        <v>2067794.24</v>
      </c>
      <c r="M27" s="321">
        <f t="shared" si="4"/>
        <v>2067794.24</v>
      </c>
      <c r="N27" s="322">
        <v>0.5</v>
      </c>
      <c r="O27" s="323"/>
      <c r="P27" s="324"/>
      <c r="Q27" s="324"/>
      <c r="R27" s="324"/>
      <c r="S27" s="324">
        <f t="shared" si="11"/>
        <v>2067794.24</v>
      </c>
      <c r="T27" s="324"/>
      <c r="U27" s="324"/>
      <c r="V27" s="324"/>
      <c r="W27" s="325"/>
      <c r="X27" s="310"/>
      <c r="Y27" s="297" t="b">
        <f t="shared" si="5"/>
        <v>1</v>
      </c>
      <c r="Z27" s="311">
        <f t="shared" si="6"/>
        <v>0.5</v>
      </c>
      <c r="AA27" s="312" t="b">
        <f t="shared" si="7"/>
        <v>1</v>
      </c>
      <c r="AB27" s="312" t="b">
        <f t="shared" si="8"/>
        <v>1</v>
      </c>
    </row>
    <row r="28" spans="1:28" ht="20.399999999999999" x14ac:dyDescent="0.2">
      <c r="A28" s="313">
        <v>26</v>
      </c>
      <c r="B28" s="314" t="s">
        <v>344</v>
      </c>
      <c r="C28" s="315" t="s">
        <v>213</v>
      </c>
      <c r="D28" s="316" t="s">
        <v>345</v>
      </c>
      <c r="E28" s="316" t="s">
        <v>156</v>
      </c>
      <c r="F28" s="314" t="s">
        <v>180</v>
      </c>
      <c r="G28" s="317" t="s">
        <v>346</v>
      </c>
      <c r="H28" s="318" t="s">
        <v>53</v>
      </c>
      <c r="I28" s="319">
        <v>0.95599999999999996</v>
      </c>
      <c r="J28" s="320" t="s">
        <v>230</v>
      </c>
      <c r="K28" s="321">
        <v>2121392</v>
      </c>
      <c r="L28" s="321">
        <f t="shared" si="9"/>
        <v>1060696</v>
      </c>
      <c r="M28" s="321">
        <f t="shared" si="4"/>
        <v>1060696</v>
      </c>
      <c r="N28" s="322">
        <v>0.5</v>
      </c>
      <c r="O28" s="323"/>
      <c r="P28" s="324"/>
      <c r="Q28" s="324"/>
      <c r="R28" s="324"/>
      <c r="S28" s="324">
        <f t="shared" si="11"/>
        <v>1060696</v>
      </c>
      <c r="T28" s="324"/>
      <c r="U28" s="324"/>
      <c r="V28" s="324"/>
      <c r="W28" s="325"/>
      <c r="X28" s="310"/>
      <c r="Y28" s="297" t="b">
        <f t="shared" si="5"/>
        <v>1</v>
      </c>
      <c r="Z28" s="311">
        <f t="shared" si="6"/>
        <v>0.5</v>
      </c>
      <c r="AA28" s="312" t="b">
        <f t="shared" si="7"/>
        <v>1</v>
      </c>
      <c r="AB28" s="312" t="b">
        <f t="shared" si="8"/>
        <v>1</v>
      </c>
    </row>
    <row r="29" spans="1:28" ht="20.399999999999999" x14ac:dyDescent="0.2">
      <c r="A29" s="313">
        <v>27</v>
      </c>
      <c r="B29" s="314" t="s">
        <v>347</v>
      </c>
      <c r="C29" s="315" t="s">
        <v>213</v>
      </c>
      <c r="D29" s="316" t="s">
        <v>348</v>
      </c>
      <c r="E29" s="316" t="s">
        <v>157</v>
      </c>
      <c r="F29" s="314" t="s">
        <v>81</v>
      </c>
      <c r="G29" s="317" t="s">
        <v>349</v>
      </c>
      <c r="H29" s="318" t="s">
        <v>53</v>
      </c>
      <c r="I29" s="319">
        <v>0.40600000000000003</v>
      </c>
      <c r="J29" s="320" t="s">
        <v>267</v>
      </c>
      <c r="K29" s="321">
        <v>1686315.51</v>
      </c>
      <c r="L29" s="321">
        <f t="shared" si="9"/>
        <v>843157.76</v>
      </c>
      <c r="M29" s="321">
        <f t="shared" si="4"/>
        <v>843157.75</v>
      </c>
      <c r="N29" s="322">
        <v>0.5</v>
      </c>
      <c r="O29" s="323"/>
      <c r="P29" s="324"/>
      <c r="Q29" s="324"/>
      <c r="R29" s="324"/>
      <c r="S29" s="324">
        <f t="shared" si="11"/>
        <v>843157.76</v>
      </c>
      <c r="T29" s="324"/>
      <c r="U29" s="324"/>
      <c r="V29" s="324"/>
      <c r="W29" s="325"/>
      <c r="X29" s="310"/>
      <c r="Y29" s="297" t="b">
        <f t="shared" si="5"/>
        <v>1</v>
      </c>
      <c r="Z29" s="311">
        <f t="shared" si="6"/>
        <v>0.5</v>
      </c>
      <c r="AA29" s="312" t="b">
        <f t="shared" si="7"/>
        <v>1</v>
      </c>
      <c r="AB29" s="312" t="b">
        <f t="shared" si="8"/>
        <v>1</v>
      </c>
    </row>
    <row r="30" spans="1:28" ht="20.399999999999999" x14ac:dyDescent="0.2">
      <c r="A30" s="313">
        <v>28</v>
      </c>
      <c r="B30" s="314" t="s">
        <v>350</v>
      </c>
      <c r="C30" s="315" t="s">
        <v>213</v>
      </c>
      <c r="D30" s="316" t="s">
        <v>101</v>
      </c>
      <c r="E30" s="316" t="s">
        <v>102</v>
      </c>
      <c r="F30" s="314" t="s">
        <v>103</v>
      </c>
      <c r="G30" s="317" t="s">
        <v>351</v>
      </c>
      <c r="H30" s="318" t="s">
        <v>56</v>
      </c>
      <c r="I30" s="319">
        <v>0.28399999999999997</v>
      </c>
      <c r="J30" s="320" t="s">
        <v>224</v>
      </c>
      <c r="K30" s="321">
        <v>1792640.19</v>
      </c>
      <c r="L30" s="321">
        <f t="shared" si="9"/>
        <v>896320.1</v>
      </c>
      <c r="M30" s="321">
        <f t="shared" si="4"/>
        <v>896320.09</v>
      </c>
      <c r="N30" s="322">
        <v>0.5</v>
      </c>
      <c r="O30" s="323"/>
      <c r="P30" s="324"/>
      <c r="Q30" s="324"/>
      <c r="R30" s="324"/>
      <c r="S30" s="324">
        <f t="shared" si="11"/>
        <v>896320.1</v>
      </c>
      <c r="T30" s="324"/>
      <c r="U30" s="324"/>
      <c r="V30" s="324"/>
      <c r="W30" s="325"/>
      <c r="X30" s="310"/>
      <c r="Y30" s="297" t="b">
        <f t="shared" si="5"/>
        <v>1</v>
      </c>
      <c r="Z30" s="311">
        <f t="shared" si="6"/>
        <v>0.5</v>
      </c>
      <c r="AA30" s="312" t="b">
        <f t="shared" si="7"/>
        <v>1</v>
      </c>
      <c r="AB30" s="312" t="b">
        <f t="shared" si="8"/>
        <v>1</v>
      </c>
    </row>
    <row r="31" spans="1:28" ht="20.399999999999999" x14ac:dyDescent="0.2">
      <c r="A31" s="313">
        <v>29</v>
      </c>
      <c r="B31" s="314" t="s">
        <v>352</v>
      </c>
      <c r="C31" s="315" t="s">
        <v>213</v>
      </c>
      <c r="D31" s="316" t="s">
        <v>312</v>
      </c>
      <c r="E31" s="316" t="s">
        <v>131</v>
      </c>
      <c r="F31" s="314" t="s">
        <v>81</v>
      </c>
      <c r="G31" s="317" t="s">
        <v>353</v>
      </c>
      <c r="H31" s="318" t="s">
        <v>53</v>
      </c>
      <c r="I31" s="319">
        <v>1.87</v>
      </c>
      <c r="J31" s="320" t="s">
        <v>230</v>
      </c>
      <c r="K31" s="321">
        <v>2490850.64</v>
      </c>
      <c r="L31" s="321">
        <f t="shared" si="9"/>
        <v>1245425.32</v>
      </c>
      <c r="M31" s="321">
        <f t="shared" si="4"/>
        <v>1245425.32</v>
      </c>
      <c r="N31" s="322">
        <v>0.5</v>
      </c>
      <c r="O31" s="323"/>
      <c r="P31" s="324"/>
      <c r="Q31" s="324"/>
      <c r="R31" s="324"/>
      <c r="S31" s="324">
        <f t="shared" si="11"/>
        <v>1245425.32</v>
      </c>
      <c r="T31" s="324"/>
      <c r="U31" s="324"/>
      <c r="V31" s="324"/>
      <c r="W31" s="325"/>
      <c r="X31" s="310"/>
      <c r="Y31" s="297" t="b">
        <f t="shared" si="5"/>
        <v>1</v>
      </c>
      <c r="Z31" s="311">
        <f t="shared" si="6"/>
        <v>0.5</v>
      </c>
      <c r="AA31" s="312" t="b">
        <f t="shared" si="7"/>
        <v>1</v>
      </c>
      <c r="AB31" s="312" t="b">
        <f t="shared" si="8"/>
        <v>1</v>
      </c>
    </row>
    <row r="32" spans="1:28" ht="30.6" x14ac:dyDescent="0.2">
      <c r="A32" s="313">
        <v>30</v>
      </c>
      <c r="B32" s="314" t="s">
        <v>354</v>
      </c>
      <c r="C32" s="315" t="s">
        <v>213</v>
      </c>
      <c r="D32" s="316" t="s">
        <v>89</v>
      </c>
      <c r="E32" s="316" t="s">
        <v>90</v>
      </c>
      <c r="F32" s="314" t="s">
        <v>91</v>
      </c>
      <c r="G32" s="317" t="s">
        <v>355</v>
      </c>
      <c r="H32" s="318" t="s">
        <v>53</v>
      </c>
      <c r="I32" s="319">
        <v>0.436</v>
      </c>
      <c r="J32" s="320" t="s">
        <v>356</v>
      </c>
      <c r="K32" s="321">
        <v>2119261.4900000002</v>
      </c>
      <c r="L32" s="321">
        <f t="shared" si="9"/>
        <v>1059630.75</v>
      </c>
      <c r="M32" s="321">
        <f t="shared" si="4"/>
        <v>1059630.7400000002</v>
      </c>
      <c r="N32" s="322">
        <v>0.5</v>
      </c>
      <c r="O32" s="323"/>
      <c r="P32" s="324"/>
      <c r="Q32" s="324"/>
      <c r="R32" s="324"/>
      <c r="S32" s="324">
        <f t="shared" si="11"/>
        <v>1059630.75</v>
      </c>
      <c r="T32" s="324"/>
      <c r="U32" s="324"/>
      <c r="V32" s="324"/>
      <c r="W32" s="325"/>
      <c r="X32" s="310"/>
      <c r="Y32" s="297" t="b">
        <f t="shared" si="5"/>
        <v>1</v>
      </c>
      <c r="Z32" s="311">
        <f t="shared" si="6"/>
        <v>0.5</v>
      </c>
      <c r="AA32" s="312" t="b">
        <f t="shared" si="7"/>
        <v>1</v>
      </c>
      <c r="AB32" s="312" t="b">
        <f t="shared" si="8"/>
        <v>1</v>
      </c>
    </row>
    <row r="33" spans="1:28" ht="20.399999999999999" x14ac:dyDescent="0.2">
      <c r="A33" s="313">
        <v>31</v>
      </c>
      <c r="B33" s="314" t="s">
        <v>357</v>
      </c>
      <c r="C33" s="315" t="s">
        <v>213</v>
      </c>
      <c r="D33" s="316" t="s">
        <v>358</v>
      </c>
      <c r="E33" s="316" t="s">
        <v>144</v>
      </c>
      <c r="F33" s="314" t="s">
        <v>188</v>
      </c>
      <c r="G33" s="317" t="s">
        <v>359</v>
      </c>
      <c r="H33" s="318" t="s">
        <v>53</v>
      </c>
      <c r="I33" s="319">
        <v>0.69099999999999995</v>
      </c>
      <c r="J33" s="320" t="s">
        <v>360</v>
      </c>
      <c r="K33" s="321">
        <v>519440.56</v>
      </c>
      <c r="L33" s="321">
        <f t="shared" si="9"/>
        <v>259720.28</v>
      </c>
      <c r="M33" s="321">
        <f t="shared" si="4"/>
        <v>259720.28</v>
      </c>
      <c r="N33" s="322">
        <v>0.5</v>
      </c>
      <c r="O33" s="323"/>
      <c r="P33" s="324"/>
      <c r="Q33" s="324"/>
      <c r="R33" s="324"/>
      <c r="S33" s="324">
        <f t="shared" si="11"/>
        <v>259720.28</v>
      </c>
      <c r="T33" s="324"/>
      <c r="U33" s="324"/>
      <c r="V33" s="324"/>
      <c r="W33" s="325"/>
      <c r="X33" s="310"/>
      <c r="Y33" s="297" t="b">
        <f t="shared" si="5"/>
        <v>1</v>
      </c>
      <c r="Z33" s="311">
        <f t="shared" si="6"/>
        <v>0.5</v>
      </c>
      <c r="AA33" s="312" t="b">
        <f t="shared" si="7"/>
        <v>1</v>
      </c>
      <c r="AB33" s="312" t="b">
        <f t="shared" si="8"/>
        <v>1</v>
      </c>
    </row>
    <row r="34" spans="1:28" ht="20.399999999999999" x14ac:dyDescent="0.2">
      <c r="A34" s="313">
        <v>32</v>
      </c>
      <c r="B34" s="314" t="s">
        <v>361</v>
      </c>
      <c r="C34" s="315" t="s">
        <v>213</v>
      </c>
      <c r="D34" s="316" t="s">
        <v>339</v>
      </c>
      <c r="E34" s="316" t="s">
        <v>179</v>
      </c>
      <c r="F34" s="314" t="s">
        <v>188</v>
      </c>
      <c r="G34" s="317" t="s">
        <v>362</v>
      </c>
      <c r="H34" s="318" t="s">
        <v>53</v>
      </c>
      <c r="I34" s="319">
        <v>0.40699999999999997</v>
      </c>
      <c r="J34" s="320" t="s">
        <v>363</v>
      </c>
      <c r="K34" s="321">
        <v>3379192.27</v>
      </c>
      <c r="L34" s="321">
        <f t="shared" si="9"/>
        <v>1689596.14</v>
      </c>
      <c r="M34" s="321">
        <f t="shared" si="4"/>
        <v>1689596.1300000001</v>
      </c>
      <c r="N34" s="322">
        <v>0.5</v>
      </c>
      <c r="O34" s="323"/>
      <c r="P34" s="324"/>
      <c r="Q34" s="324"/>
      <c r="R34" s="324"/>
      <c r="S34" s="324">
        <f t="shared" si="11"/>
        <v>1689596.14</v>
      </c>
      <c r="T34" s="324"/>
      <c r="U34" s="324"/>
      <c r="V34" s="324"/>
      <c r="W34" s="325"/>
      <c r="X34" s="310"/>
      <c r="Y34" s="297" t="b">
        <f t="shared" si="5"/>
        <v>1</v>
      </c>
      <c r="Z34" s="311">
        <f t="shared" si="6"/>
        <v>0.5</v>
      </c>
      <c r="AA34" s="312" t="b">
        <f t="shared" si="7"/>
        <v>1</v>
      </c>
      <c r="AB34" s="312" t="b">
        <f t="shared" si="8"/>
        <v>1</v>
      </c>
    </row>
    <row r="35" spans="1:28" ht="20.399999999999999" x14ac:dyDescent="0.2">
      <c r="A35" s="313">
        <v>33</v>
      </c>
      <c r="B35" s="314" t="s">
        <v>364</v>
      </c>
      <c r="C35" s="315" t="s">
        <v>213</v>
      </c>
      <c r="D35" s="316" t="s">
        <v>365</v>
      </c>
      <c r="E35" s="316" t="s">
        <v>135</v>
      </c>
      <c r="F35" s="314" t="s">
        <v>181</v>
      </c>
      <c r="G35" s="317" t="s">
        <v>366</v>
      </c>
      <c r="H35" s="318" t="s">
        <v>53</v>
      </c>
      <c r="I35" s="319">
        <v>0.38</v>
      </c>
      <c r="J35" s="320" t="s">
        <v>367</v>
      </c>
      <c r="K35" s="321">
        <v>528092.47</v>
      </c>
      <c r="L35" s="321">
        <f t="shared" si="9"/>
        <v>264046.24</v>
      </c>
      <c r="M35" s="321">
        <f t="shared" si="4"/>
        <v>264046.23</v>
      </c>
      <c r="N35" s="322">
        <v>0.5</v>
      </c>
      <c r="O35" s="323"/>
      <c r="P35" s="324"/>
      <c r="Q35" s="324"/>
      <c r="R35" s="324"/>
      <c r="S35" s="324">
        <f t="shared" si="11"/>
        <v>264046.24</v>
      </c>
      <c r="T35" s="324"/>
      <c r="U35" s="324"/>
      <c r="V35" s="324"/>
      <c r="W35" s="325"/>
      <c r="X35" s="310"/>
      <c r="Y35" s="297" t="b">
        <f t="shared" si="5"/>
        <v>1</v>
      </c>
      <c r="Z35" s="311">
        <f t="shared" si="6"/>
        <v>0.5</v>
      </c>
      <c r="AA35" s="312" t="b">
        <f t="shared" si="7"/>
        <v>1</v>
      </c>
      <c r="AB35" s="312" t="b">
        <f t="shared" si="8"/>
        <v>1</v>
      </c>
    </row>
    <row r="36" spans="1:28" x14ac:dyDescent="0.2">
      <c r="A36" s="313">
        <v>34</v>
      </c>
      <c r="B36" s="314" t="s">
        <v>368</v>
      </c>
      <c r="C36" s="315" t="s">
        <v>213</v>
      </c>
      <c r="D36" s="316" t="s">
        <v>369</v>
      </c>
      <c r="E36" s="316" t="s">
        <v>172</v>
      </c>
      <c r="F36" s="314" t="s">
        <v>86</v>
      </c>
      <c r="G36" s="317" t="s">
        <v>370</v>
      </c>
      <c r="H36" s="318" t="s">
        <v>53</v>
      </c>
      <c r="I36" s="319">
        <v>0.30099999999999999</v>
      </c>
      <c r="J36" s="320" t="s">
        <v>234</v>
      </c>
      <c r="K36" s="321">
        <v>1306284.99</v>
      </c>
      <c r="L36" s="321">
        <f t="shared" si="9"/>
        <v>653142.5</v>
      </c>
      <c r="M36" s="321">
        <f t="shared" si="4"/>
        <v>653142.49</v>
      </c>
      <c r="N36" s="322">
        <v>0.5</v>
      </c>
      <c r="O36" s="323"/>
      <c r="P36" s="324"/>
      <c r="Q36" s="324"/>
      <c r="R36" s="324"/>
      <c r="S36" s="324">
        <f t="shared" si="11"/>
        <v>653142.5</v>
      </c>
      <c r="T36" s="324"/>
      <c r="U36" s="324"/>
      <c r="V36" s="324"/>
      <c r="W36" s="325"/>
      <c r="X36" s="310"/>
      <c r="Y36" s="297" t="b">
        <f t="shared" si="5"/>
        <v>1</v>
      </c>
      <c r="Z36" s="311">
        <f t="shared" si="6"/>
        <v>0.5</v>
      </c>
      <c r="AA36" s="312" t="b">
        <f t="shared" si="7"/>
        <v>1</v>
      </c>
      <c r="AB36" s="312" t="b">
        <f t="shared" si="8"/>
        <v>1</v>
      </c>
    </row>
    <row r="37" spans="1:28" ht="20.399999999999999" x14ac:dyDescent="0.2">
      <c r="A37" s="313">
        <v>35</v>
      </c>
      <c r="B37" s="314" t="s">
        <v>371</v>
      </c>
      <c r="C37" s="315" t="s">
        <v>213</v>
      </c>
      <c r="D37" s="316" t="s">
        <v>372</v>
      </c>
      <c r="E37" s="316" t="s">
        <v>130</v>
      </c>
      <c r="F37" s="314" t="s">
        <v>86</v>
      </c>
      <c r="G37" s="317" t="s">
        <v>373</v>
      </c>
      <c r="H37" s="318" t="s">
        <v>53</v>
      </c>
      <c r="I37" s="319">
        <v>1.4730000000000001</v>
      </c>
      <c r="J37" s="320" t="s">
        <v>374</v>
      </c>
      <c r="K37" s="321">
        <v>915019</v>
      </c>
      <c r="L37" s="321">
        <f t="shared" si="9"/>
        <v>457509.5</v>
      </c>
      <c r="M37" s="321">
        <f t="shared" si="4"/>
        <v>457509.5</v>
      </c>
      <c r="N37" s="322">
        <v>0.5</v>
      </c>
      <c r="O37" s="323"/>
      <c r="P37" s="324"/>
      <c r="Q37" s="324"/>
      <c r="R37" s="324"/>
      <c r="S37" s="324">
        <f t="shared" si="11"/>
        <v>457509.5</v>
      </c>
      <c r="T37" s="324"/>
      <c r="U37" s="324"/>
      <c r="V37" s="324"/>
      <c r="W37" s="325"/>
      <c r="X37" s="310"/>
      <c r="Y37" s="297" t="b">
        <f t="shared" si="5"/>
        <v>1</v>
      </c>
      <c r="Z37" s="311">
        <f t="shared" si="6"/>
        <v>0.5</v>
      </c>
      <c r="AA37" s="312" t="b">
        <f t="shared" si="7"/>
        <v>1</v>
      </c>
      <c r="AB37" s="312" t="b">
        <f t="shared" si="8"/>
        <v>1</v>
      </c>
    </row>
    <row r="38" spans="1:28" s="329" customFormat="1" ht="20.399999999999999" x14ac:dyDescent="0.2">
      <c r="A38" s="299">
        <v>36</v>
      </c>
      <c r="B38" s="300" t="s">
        <v>375</v>
      </c>
      <c r="C38" s="301" t="s">
        <v>209</v>
      </c>
      <c r="D38" s="302" t="s">
        <v>94</v>
      </c>
      <c r="E38" s="302" t="s">
        <v>95</v>
      </c>
      <c r="F38" s="300" t="s">
        <v>96</v>
      </c>
      <c r="G38" s="303" t="s">
        <v>376</v>
      </c>
      <c r="H38" s="326" t="s">
        <v>56</v>
      </c>
      <c r="I38" s="327">
        <v>1.3029999999999999</v>
      </c>
      <c r="J38" s="328" t="s">
        <v>377</v>
      </c>
      <c r="K38" s="307">
        <v>4558461.0599999996</v>
      </c>
      <c r="L38" s="307">
        <v>3646768.84</v>
      </c>
      <c r="M38" s="307">
        <f t="shared" si="4"/>
        <v>911692.21999999974</v>
      </c>
      <c r="N38" s="308">
        <f>L38/K38</f>
        <v>0.79999999824502177</v>
      </c>
      <c r="O38" s="309"/>
      <c r="P38" s="306"/>
      <c r="Q38" s="306"/>
      <c r="R38" s="306"/>
      <c r="S38" s="306">
        <v>2251371.96</v>
      </c>
      <c r="T38" s="306">
        <v>1395396.88</v>
      </c>
      <c r="U38" s="306"/>
      <c r="V38" s="306"/>
      <c r="W38" s="310"/>
      <c r="X38" s="310"/>
      <c r="Y38" s="297" t="b">
        <f t="shared" si="5"/>
        <v>1</v>
      </c>
      <c r="Z38" s="311">
        <f t="shared" si="6"/>
        <v>0.8</v>
      </c>
      <c r="AA38" s="312" t="b">
        <f t="shared" si="7"/>
        <v>0</v>
      </c>
      <c r="AB38" s="312" t="b">
        <f t="shared" si="8"/>
        <v>1</v>
      </c>
    </row>
    <row r="39" spans="1:28" ht="20.399999999999999" x14ac:dyDescent="0.2">
      <c r="A39" s="313">
        <v>37</v>
      </c>
      <c r="B39" s="314" t="s">
        <v>378</v>
      </c>
      <c r="C39" s="315" t="s">
        <v>213</v>
      </c>
      <c r="D39" s="316" t="s">
        <v>379</v>
      </c>
      <c r="E39" s="316" t="s">
        <v>171</v>
      </c>
      <c r="F39" s="314" t="s">
        <v>188</v>
      </c>
      <c r="G39" s="317" t="s">
        <v>380</v>
      </c>
      <c r="H39" s="318" t="s">
        <v>53</v>
      </c>
      <c r="I39" s="319">
        <v>1.177</v>
      </c>
      <c r="J39" s="320" t="s">
        <v>381</v>
      </c>
      <c r="K39" s="321">
        <v>1028285.89</v>
      </c>
      <c r="L39" s="321">
        <f t="shared" si="9"/>
        <v>514142.95</v>
      </c>
      <c r="M39" s="321">
        <f t="shared" si="4"/>
        <v>514142.94</v>
      </c>
      <c r="N39" s="322">
        <v>0.5</v>
      </c>
      <c r="O39" s="323"/>
      <c r="P39" s="324"/>
      <c r="Q39" s="324"/>
      <c r="R39" s="324"/>
      <c r="S39" s="324">
        <f t="shared" ref="S39:S86" si="12">L39</f>
        <v>514142.95</v>
      </c>
      <c r="T39" s="324"/>
      <c r="U39" s="324"/>
      <c r="V39" s="324"/>
      <c r="W39" s="325"/>
      <c r="X39" s="310"/>
      <c r="Y39" s="297" t="b">
        <f t="shared" si="5"/>
        <v>1</v>
      </c>
      <c r="Z39" s="311">
        <f t="shared" si="6"/>
        <v>0.5</v>
      </c>
      <c r="AA39" s="312" t="b">
        <f t="shared" si="7"/>
        <v>1</v>
      </c>
      <c r="AB39" s="312" t="b">
        <f t="shared" si="8"/>
        <v>1</v>
      </c>
    </row>
    <row r="40" spans="1:28" x14ac:dyDescent="0.2">
      <c r="A40" s="313">
        <v>38</v>
      </c>
      <c r="B40" s="314" t="s">
        <v>382</v>
      </c>
      <c r="C40" s="315" t="s">
        <v>213</v>
      </c>
      <c r="D40" s="316" t="s">
        <v>111</v>
      </c>
      <c r="E40" s="316" t="s">
        <v>112</v>
      </c>
      <c r="F40" s="314" t="s">
        <v>113</v>
      </c>
      <c r="G40" s="317" t="s">
        <v>383</v>
      </c>
      <c r="H40" s="318" t="s">
        <v>56</v>
      </c>
      <c r="I40" s="319">
        <v>1.004</v>
      </c>
      <c r="J40" s="320" t="s">
        <v>384</v>
      </c>
      <c r="K40" s="321">
        <v>2295282.63</v>
      </c>
      <c r="L40" s="321">
        <f t="shared" si="9"/>
        <v>1147641.32</v>
      </c>
      <c r="M40" s="321">
        <f t="shared" si="4"/>
        <v>1147641.3099999998</v>
      </c>
      <c r="N40" s="322">
        <v>0.5</v>
      </c>
      <c r="O40" s="323"/>
      <c r="P40" s="324"/>
      <c r="Q40" s="324"/>
      <c r="R40" s="324"/>
      <c r="S40" s="324">
        <f t="shared" si="12"/>
        <v>1147641.32</v>
      </c>
      <c r="T40" s="324"/>
      <c r="U40" s="324"/>
      <c r="V40" s="324"/>
      <c r="W40" s="325"/>
      <c r="X40" s="310"/>
      <c r="Y40" s="297" t="b">
        <f t="shared" si="5"/>
        <v>1</v>
      </c>
      <c r="Z40" s="311">
        <f t="shared" si="6"/>
        <v>0.5</v>
      </c>
      <c r="AA40" s="312" t="b">
        <f t="shared" si="7"/>
        <v>1</v>
      </c>
      <c r="AB40" s="312" t="b">
        <f t="shared" si="8"/>
        <v>1</v>
      </c>
    </row>
    <row r="41" spans="1:28" ht="20.399999999999999" x14ac:dyDescent="0.2">
      <c r="A41" s="313">
        <v>39</v>
      </c>
      <c r="B41" s="314" t="s">
        <v>385</v>
      </c>
      <c r="C41" s="315" t="s">
        <v>213</v>
      </c>
      <c r="D41" s="316" t="s">
        <v>386</v>
      </c>
      <c r="E41" s="316" t="s">
        <v>125</v>
      </c>
      <c r="F41" s="314" t="s">
        <v>108</v>
      </c>
      <c r="G41" s="317" t="s">
        <v>387</v>
      </c>
      <c r="H41" s="318" t="s">
        <v>53</v>
      </c>
      <c r="I41" s="319">
        <v>0.64500000000000002</v>
      </c>
      <c r="J41" s="320" t="s">
        <v>240</v>
      </c>
      <c r="K41" s="321">
        <v>1206274.75</v>
      </c>
      <c r="L41" s="321">
        <f t="shared" si="9"/>
        <v>723764.85</v>
      </c>
      <c r="M41" s="321">
        <f t="shared" si="4"/>
        <v>482509.9</v>
      </c>
      <c r="N41" s="322">
        <v>0.6</v>
      </c>
      <c r="O41" s="323"/>
      <c r="P41" s="324"/>
      <c r="Q41" s="324"/>
      <c r="R41" s="324"/>
      <c r="S41" s="324">
        <f t="shared" si="12"/>
        <v>723764.85</v>
      </c>
      <c r="T41" s="324"/>
      <c r="U41" s="324"/>
      <c r="V41" s="324"/>
      <c r="W41" s="325"/>
      <c r="X41" s="310"/>
      <c r="Y41" s="297" t="b">
        <f t="shared" si="5"/>
        <v>1</v>
      </c>
      <c r="Z41" s="311">
        <f t="shared" si="6"/>
        <v>0.6</v>
      </c>
      <c r="AA41" s="312" t="b">
        <f t="shared" si="7"/>
        <v>1</v>
      </c>
      <c r="AB41" s="312" t="b">
        <f t="shared" si="8"/>
        <v>1</v>
      </c>
    </row>
    <row r="42" spans="1:28" ht="20.399999999999999" x14ac:dyDescent="0.2">
      <c r="A42" s="313">
        <v>40</v>
      </c>
      <c r="B42" s="314" t="s">
        <v>388</v>
      </c>
      <c r="C42" s="315" t="s">
        <v>213</v>
      </c>
      <c r="D42" s="316" t="s">
        <v>106</v>
      </c>
      <c r="E42" s="316" t="s">
        <v>107</v>
      </c>
      <c r="F42" s="314" t="s">
        <v>108</v>
      </c>
      <c r="G42" s="317" t="s">
        <v>389</v>
      </c>
      <c r="H42" s="318" t="s">
        <v>53</v>
      </c>
      <c r="I42" s="319">
        <v>1.1950000000000001</v>
      </c>
      <c r="J42" s="320" t="s">
        <v>220</v>
      </c>
      <c r="K42" s="321">
        <v>2811976.06</v>
      </c>
      <c r="L42" s="321">
        <f t="shared" si="9"/>
        <v>1405988.03</v>
      </c>
      <c r="M42" s="321">
        <f t="shared" si="4"/>
        <v>1405988.03</v>
      </c>
      <c r="N42" s="322">
        <v>0.5</v>
      </c>
      <c r="O42" s="323"/>
      <c r="P42" s="324"/>
      <c r="Q42" s="324"/>
      <c r="R42" s="324"/>
      <c r="S42" s="324">
        <f t="shared" si="12"/>
        <v>1405988.03</v>
      </c>
      <c r="T42" s="324"/>
      <c r="U42" s="324"/>
      <c r="V42" s="324"/>
      <c r="W42" s="325"/>
      <c r="X42" s="310"/>
      <c r="Y42" s="297" t="b">
        <f t="shared" si="5"/>
        <v>1</v>
      </c>
      <c r="Z42" s="311">
        <f t="shared" si="6"/>
        <v>0.5</v>
      </c>
      <c r="AA42" s="312" t="b">
        <f t="shared" si="7"/>
        <v>1</v>
      </c>
      <c r="AB42" s="312" t="b">
        <f t="shared" si="8"/>
        <v>1</v>
      </c>
    </row>
    <row r="43" spans="1:28" ht="20.399999999999999" x14ac:dyDescent="0.2">
      <c r="A43" s="313">
        <v>41</v>
      </c>
      <c r="B43" s="314" t="s">
        <v>390</v>
      </c>
      <c r="C43" s="315" t="s">
        <v>213</v>
      </c>
      <c r="D43" s="316" t="s">
        <v>391</v>
      </c>
      <c r="E43" s="316" t="s">
        <v>161</v>
      </c>
      <c r="F43" s="314" t="s">
        <v>184</v>
      </c>
      <c r="G43" s="317" t="s">
        <v>392</v>
      </c>
      <c r="H43" s="318" t="s">
        <v>53</v>
      </c>
      <c r="I43" s="319">
        <v>0.995</v>
      </c>
      <c r="J43" s="320" t="s">
        <v>393</v>
      </c>
      <c r="K43" s="321">
        <v>698012.95</v>
      </c>
      <c r="L43" s="321">
        <f t="shared" si="9"/>
        <v>349006.48</v>
      </c>
      <c r="M43" s="321">
        <f t="shared" si="4"/>
        <v>349006.47</v>
      </c>
      <c r="N43" s="322">
        <v>0.5</v>
      </c>
      <c r="O43" s="323"/>
      <c r="P43" s="324"/>
      <c r="Q43" s="324"/>
      <c r="R43" s="324"/>
      <c r="S43" s="324">
        <f t="shared" si="12"/>
        <v>349006.48</v>
      </c>
      <c r="T43" s="324"/>
      <c r="U43" s="324"/>
      <c r="V43" s="324"/>
      <c r="W43" s="325"/>
      <c r="X43" s="310"/>
      <c r="Y43" s="297" t="b">
        <f t="shared" si="5"/>
        <v>1</v>
      </c>
      <c r="Z43" s="311">
        <f t="shared" si="6"/>
        <v>0.5</v>
      </c>
      <c r="AA43" s="312" t="b">
        <f t="shared" si="7"/>
        <v>1</v>
      </c>
      <c r="AB43" s="312" t="b">
        <f t="shared" si="8"/>
        <v>1</v>
      </c>
    </row>
    <row r="44" spans="1:28" x14ac:dyDescent="0.2">
      <c r="A44" s="313">
        <v>42</v>
      </c>
      <c r="B44" s="314" t="s">
        <v>394</v>
      </c>
      <c r="C44" s="315" t="s">
        <v>213</v>
      </c>
      <c r="D44" s="316" t="s">
        <v>111</v>
      </c>
      <c r="E44" s="316" t="s">
        <v>112</v>
      </c>
      <c r="F44" s="314" t="s">
        <v>113</v>
      </c>
      <c r="G44" s="317" t="s">
        <v>395</v>
      </c>
      <c r="H44" s="318" t="s">
        <v>53</v>
      </c>
      <c r="I44" s="319">
        <v>0.92600000000000005</v>
      </c>
      <c r="J44" s="320" t="s">
        <v>341</v>
      </c>
      <c r="K44" s="321">
        <v>1662770.14</v>
      </c>
      <c r="L44" s="321">
        <f t="shared" ref="L44:L75" si="13">ROUND(K44*N44,2)</f>
        <v>831385.07</v>
      </c>
      <c r="M44" s="321">
        <f t="shared" ref="M44:M75" si="14">K44-L44</f>
        <v>831385.07</v>
      </c>
      <c r="N44" s="322">
        <v>0.5</v>
      </c>
      <c r="O44" s="323"/>
      <c r="P44" s="324"/>
      <c r="Q44" s="324"/>
      <c r="R44" s="324"/>
      <c r="S44" s="324">
        <f t="shared" si="12"/>
        <v>831385.07</v>
      </c>
      <c r="T44" s="324"/>
      <c r="U44" s="324"/>
      <c r="V44" s="324"/>
      <c r="W44" s="325"/>
      <c r="X44" s="310"/>
      <c r="Y44" s="297" t="b">
        <f t="shared" ref="Y44:Y75" si="15">L44=SUM(O44:X44)</f>
        <v>1</v>
      </c>
      <c r="Z44" s="311">
        <f t="shared" ref="Z44:Z75" si="16">ROUND(L44/K44,4)</f>
        <v>0.5</v>
      </c>
      <c r="AA44" s="312" t="b">
        <f t="shared" ref="AA44:AA75" si="17">Z44=N44</f>
        <v>1</v>
      </c>
      <c r="AB44" s="312" t="b">
        <f t="shared" ref="AB44:AB75" si="18">K44=L44+M44</f>
        <v>1</v>
      </c>
    </row>
    <row r="45" spans="1:28" ht="20.399999999999999" x14ac:dyDescent="0.2">
      <c r="A45" s="313">
        <v>43</v>
      </c>
      <c r="B45" s="314" t="s">
        <v>396</v>
      </c>
      <c r="C45" s="315" t="s">
        <v>213</v>
      </c>
      <c r="D45" s="316" t="s">
        <v>397</v>
      </c>
      <c r="E45" s="316" t="s">
        <v>139</v>
      </c>
      <c r="F45" s="314" t="s">
        <v>186</v>
      </c>
      <c r="G45" s="317" t="s">
        <v>398</v>
      </c>
      <c r="H45" s="318" t="s">
        <v>53</v>
      </c>
      <c r="I45" s="319">
        <v>0.78600000000000003</v>
      </c>
      <c r="J45" s="320" t="s">
        <v>216</v>
      </c>
      <c r="K45" s="321">
        <v>1678022.91</v>
      </c>
      <c r="L45" s="321">
        <f t="shared" si="13"/>
        <v>839011.46</v>
      </c>
      <c r="M45" s="321">
        <f t="shared" si="14"/>
        <v>839011.45</v>
      </c>
      <c r="N45" s="322">
        <v>0.5</v>
      </c>
      <c r="O45" s="323"/>
      <c r="P45" s="324"/>
      <c r="Q45" s="324"/>
      <c r="R45" s="324"/>
      <c r="S45" s="324">
        <f t="shared" si="12"/>
        <v>839011.46</v>
      </c>
      <c r="T45" s="324"/>
      <c r="U45" s="324"/>
      <c r="V45" s="324"/>
      <c r="W45" s="325"/>
      <c r="X45" s="310"/>
      <c r="Y45" s="297" t="b">
        <f t="shared" si="15"/>
        <v>1</v>
      </c>
      <c r="Z45" s="311">
        <f t="shared" si="16"/>
        <v>0.5</v>
      </c>
      <c r="AA45" s="312" t="b">
        <f t="shared" si="17"/>
        <v>1</v>
      </c>
      <c r="AB45" s="312" t="b">
        <f t="shared" si="18"/>
        <v>1</v>
      </c>
    </row>
    <row r="46" spans="1:28" ht="20.399999999999999" x14ac:dyDescent="0.2">
      <c r="A46" s="313">
        <v>44</v>
      </c>
      <c r="B46" s="314" t="s">
        <v>399</v>
      </c>
      <c r="C46" s="315" t="s">
        <v>213</v>
      </c>
      <c r="D46" s="316" t="s">
        <v>400</v>
      </c>
      <c r="E46" s="316" t="s">
        <v>143</v>
      </c>
      <c r="F46" s="314" t="s">
        <v>184</v>
      </c>
      <c r="G46" s="317" t="s">
        <v>401</v>
      </c>
      <c r="H46" s="318" t="s">
        <v>53</v>
      </c>
      <c r="I46" s="319">
        <v>3.16</v>
      </c>
      <c r="J46" s="320" t="s">
        <v>216</v>
      </c>
      <c r="K46" s="321">
        <v>3585808.54</v>
      </c>
      <c r="L46" s="321">
        <f t="shared" si="13"/>
        <v>1792904.27</v>
      </c>
      <c r="M46" s="321">
        <f t="shared" si="14"/>
        <v>1792904.27</v>
      </c>
      <c r="N46" s="322">
        <v>0.5</v>
      </c>
      <c r="O46" s="323"/>
      <c r="P46" s="324"/>
      <c r="Q46" s="324"/>
      <c r="R46" s="324"/>
      <c r="S46" s="324">
        <f t="shared" si="12"/>
        <v>1792904.27</v>
      </c>
      <c r="T46" s="324"/>
      <c r="U46" s="324"/>
      <c r="V46" s="324"/>
      <c r="W46" s="325"/>
      <c r="X46" s="310"/>
      <c r="Y46" s="297" t="b">
        <f t="shared" si="15"/>
        <v>1</v>
      </c>
      <c r="Z46" s="311">
        <f t="shared" si="16"/>
        <v>0.5</v>
      </c>
      <c r="AA46" s="312" t="b">
        <f t="shared" si="17"/>
        <v>1</v>
      </c>
      <c r="AB46" s="312" t="b">
        <f t="shared" si="18"/>
        <v>1</v>
      </c>
    </row>
    <row r="47" spans="1:28" ht="20.399999999999999" x14ac:dyDescent="0.2">
      <c r="A47" s="313">
        <v>45</v>
      </c>
      <c r="B47" s="314" t="s">
        <v>402</v>
      </c>
      <c r="C47" s="315" t="s">
        <v>213</v>
      </c>
      <c r="D47" s="316" t="s">
        <v>403</v>
      </c>
      <c r="E47" s="316" t="s">
        <v>153</v>
      </c>
      <c r="F47" s="314" t="s">
        <v>182</v>
      </c>
      <c r="G47" s="317" t="s">
        <v>404</v>
      </c>
      <c r="H47" s="318" t="s">
        <v>53</v>
      </c>
      <c r="I47" s="319">
        <v>0.92600000000000005</v>
      </c>
      <c r="J47" s="320" t="s">
        <v>363</v>
      </c>
      <c r="K47" s="321">
        <v>590158.26</v>
      </c>
      <c r="L47" s="321">
        <f t="shared" si="13"/>
        <v>295079.13</v>
      </c>
      <c r="M47" s="321">
        <f t="shared" si="14"/>
        <v>295079.13</v>
      </c>
      <c r="N47" s="322">
        <v>0.5</v>
      </c>
      <c r="O47" s="323"/>
      <c r="P47" s="324"/>
      <c r="Q47" s="324"/>
      <c r="R47" s="324"/>
      <c r="S47" s="324">
        <f t="shared" si="12"/>
        <v>295079.13</v>
      </c>
      <c r="T47" s="324"/>
      <c r="U47" s="324"/>
      <c r="V47" s="324"/>
      <c r="W47" s="325"/>
      <c r="X47" s="310"/>
      <c r="Y47" s="297" t="b">
        <f t="shared" si="15"/>
        <v>1</v>
      </c>
      <c r="Z47" s="311">
        <f t="shared" si="16"/>
        <v>0.5</v>
      </c>
      <c r="AA47" s="312" t="b">
        <f t="shared" si="17"/>
        <v>1</v>
      </c>
      <c r="AB47" s="312" t="b">
        <f t="shared" si="18"/>
        <v>1</v>
      </c>
    </row>
    <row r="48" spans="1:28" ht="20.399999999999999" x14ac:dyDescent="0.2">
      <c r="A48" s="313">
        <v>46</v>
      </c>
      <c r="B48" s="314" t="s">
        <v>405</v>
      </c>
      <c r="C48" s="315" t="s">
        <v>213</v>
      </c>
      <c r="D48" s="316" t="s">
        <v>406</v>
      </c>
      <c r="E48" s="316" t="s">
        <v>165</v>
      </c>
      <c r="F48" s="314" t="s">
        <v>182</v>
      </c>
      <c r="G48" s="317" t="s">
        <v>407</v>
      </c>
      <c r="H48" s="318" t="s">
        <v>53</v>
      </c>
      <c r="I48" s="319">
        <v>0.57499999999999996</v>
      </c>
      <c r="J48" s="320" t="s">
        <v>216</v>
      </c>
      <c r="K48" s="321">
        <v>584879.41</v>
      </c>
      <c r="L48" s="321">
        <f t="shared" si="13"/>
        <v>292439.71000000002</v>
      </c>
      <c r="M48" s="321">
        <f t="shared" si="14"/>
        <v>292439.7</v>
      </c>
      <c r="N48" s="322">
        <v>0.5</v>
      </c>
      <c r="O48" s="323"/>
      <c r="P48" s="324"/>
      <c r="Q48" s="324"/>
      <c r="R48" s="324"/>
      <c r="S48" s="324">
        <f t="shared" si="12"/>
        <v>292439.71000000002</v>
      </c>
      <c r="T48" s="324"/>
      <c r="U48" s="324"/>
      <c r="V48" s="324"/>
      <c r="W48" s="325"/>
      <c r="X48" s="310"/>
      <c r="Y48" s="297" t="b">
        <f t="shared" si="15"/>
        <v>1</v>
      </c>
      <c r="Z48" s="311">
        <f t="shared" si="16"/>
        <v>0.5</v>
      </c>
      <c r="AA48" s="312" t="b">
        <f t="shared" si="17"/>
        <v>1</v>
      </c>
      <c r="AB48" s="312" t="b">
        <f t="shared" si="18"/>
        <v>1</v>
      </c>
    </row>
    <row r="49" spans="1:28" ht="20.399999999999999" x14ac:dyDescent="0.2">
      <c r="A49" s="313">
        <v>47</v>
      </c>
      <c r="B49" s="314" t="s">
        <v>408</v>
      </c>
      <c r="C49" s="315" t="s">
        <v>213</v>
      </c>
      <c r="D49" s="316" t="s">
        <v>391</v>
      </c>
      <c r="E49" s="316" t="s">
        <v>161</v>
      </c>
      <c r="F49" s="314" t="s">
        <v>184</v>
      </c>
      <c r="G49" s="317" t="s">
        <v>409</v>
      </c>
      <c r="H49" s="318" t="s">
        <v>53</v>
      </c>
      <c r="I49" s="319">
        <v>0.505</v>
      </c>
      <c r="J49" s="320" t="s">
        <v>393</v>
      </c>
      <c r="K49" s="321">
        <v>383717.93</v>
      </c>
      <c r="L49" s="321">
        <f t="shared" si="13"/>
        <v>191858.97</v>
      </c>
      <c r="M49" s="321">
        <f t="shared" si="14"/>
        <v>191858.96</v>
      </c>
      <c r="N49" s="322">
        <v>0.5</v>
      </c>
      <c r="O49" s="323"/>
      <c r="P49" s="324"/>
      <c r="Q49" s="324"/>
      <c r="R49" s="324"/>
      <c r="S49" s="324">
        <f t="shared" si="12"/>
        <v>191858.97</v>
      </c>
      <c r="T49" s="324"/>
      <c r="U49" s="324"/>
      <c r="V49" s="324"/>
      <c r="W49" s="325"/>
      <c r="X49" s="310"/>
      <c r="Y49" s="297" t="b">
        <f t="shared" si="15"/>
        <v>1</v>
      </c>
      <c r="Z49" s="311">
        <f t="shared" si="16"/>
        <v>0.5</v>
      </c>
      <c r="AA49" s="312" t="b">
        <f t="shared" si="17"/>
        <v>1</v>
      </c>
      <c r="AB49" s="312" t="b">
        <f t="shared" si="18"/>
        <v>1</v>
      </c>
    </row>
    <row r="50" spans="1:28" ht="20.399999999999999" x14ac:dyDescent="0.2">
      <c r="A50" s="313">
        <v>48</v>
      </c>
      <c r="B50" s="314" t="s">
        <v>410</v>
      </c>
      <c r="C50" s="315" t="s">
        <v>213</v>
      </c>
      <c r="D50" s="316" t="s">
        <v>106</v>
      </c>
      <c r="E50" s="316" t="s">
        <v>107</v>
      </c>
      <c r="F50" s="314" t="s">
        <v>108</v>
      </c>
      <c r="G50" s="317" t="s">
        <v>411</v>
      </c>
      <c r="H50" s="318" t="s">
        <v>53</v>
      </c>
      <c r="I50" s="319">
        <v>1.9379999999999999</v>
      </c>
      <c r="J50" s="320" t="s">
        <v>220</v>
      </c>
      <c r="K50" s="321">
        <v>3689066.68</v>
      </c>
      <c r="L50" s="321">
        <f t="shared" si="13"/>
        <v>1844533.34</v>
      </c>
      <c r="M50" s="321">
        <f t="shared" si="14"/>
        <v>1844533.34</v>
      </c>
      <c r="N50" s="322">
        <v>0.5</v>
      </c>
      <c r="O50" s="323"/>
      <c r="P50" s="324"/>
      <c r="Q50" s="324"/>
      <c r="R50" s="324"/>
      <c r="S50" s="324">
        <f t="shared" si="12"/>
        <v>1844533.34</v>
      </c>
      <c r="T50" s="324"/>
      <c r="U50" s="324"/>
      <c r="V50" s="324"/>
      <c r="W50" s="325"/>
      <c r="X50" s="310"/>
      <c r="Y50" s="297" t="b">
        <f t="shared" si="15"/>
        <v>1</v>
      </c>
      <c r="Z50" s="311">
        <f t="shared" si="16"/>
        <v>0.5</v>
      </c>
      <c r="AA50" s="312" t="b">
        <f t="shared" si="17"/>
        <v>1</v>
      </c>
      <c r="AB50" s="312" t="b">
        <f t="shared" si="18"/>
        <v>1</v>
      </c>
    </row>
    <row r="51" spans="1:28" ht="20.399999999999999" x14ac:dyDescent="0.2">
      <c r="A51" s="313">
        <v>49</v>
      </c>
      <c r="B51" s="314" t="s">
        <v>412</v>
      </c>
      <c r="C51" s="315" t="s">
        <v>213</v>
      </c>
      <c r="D51" s="316" t="s">
        <v>413</v>
      </c>
      <c r="E51" s="316" t="s">
        <v>138</v>
      </c>
      <c r="F51" s="314" t="s">
        <v>184</v>
      </c>
      <c r="G51" s="317" t="s">
        <v>414</v>
      </c>
      <c r="H51" s="318" t="s">
        <v>56</v>
      </c>
      <c r="I51" s="319">
        <v>1.393</v>
      </c>
      <c r="J51" s="320" t="s">
        <v>341</v>
      </c>
      <c r="K51" s="321">
        <v>2796852.43</v>
      </c>
      <c r="L51" s="321">
        <f t="shared" si="13"/>
        <v>1398426.22</v>
      </c>
      <c r="M51" s="321">
        <f t="shared" si="14"/>
        <v>1398426.2100000002</v>
      </c>
      <c r="N51" s="322">
        <v>0.5</v>
      </c>
      <c r="O51" s="323"/>
      <c r="P51" s="324"/>
      <c r="Q51" s="324"/>
      <c r="R51" s="324"/>
      <c r="S51" s="324">
        <f t="shared" si="12"/>
        <v>1398426.22</v>
      </c>
      <c r="T51" s="324"/>
      <c r="U51" s="324"/>
      <c r="V51" s="324"/>
      <c r="W51" s="325"/>
      <c r="X51" s="310"/>
      <c r="Y51" s="297" t="b">
        <f t="shared" si="15"/>
        <v>1</v>
      </c>
      <c r="Z51" s="311">
        <f t="shared" si="16"/>
        <v>0.5</v>
      </c>
      <c r="AA51" s="312" t="b">
        <f t="shared" si="17"/>
        <v>1</v>
      </c>
      <c r="AB51" s="312" t="b">
        <f t="shared" si="18"/>
        <v>1</v>
      </c>
    </row>
    <row r="52" spans="1:28" ht="20.399999999999999" x14ac:dyDescent="0.2">
      <c r="A52" s="313">
        <v>50</v>
      </c>
      <c r="B52" s="314" t="s">
        <v>415</v>
      </c>
      <c r="C52" s="315" t="s">
        <v>213</v>
      </c>
      <c r="D52" s="316" t="s">
        <v>416</v>
      </c>
      <c r="E52" s="316" t="s">
        <v>170</v>
      </c>
      <c r="F52" s="314" t="s">
        <v>191</v>
      </c>
      <c r="G52" s="317" t="s">
        <v>417</v>
      </c>
      <c r="H52" s="318" t="s">
        <v>53</v>
      </c>
      <c r="I52" s="319">
        <v>0.998</v>
      </c>
      <c r="J52" s="320" t="s">
        <v>418</v>
      </c>
      <c r="K52" s="321">
        <v>1111382.08</v>
      </c>
      <c r="L52" s="321">
        <f t="shared" si="13"/>
        <v>555691.04</v>
      </c>
      <c r="M52" s="321">
        <f t="shared" si="14"/>
        <v>555691.04</v>
      </c>
      <c r="N52" s="322">
        <v>0.5</v>
      </c>
      <c r="O52" s="323"/>
      <c r="P52" s="324"/>
      <c r="Q52" s="324"/>
      <c r="R52" s="324"/>
      <c r="S52" s="324">
        <f t="shared" si="12"/>
        <v>555691.04</v>
      </c>
      <c r="T52" s="324"/>
      <c r="U52" s="324"/>
      <c r="V52" s="324"/>
      <c r="W52" s="325"/>
      <c r="X52" s="310"/>
      <c r="Y52" s="297" t="b">
        <f t="shared" si="15"/>
        <v>1</v>
      </c>
      <c r="Z52" s="311">
        <f t="shared" si="16"/>
        <v>0.5</v>
      </c>
      <c r="AA52" s="312" t="b">
        <f t="shared" si="17"/>
        <v>1</v>
      </c>
      <c r="AB52" s="312" t="b">
        <f t="shared" si="18"/>
        <v>1</v>
      </c>
    </row>
    <row r="53" spans="1:28" x14ac:dyDescent="0.2">
      <c r="A53" s="313">
        <v>51</v>
      </c>
      <c r="B53" s="314" t="s">
        <v>419</v>
      </c>
      <c r="C53" s="315" t="s">
        <v>213</v>
      </c>
      <c r="D53" s="316" t="s">
        <v>420</v>
      </c>
      <c r="E53" s="316" t="s">
        <v>149</v>
      </c>
      <c r="F53" s="314" t="s">
        <v>108</v>
      </c>
      <c r="G53" s="317" t="s">
        <v>421</v>
      </c>
      <c r="H53" s="318" t="s">
        <v>53</v>
      </c>
      <c r="I53" s="319">
        <v>0.83499999999999996</v>
      </c>
      <c r="J53" s="320" t="s">
        <v>341</v>
      </c>
      <c r="K53" s="321">
        <v>765917.77</v>
      </c>
      <c r="L53" s="321">
        <f t="shared" si="13"/>
        <v>382958.89</v>
      </c>
      <c r="M53" s="321">
        <f t="shared" si="14"/>
        <v>382958.88</v>
      </c>
      <c r="N53" s="322">
        <v>0.5</v>
      </c>
      <c r="O53" s="323"/>
      <c r="P53" s="324"/>
      <c r="Q53" s="324"/>
      <c r="R53" s="324"/>
      <c r="S53" s="324">
        <f t="shared" si="12"/>
        <v>382958.89</v>
      </c>
      <c r="T53" s="324"/>
      <c r="U53" s="324"/>
      <c r="V53" s="324"/>
      <c r="W53" s="325"/>
      <c r="X53" s="310"/>
      <c r="Y53" s="297" t="b">
        <f t="shared" si="15"/>
        <v>1</v>
      </c>
      <c r="Z53" s="311">
        <f t="shared" si="16"/>
        <v>0.5</v>
      </c>
      <c r="AA53" s="312" t="b">
        <f t="shared" si="17"/>
        <v>1</v>
      </c>
      <c r="AB53" s="312" t="b">
        <f t="shared" si="18"/>
        <v>1</v>
      </c>
    </row>
    <row r="54" spans="1:28" ht="20.399999999999999" x14ac:dyDescent="0.2">
      <c r="A54" s="313">
        <v>52</v>
      </c>
      <c r="B54" s="314" t="s">
        <v>422</v>
      </c>
      <c r="C54" s="315" t="s">
        <v>213</v>
      </c>
      <c r="D54" s="316" t="s">
        <v>369</v>
      </c>
      <c r="E54" s="316" t="s">
        <v>172</v>
      </c>
      <c r="F54" s="314" t="s">
        <v>86</v>
      </c>
      <c r="G54" s="317" t="s">
        <v>423</v>
      </c>
      <c r="H54" s="318" t="s">
        <v>56</v>
      </c>
      <c r="I54" s="319">
        <v>0.64900000000000002</v>
      </c>
      <c r="J54" s="320" t="s">
        <v>234</v>
      </c>
      <c r="K54" s="321">
        <v>1833012.59</v>
      </c>
      <c r="L54" s="321">
        <f t="shared" si="13"/>
        <v>916506.3</v>
      </c>
      <c r="M54" s="321">
        <f t="shared" si="14"/>
        <v>916506.29</v>
      </c>
      <c r="N54" s="322">
        <v>0.5</v>
      </c>
      <c r="O54" s="323"/>
      <c r="P54" s="324"/>
      <c r="Q54" s="324"/>
      <c r="R54" s="324"/>
      <c r="S54" s="324">
        <f t="shared" si="12"/>
        <v>916506.3</v>
      </c>
      <c r="T54" s="324"/>
      <c r="U54" s="324"/>
      <c r="V54" s="324"/>
      <c r="W54" s="325"/>
      <c r="X54" s="310"/>
      <c r="Y54" s="297" t="b">
        <f t="shared" si="15"/>
        <v>1</v>
      </c>
      <c r="Z54" s="311">
        <f t="shared" si="16"/>
        <v>0.5</v>
      </c>
      <c r="AA54" s="312" t="b">
        <f t="shared" si="17"/>
        <v>1</v>
      </c>
      <c r="AB54" s="312" t="b">
        <f t="shared" si="18"/>
        <v>1</v>
      </c>
    </row>
    <row r="55" spans="1:28" x14ac:dyDescent="0.2">
      <c r="A55" s="313">
        <v>53</v>
      </c>
      <c r="B55" s="314" t="s">
        <v>424</v>
      </c>
      <c r="C55" s="315" t="s">
        <v>213</v>
      </c>
      <c r="D55" s="316" t="s">
        <v>425</v>
      </c>
      <c r="E55" s="316" t="s">
        <v>142</v>
      </c>
      <c r="F55" s="314" t="s">
        <v>186</v>
      </c>
      <c r="G55" s="317" t="s">
        <v>426</v>
      </c>
      <c r="H55" s="318" t="s">
        <v>53</v>
      </c>
      <c r="I55" s="319">
        <v>0.438</v>
      </c>
      <c r="J55" s="320" t="s">
        <v>427</v>
      </c>
      <c r="K55" s="321">
        <v>561093.06999999995</v>
      </c>
      <c r="L55" s="321">
        <f t="shared" si="13"/>
        <v>280546.53999999998</v>
      </c>
      <c r="M55" s="321">
        <f t="shared" si="14"/>
        <v>280546.52999999997</v>
      </c>
      <c r="N55" s="322">
        <v>0.5</v>
      </c>
      <c r="O55" s="323"/>
      <c r="P55" s="324"/>
      <c r="Q55" s="324"/>
      <c r="R55" s="324"/>
      <c r="S55" s="324">
        <f t="shared" si="12"/>
        <v>280546.53999999998</v>
      </c>
      <c r="T55" s="324"/>
      <c r="U55" s="324"/>
      <c r="V55" s="324"/>
      <c r="W55" s="325"/>
      <c r="X55" s="310"/>
      <c r="Y55" s="297" t="b">
        <f t="shared" si="15"/>
        <v>1</v>
      </c>
      <c r="Z55" s="311">
        <f t="shared" si="16"/>
        <v>0.5</v>
      </c>
      <c r="AA55" s="312" t="b">
        <f t="shared" si="17"/>
        <v>1</v>
      </c>
      <c r="AB55" s="312" t="b">
        <f t="shared" si="18"/>
        <v>1</v>
      </c>
    </row>
    <row r="56" spans="1:28" ht="30.6" x14ac:dyDescent="0.2">
      <c r="A56" s="313">
        <v>54</v>
      </c>
      <c r="B56" s="314" t="s">
        <v>428</v>
      </c>
      <c r="C56" s="315" t="s">
        <v>213</v>
      </c>
      <c r="D56" s="316" t="s">
        <v>429</v>
      </c>
      <c r="E56" s="316" t="s">
        <v>167</v>
      </c>
      <c r="F56" s="314" t="s">
        <v>186</v>
      </c>
      <c r="G56" s="317" t="s">
        <v>430</v>
      </c>
      <c r="H56" s="318" t="s">
        <v>53</v>
      </c>
      <c r="I56" s="319">
        <v>1.085</v>
      </c>
      <c r="J56" s="320" t="s">
        <v>341</v>
      </c>
      <c r="K56" s="321">
        <v>1184840.46</v>
      </c>
      <c r="L56" s="321">
        <f t="shared" si="13"/>
        <v>592420.23</v>
      </c>
      <c r="M56" s="321">
        <f t="shared" si="14"/>
        <v>592420.23</v>
      </c>
      <c r="N56" s="322">
        <v>0.5</v>
      </c>
      <c r="O56" s="323"/>
      <c r="P56" s="324"/>
      <c r="Q56" s="324"/>
      <c r="R56" s="324"/>
      <c r="S56" s="324">
        <f t="shared" si="12"/>
        <v>592420.23</v>
      </c>
      <c r="T56" s="324"/>
      <c r="U56" s="324"/>
      <c r="V56" s="324"/>
      <c r="W56" s="325"/>
      <c r="X56" s="310"/>
      <c r="Y56" s="297" t="b">
        <f t="shared" si="15"/>
        <v>1</v>
      </c>
      <c r="Z56" s="311">
        <f t="shared" si="16"/>
        <v>0.5</v>
      </c>
      <c r="AA56" s="312" t="b">
        <f t="shared" si="17"/>
        <v>1</v>
      </c>
      <c r="AB56" s="312" t="b">
        <f t="shared" si="18"/>
        <v>1</v>
      </c>
    </row>
    <row r="57" spans="1:28" x14ac:dyDescent="0.2">
      <c r="A57" s="313">
        <v>55</v>
      </c>
      <c r="B57" s="314" t="s">
        <v>431</v>
      </c>
      <c r="C57" s="315" t="s">
        <v>213</v>
      </c>
      <c r="D57" s="316" t="s">
        <v>84</v>
      </c>
      <c r="E57" s="316" t="s">
        <v>85</v>
      </c>
      <c r="F57" s="314" t="s">
        <v>86</v>
      </c>
      <c r="G57" s="317" t="s">
        <v>432</v>
      </c>
      <c r="H57" s="318" t="s">
        <v>56</v>
      </c>
      <c r="I57" s="319">
        <v>0.6</v>
      </c>
      <c r="J57" s="320" t="s">
        <v>263</v>
      </c>
      <c r="K57" s="321">
        <v>2985557.64</v>
      </c>
      <c r="L57" s="321">
        <f t="shared" si="13"/>
        <v>1791334.58</v>
      </c>
      <c r="M57" s="321">
        <f t="shared" si="14"/>
        <v>1194223.06</v>
      </c>
      <c r="N57" s="322">
        <v>0.6</v>
      </c>
      <c r="O57" s="323"/>
      <c r="P57" s="324"/>
      <c r="Q57" s="324"/>
      <c r="R57" s="324"/>
      <c r="S57" s="324">
        <f t="shared" si="12"/>
        <v>1791334.58</v>
      </c>
      <c r="T57" s="324"/>
      <c r="U57" s="324"/>
      <c r="V57" s="324"/>
      <c r="W57" s="325"/>
      <c r="X57" s="310"/>
      <c r="Y57" s="297" t="b">
        <f t="shared" si="15"/>
        <v>1</v>
      </c>
      <c r="Z57" s="311">
        <f t="shared" si="16"/>
        <v>0.6</v>
      </c>
      <c r="AA57" s="312" t="b">
        <f t="shared" si="17"/>
        <v>1</v>
      </c>
      <c r="AB57" s="312" t="b">
        <f t="shared" si="18"/>
        <v>1</v>
      </c>
    </row>
    <row r="58" spans="1:28" x14ac:dyDescent="0.2">
      <c r="A58" s="313">
        <v>56</v>
      </c>
      <c r="B58" s="314" t="s">
        <v>433</v>
      </c>
      <c r="C58" s="315" t="s">
        <v>213</v>
      </c>
      <c r="D58" s="316" t="s">
        <v>434</v>
      </c>
      <c r="E58" s="316" t="s">
        <v>169</v>
      </c>
      <c r="F58" s="314" t="s">
        <v>181</v>
      </c>
      <c r="G58" s="317" t="s">
        <v>435</v>
      </c>
      <c r="H58" s="318" t="s">
        <v>53</v>
      </c>
      <c r="I58" s="319">
        <v>0.98099999999999998</v>
      </c>
      <c r="J58" s="320" t="s">
        <v>360</v>
      </c>
      <c r="K58" s="321">
        <v>1620665.35</v>
      </c>
      <c r="L58" s="321">
        <f t="shared" si="13"/>
        <v>810332.68</v>
      </c>
      <c r="M58" s="321">
        <f t="shared" si="14"/>
        <v>810332.67</v>
      </c>
      <c r="N58" s="322">
        <v>0.5</v>
      </c>
      <c r="O58" s="323"/>
      <c r="P58" s="324"/>
      <c r="Q58" s="324"/>
      <c r="R58" s="324"/>
      <c r="S58" s="324">
        <f t="shared" si="12"/>
        <v>810332.68</v>
      </c>
      <c r="T58" s="324"/>
      <c r="U58" s="324"/>
      <c r="V58" s="324"/>
      <c r="W58" s="325"/>
      <c r="X58" s="310"/>
      <c r="Y58" s="297" t="b">
        <f t="shared" si="15"/>
        <v>1</v>
      </c>
      <c r="Z58" s="311">
        <f t="shared" si="16"/>
        <v>0.5</v>
      </c>
      <c r="AA58" s="312" t="b">
        <f t="shared" si="17"/>
        <v>1</v>
      </c>
      <c r="AB58" s="312" t="b">
        <f t="shared" si="18"/>
        <v>1</v>
      </c>
    </row>
    <row r="59" spans="1:28" x14ac:dyDescent="0.2">
      <c r="A59" s="313">
        <v>57</v>
      </c>
      <c r="B59" s="314" t="s">
        <v>436</v>
      </c>
      <c r="C59" s="315" t="s">
        <v>213</v>
      </c>
      <c r="D59" s="316" t="s">
        <v>437</v>
      </c>
      <c r="E59" s="316" t="s">
        <v>150</v>
      </c>
      <c r="F59" s="314" t="s">
        <v>189</v>
      </c>
      <c r="G59" s="317" t="s">
        <v>438</v>
      </c>
      <c r="H59" s="318" t="s">
        <v>53</v>
      </c>
      <c r="I59" s="319">
        <v>0.95199999999999996</v>
      </c>
      <c r="J59" s="320" t="s">
        <v>363</v>
      </c>
      <c r="K59" s="321">
        <v>1223682.26</v>
      </c>
      <c r="L59" s="321">
        <f t="shared" si="13"/>
        <v>611841.13</v>
      </c>
      <c r="M59" s="321">
        <f t="shared" si="14"/>
        <v>611841.13</v>
      </c>
      <c r="N59" s="322">
        <v>0.5</v>
      </c>
      <c r="O59" s="323"/>
      <c r="P59" s="324"/>
      <c r="Q59" s="324"/>
      <c r="R59" s="324"/>
      <c r="S59" s="324">
        <f t="shared" si="12"/>
        <v>611841.13</v>
      </c>
      <c r="T59" s="324"/>
      <c r="U59" s="324"/>
      <c r="V59" s="324"/>
      <c r="W59" s="325"/>
      <c r="X59" s="310"/>
      <c r="Y59" s="297" t="b">
        <f t="shared" si="15"/>
        <v>1</v>
      </c>
      <c r="Z59" s="311">
        <f t="shared" si="16"/>
        <v>0.5</v>
      </c>
      <c r="AA59" s="312" t="b">
        <f t="shared" si="17"/>
        <v>1</v>
      </c>
      <c r="AB59" s="312" t="b">
        <f t="shared" si="18"/>
        <v>1</v>
      </c>
    </row>
    <row r="60" spans="1:28" ht="20.399999999999999" x14ac:dyDescent="0.2">
      <c r="A60" s="313">
        <v>58</v>
      </c>
      <c r="B60" s="314" t="s">
        <v>439</v>
      </c>
      <c r="C60" s="315" t="s">
        <v>213</v>
      </c>
      <c r="D60" s="316" t="s">
        <v>440</v>
      </c>
      <c r="E60" s="316" t="s">
        <v>141</v>
      </c>
      <c r="F60" s="314" t="s">
        <v>186</v>
      </c>
      <c r="G60" s="317" t="s">
        <v>441</v>
      </c>
      <c r="H60" s="318" t="s">
        <v>53</v>
      </c>
      <c r="I60" s="319">
        <v>0.89300000000000002</v>
      </c>
      <c r="J60" s="320" t="s">
        <v>442</v>
      </c>
      <c r="K60" s="321">
        <v>770466.5</v>
      </c>
      <c r="L60" s="321">
        <f t="shared" si="13"/>
        <v>385233.25</v>
      </c>
      <c r="M60" s="321">
        <f t="shared" si="14"/>
        <v>385233.25</v>
      </c>
      <c r="N60" s="322">
        <v>0.5</v>
      </c>
      <c r="O60" s="323"/>
      <c r="P60" s="324"/>
      <c r="Q60" s="324"/>
      <c r="R60" s="324"/>
      <c r="S60" s="324">
        <f t="shared" si="12"/>
        <v>385233.25</v>
      </c>
      <c r="T60" s="324"/>
      <c r="U60" s="324"/>
      <c r="V60" s="324"/>
      <c r="W60" s="325"/>
      <c r="X60" s="310"/>
      <c r="Y60" s="297" t="b">
        <f t="shared" si="15"/>
        <v>1</v>
      </c>
      <c r="Z60" s="311">
        <f t="shared" si="16"/>
        <v>0.5</v>
      </c>
      <c r="AA60" s="312" t="b">
        <f t="shared" si="17"/>
        <v>1</v>
      </c>
      <c r="AB60" s="312" t="b">
        <f t="shared" si="18"/>
        <v>1</v>
      </c>
    </row>
    <row r="61" spans="1:28" ht="20.399999999999999" x14ac:dyDescent="0.2">
      <c r="A61" s="313">
        <v>59</v>
      </c>
      <c r="B61" s="314" t="s">
        <v>443</v>
      </c>
      <c r="C61" s="315" t="s">
        <v>213</v>
      </c>
      <c r="D61" s="316" t="s">
        <v>444</v>
      </c>
      <c r="E61" s="316" t="s">
        <v>120</v>
      </c>
      <c r="F61" s="314" t="s">
        <v>188</v>
      </c>
      <c r="G61" s="317" t="s">
        <v>445</v>
      </c>
      <c r="H61" s="318" t="s">
        <v>56</v>
      </c>
      <c r="I61" s="319">
        <v>0.79700000000000004</v>
      </c>
      <c r="J61" s="320" t="s">
        <v>216</v>
      </c>
      <c r="K61" s="321">
        <v>1002579.62</v>
      </c>
      <c r="L61" s="321">
        <f t="shared" si="13"/>
        <v>802063.7</v>
      </c>
      <c r="M61" s="321">
        <f t="shared" si="14"/>
        <v>200515.92000000004</v>
      </c>
      <c r="N61" s="322">
        <v>0.8</v>
      </c>
      <c r="O61" s="323"/>
      <c r="P61" s="324"/>
      <c r="Q61" s="324"/>
      <c r="R61" s="324"/>
      <c r="S61" s="324">
        <f t="shared" si="12"/>
        <v>802063.7</v>
      </c>
      <c r="T61" s="324"/>
      <c r="U61" s="324"/>
      <c r="V61" s="324"/>
      <c r="W61" s="325"/>
      <c r="X61" s="310"/>
      <c r="Y61" s="297" t="b">
        <f t="shared" si="15"/>
        <v>1</v>
      </c>
      <c r="Z61" s="311">
        <f t="shared" si="16"/>
        <v>0.8</v>
      </c>
      <c r="AA61" s="312" t="b">
        <f t="shared" si="17"/>
        <v>1</v>
      </c>
      <c r="AB61" s="312" t="b">
        <f t="shared" si="18"/>
        <v>1</v>
      </c>
    </row>
    <row r="62" spans="1:28" ht="20.399999999999999" x14ac:dyDescent="0.2">
      <c r="A62" s="313">
        <v>60</v>
      </c>
      <c r="B62" s="314" t="s">
        <v>446</v>
      </c>
      <c r="C62" s="315" t="s">
        <v>213</v>
      </c>
      <c r="D62" s="316" t="s">
        <v>228</v>
      </c>
      <c r="E62" s="316" t="s">
        <v>119</v>
      </c>
      <c r="F62" s="314" t="s">
        <v>447</v>
      </c>
      <c r="G62" s="317" t="s">
        <v>448</v>
      </c>
      <c r="H62" s="318" t="s">
        <v>56</v>
      </c>
      <c r="I62" s="319">
        <v>0.36099999999999999</v>
      </c>
      <c r="J62" s="320" t="s">
        <v>367</v>
      </c>
      <c r="K62" s="321">
        <v>2197580.14</v>
      </c>
      <c r="L62" s="321">
        <f t="shared" si="13"/>
        <v>1318548.08</v>
      </c>
      <c r="M62" s="321">
        <f t="shared" si="14"/>
        <v>879032.06</v>
      </c>
      <c r="N62" s="322">
        <v>0.6</v>
      </c>
      <c r="O62" s="323"/>
      <c r="P62" s="324"/>
      <c r="Q62" s="324"/>
      <c r="R62" s="324"/>
      <c r="S62" s="324">
        <f t="shared" si="12"/>
        <v>1318548.08</v>
      </c>
      <c r="T62" s="324"/>
      <c r="U62" s="324"/>
      <c r="V62" s="324"/>
      <c r="W62" s="325"/>
      <c r="X62" s="310"/>
      <c r="Y62" s="297" t="b">
        <f t="shared" si="15"/>
        <v>1</v>
      </c>
      <c r="Z62" s="311">
        <f t="shared" si="16"/>
        <v>0.6</v>
      </c>
      <c r="AA62" s="312" t="b">
        <f t="shared" si="17"/>
        <v>1</v>
      </c>
      <c r="AB62" s="312" t="b">
        <f t="shared" si="18"/>
        <v>1</v>
      </c>
    </row>
    <row r="63" spans="1:28" x14ac:dyDescent="0.2">
      <c r="A63" s="313">
        <v>61</v>
      </c>
      <c r="B63" s="314" t="s">
        <v>449</v>
      </c>
      <c r="C63" s="315" t="s">
        <v>213</v>
      </c>
      <c r="D63" s="316" t="s">
        <v>450</v>
      </c>
      <c r="E63" s="316" t="s">
        <v>174</v>
      </c>
      <c r="F63" s="314" t="s">
        <v>187</v>
      </c>
      <c r="G63" s="317" t="s">
        <v>606</v>
      </c>
      <c r="H63" s="318" t="s">
        <v>56</v>
      </c>
      <c r="I63" s="319">
        <v>1.0880000000000001</v>
      </c>
      <c r="J63" s="320" t="s">
        <v>273</v>
      </c>
      <c r="K63" s="321">
        <v>2278040.62</v>
      </c>
      <c r="L63" s="321">
        <f t="shared" si="13"/>
        <v>1139020.31</v>
      </c>
      <c r="M63" s="321">
        <f t="shared" si="14"/>
        <v>1139020.31</v>
      </c>
      <c r="N63" s="322">
        <v>0.5</v>
      </c>
      <c r="O63" s="323"/>
      <c r="P63" s="324"/>
      <c r="Q63" s="324"/>
      <c r="R63" s="324"/>
      <c r="S63" s="324">
        <f t="shared" si="12"/>
        <v>1139020.31</v>
      </c>
      <c r="T63" s="324"/>
      <c r="U63" s="324"/>
      <c r="V63" s="324"/>
      <c r="W63" s="325"/>
      <c r="X63" s="310"/>
      <c r="Y63" s="297" t="b">
        <f t="shared" si="15"/>
        <v>1</v>
      </c>
      <c r="Z63" s="311">
        <f t="shared" si="16"/>
        <v>0.5</v>
      </c>
      <c r="AA63" s="312" t="b">
        <f t="shared" si="17"/>
        <v>1</v>
      </c>
      <c r="AB63" s="312" t="b">
        <f t="shared" si="18"/>
        <v>1</v>
      </c>
    </row>
    <row r="64" spans="1:28" x14ac:dyDescent="0.2">
      <c r="A64" s="313">
        <v>62</v>
      </c>
      <c r="B64" s="314" t="s">
        <v>451</v>
      </c>
      <c r="C64" s="315" t="s">
        <v>213</v>
      </c>
      <c r="D64" s="316" t="s">
        <v>79</v>
      </c>
      <c r="E64" s="316" t="s">
        <v>80</v>
      </c>
      <c r="F64" s="314" t="s">
        <v>81</v>
      </c>
      <c r="G64" s="317" t="s">
        <v>452</v>
      </c>
      <c r="H64" s="318" t="s">
        <v>53</v>
      </c>
      <c r="I64" s="319">
        <v>0.90300000000000002</v>
      </c>
      <c r="J64" s="320" t="s">
        <v>220</v>
      </c>
      <c r="K64" s="321">
        <v>1050059.8799999999</v>
      </c>
      <c r="L64" s="321">
        <f t="shared" si="13"/>
        <v>525029.93999999994</v>
      </c>
      <c r="M64" s="321">
        <f t="shared" si="14"/>
        <v>525029.93999999994</v>
      </c>
      <c r="N64" s="322">
        <v>0.5</v>
      </c>
      <c r="O64" s="323"/>
      <c r="P64" s="324"/>
      <c r="Q64" s="324"/>
      <c r="R64" s="324"/>
      <c r="S64" s="324">
        <f t="shared" si="12"/>
        <v>525029.93999999994</v>
      </c>
      <c r="T64" s="324"/>
      <c r="U64" s="324"/>
      <c r="V64" s="324"/>
      <c r="W64" s="325"/>
      <c r="X64" s="310"/>
      <c r="Y64" s="297" t="b">
        <f t="shared" si="15"/>
        <v>1</v>
      </c>
      <c r="Z64" s="311">
        <f t="shared" si="16"/>
        <v>0.5</v>
      </c>
      <c r="AA64" s="312" t="b">
        <f t="shared" si="17"/>
        <v>1</v>
      </c>
      <c r="AB64" s="312" t="b">
        <f t="shared" si="18"/>
        <v>1</v>
      </c>
    </row>
    <row r="65" spans="1:28" ht="20.399999999999999" x14ac:dyDescent="0.2">
      <c r="A65" s="313">
        <v>63</v>
      </c>
      <c r="B65" s="314" t="s">
        <v>453</v>
      </c>
      <c r="C65" s="315" t="s">
        <v>213</v>
      </c>
      <c r="D65" s="316" t="s">
        <v>454</v>
      </c>
      <c r="E65" s="316" t="s">
        <v>147</v>
      </c>
      <c r="F65" s="314" t="s">
        <v>91</v>
      </c>
      <c r="G65" s="317" t="s">
        <v>455</v>
      </c>
      <c r="H65" s="318" t="s">
        <v>56</v>
      </c>
      <c r="I65" s="319">
        <v>0.372</v>
      </c>
      <c r="J65" s="320" t="s">
        <v>442</v>
      </c>
      <c r="K65" s="321">
        <v>1238953.21</v>
      </c>
      <c r="L65" s="321">
        <f t="shared" si="13"/>
        <v>619476.61</v>
      </c>
      <c r="M65" s="321">
        <f t="shared" si="14"/>
        <v>619476.6</v>
      </c>
      <c r="N65" s="322">
        <v>0.5</v>
      </c>
      <c r="O65" s="323"/>
      <c r="P65" s="324"/>
      <c r="Q65" s="324"/>
      <c r="R65" s="324"/>
      <c r="S65" s="324">
        <f t="shared" si="12"/>
        <v>619476.61</v>
      </c>
      <c r="T65" s="324"/>
      <c r="U65" s="324"/>
      <c r="V65" s="324"/>
      <c r="W65" s="325"/>
      <c r="X65" s="310"/>
      <c r="Y65" s="297" t="b">
        <f t="shared" si="15"/>
        <v>1</v>
      </c>
      <c r="Z65" s="311">
        <f t="shared" si="16"/>
        <v>0.5</v>
      </c>
      <c r="AA65" s="312" t="b">
        <f t="shared" si="17"/>
        <v>1</v>
      </c>
      <c r="AB65" s="312" t="b">
        <f t="shared" si="18"/>
        <v>1</v>
      </c>
    </row>
    <row r="66" spans="1:28" x14ac:dyDescent="0.2">
      <c r="A66" s="313">
        <v>64</v>
      </c>
      <c r="B66" s="314" t="s">
        <v>456</v>
      </c>
      <c r="C66" s="315" t="s">
        <v>213</v>
      </c>
      <c r="D66" s="316" t="s">
        <v>457</v>
      </c>
      <c r="E66" s="316" t="s">
        <v>132</v>
      </c>
      <c r="F66" s="314" t="s">
        <v>184</v>
      </c>
      <c r="G66" s="317" t="s">
        <v>458</v>
      </c>
      <c r="H66" s="318" t="s">
        <v>56</v>
      </c>
      <c r="I66" s="319">
        <v>0.37</v>
      </c>
      <c r="J66" s="320" t="s">
        <v>459</v>
      </c>
      <c r="K66" s="321">
        <v>1021303.64</v>
      </c>
      <c r="L66" s="321">
        <f t="shared" si="13"/>
        <v>510651.82</v>
      </c>
      <c r="M66" s="321">
        <f t="shared" si="14"/>
        <v>510651.82</v>
      </c>
      <c r="N66" s="322">
        <v>0.5</v>
      </c>
      <c r="O66" s="323"/>
      <c r="P66" s="324"/>
      <c r="Q66" s="324"/>
      <c r="R66" s="324"/>
      <c r="S66" s="324">
        <f t="shared" si="12"/>
        <v>510651.82</v>
      </c>
      <c r="T66" s="324"/>
      <c r="U66" s="324"/>
      <c r="V66" s="324"/>
      <c r="W66" s="325"/>
      <c r="X66" s="310"/>
      <c r="Y66" s="297" t="b">
        <f t="shared" si="15"/>
        <v>1</v>
      </c>
      <c r="Z66" s="311">
        <f t="shared" si="16"/>
        <v>0.5</v>
      </c>
      <c r="AA66" s="312" t="b">
        <f t="shared" si="17"/>
        <v>1</v>
      </c>
      <c r="AB66" s="312" t="b">
        <f t="shared" si="18"/>
        <v>1</v>
      </c>
    </row>
    <row r="67" spans="1:28" x14ac:dyDescent="0.2">
      <c r="A67" s="313">
        <v>65</v>
      </c>
      <c r="B67" s="314" t="s">
        <v>460</v>
      </c>
      <c r="C67" s="315" t="s">
        <v>213</v>
      </c>
      <c r="D67" s="316" t="s">
        <v>457</v>
      </c>
      <c r="E67" s="316" t="s">
        <v>132</v>
      </c>
      <c r="F67" s="314" t="s">
        <v>184</v>
      </c>
      <c r="G67" s="317" t="s">
        <v>461</v>
      </c>
      <c r="H67" s="318" t="s">
        <v>56</v>
      </c>
      <c r="I67" s="319">
        <v>0.317</v>
      </c>
      <c r="J67" s="320" t="s">
        <v>459</v>
      </c>
      <c r="K67" s="321">
        <v>748337.42</v>
      </c>
      <c r="L67" s="321">
        <f t="shared" si="13"/>
        <v>374168.71</v>
      </c>
      <c r="M67" s="321">
        <f t="shared" si="14"/>
        <v>374168.71</v>
      </c>
      <c r="N67" s="322">
        <v>0.5</v>
      </c>
      <c r="O67" s="323"/>
      <c r="P67" s="324"/>
      <c r="Q67" s="324"/>
      <c r="R67" s="324"/>
      <c r="S67" s="324">
        <f t="shared" si="12"/>
        <v>374168.71</v>
      </c>
      <c r="T67" s="324"/>
      <c r="U67" s="324"/>
      <c r="V67" s="324"/>
      <c r="W67" s="325"/>
      <c r="X67" s="310"/>
      <c r="Y67" s="297" t="b">
        <f t="shared" si="15"/>
        <v>1</v>
      </c>
      <c r="Z67" s="311">
        <f t="shared" si="16"/>
        <v>0.5</v>
      </c>
      <c r="AA67" s="312" t="b">
        <f t="shared" si="17"/>
        <v>1</v>
      </c>
      <c r="AB67" s="312" t="b">
        <f t="shared" si="18"/>
        <v>1</v>
      </c>
    </row>
    <row r="68" spans="1:28" x14ac:dyDescent="0.2">
      <c r="A68" s="313">
        <v>66</v>
      </c>
      <c r="B68" s="314" t="s">
        <v>462</v>
      </c>
      <c r="C68" s="315" t="s">
        <v>213</v>
      </c>
      <c r="D68" s="316" t="s">
        <v>463</v>
      </c>
      <c r="E68" s="316" t="s">
        <v>136</v>
      </c>
      <c r="F68" s="314" t="s">
        <v>86</v>
      </c>
      <c r="G68" s="317" t="s">
        <v>464</v>
      </c>
      <c r="H68" s="318" t="s">
        <v>53</v>
      </c>
      <c r="I68" s="319">
        <v>1.8129999999999999</v>
      </c>
      <c r="J68" s="320" t="s">
        <v>465</v>
      </c>
      <c r="K68" s="321">
        <v>2950505.55</v>
      </c>
      <c r="L68" s="321">
        <f t="shared" si="13"/>
        <v>1475252.78</v>
      </c>
      <c r="M68" s="321">
        <f t="shared" si="14"/>
        <v>1475252.7699999998</v>
      </c>
      <c r="N68" s="322">
        <v>0.5</v>
      </c>
      <c r="O68" s="323"/>
      <c r="P68" s="324"/>
      <c r="Q68" s="324"/>
      <c r="R68" s="324"/>
      <c r="S68" s="324">
        <f t="shared" si="12"/>
        <v>1475252.78</v>
      </c>
      <c r="T68" s="324"/>
      <c r="U68" s="324"/>
      <c r="V68" s="324"/>
      <c r="W68" s="325"/>
      <c r="X68" s="310"/>
      <c r="Y68" s="297" t="b">
        <f t="shared" si="15"/>
        <v>1</v>
      </c>
      <c r="Z68" s="311">
        <f t="shared" si="16"/>
        <v>0.5</v>
      </c>
      <c r="AA68" s="312" t="b">
        <f t="shared" si="17"/>
        <v>1</v>
      </c>
      <c r="AB68" s="312" t="b">
        <f t="shared" si="18"/>
        <v>1</v>
      </c>
    </row>
    <row r="69" spans="1:28" x14ac:dyDescent="0.2">
      <c r="A69" s="313">
        <v>67</v>
      </c>
      <c r="B69" s="314" t="s">
        <v>466</v>
      </c>
      <c r="C69" s="315" t="s">
        <v>213</v>
      </c>
      <c r="D69" s="316" t="s">
        <v>454</v>
      </c>
      <c r="E69" s="316" t="s">
        <v>147</v>
      </c>
      <c r="F69" s="314" t="s">
        <v>91</v>
      </c>
      <c r="G69" s="317" t="s">
        <v>467</v>
      </c>
      <c r="H69" s="318" t="s">
        <v>53</v>
      </c>
      <c r="I69" s="319">
        <v>0.72299999999999998</v>
      </c>
      <c r="J69" s="320" t="s">
        <v>442</v>
      </c>
      <c r="K69" s="321">
        <v>625541.39</v>
      </c>
      <c r="L69" s="321">
        <f t="shared" si="13"/>
        <v>312770.7</v>
      </c>
      <c r="M69" s="321">
        <f t="shared" si="14"/>
        <v>312770.69</v>
      </c>
      <c r="N69" s="322">
        <v>0.5</v>
      </c>
      <c r="O69" s="323"/>
      <c r="P69" s="324"/>
      <c r="Q69" s="324"/>
      <c r="R69" s="324"/>
      <c r="S69" s="324">
        <f t="shared" si="12"/>
        <v>312770.7</v>
      </c>
      <c r="T69" s="324"/>
      <c r="U69" s="324"/>
      <c r="V69" s="324"/>
      <c r="W69" s="325"/>
      <c r="X69" s="310"/>
      <c r="Y69" s="297" t="b">
        <f t="shared" si="15"/>
        <v>1</v>
      </c>
      <c r="Z69" s="311">
        <f t="shared" si="16"/>
        <v>0.5</v>
      </c>
      <c r="AA69" s="312" t="b">
        <f t="shared" si="17"/>
        <v>1</v>
      </c>
      <c r="AB69" s="312" t="b">
        <f t="shared" si="18"/>
        <v>1</v>
      </c>
    </row>
    <row r="70" spans="1:28" ht="20.399999999999999" x14ac:dyDescent="0.2">
      <c r="A70" s="313">
        <v>68</v>
      </c>
      <c r="B70" s="314" t="s">
        <v>468</v>
      </c>
      <c r="C70" s="315" t="s">
        <v>213</v>
      </c>
      <c r="D70" s="316" t="s">
        <v>379</v>
      </c>
      <c r="E70" s="316" t="s">
        <v>171</v>
      </c>
      <c r="F70" s="314" t="s">
        <v>188</v>
      </c>
      <c r="G70" s="317" t="s">
        <v>469</v>
      </c>
      <c r="H70" s="318" t="s">
        <v>53</v>
      </c>
      <c r="I70" s="319">
        <v>0.30399999999999999</v>
      </c>
      <c r="J70" s="320" t="s">
        <v>374</v>
      </c>
      <c r="K70" s="321">
        <v>215255.61</v>
      </c>
      <c r="L70" s="321">
        <f t="shared" si="13"/>
        <v>107627.81</v>
      </c>
      <c r="M70" s="321">
        <f t="shared" si="14"/>
        <v>107627.79999999999</v>
      </c>
      <c r="N70" s="322">
        <v>0.5</v>
      </c>
      <c r="O70" s="323"/>
      <c r="P70" s="324"/>
      <c r="Q70" s="324"/>
      <c r="R70" s="324"/>
      <c r="S70" s="324">
        <f t="shared" si="12"/>
        <v>107627.81</v>
      </c>
      <c r="T70" s="324"/>
      <c r="U70" s="324"/>
      <c r="V70" s="324"/>
      <c r="W70" s="325"/>
      <c r="X70" s="310"/>
      <c r="Y70" s="297" t="b">
        <f t="shared" si="15"/>
        <v>1</v>
      </c>
      <c r="Z70" s="311">
        <f t="shared" si="16"/>
        <v>0.5</v>
      </c>
      <c r="AA70" s="312" t="b">
        <f t="shared" si="17"/>
        <v>1</v>
      </c>
      <c r="AB70" s="312" t="b">
        <f t="shared" si="18"/>
        <v>1</v>
      </c>
    </row>
    <row r="71" spans="1:28" ht="20.399999999999999" x14ac:dyDescent="0.2">
      <c r="A71" s="313">
        <v>69</v>
      </c>
      <c r="B71" s="314" t="s">
        <v>470</v>
      </c>
      <c r="C71" s="315" t="s">
        <v>213</v>
      </c>
      <c r="D71" s="316" t="s">
        <v>471</v>
      </c>
      <c r="E71" s="316" t="s">
        <v>175</v>
      </c>
      <c r="F71" s="314" t="s">
        <v>180</v>
      </c>
      <c r="G71" s="317" t="s">
        <v>472</v>
      </c>
      <c r="H71" s="318" t="s">
        <v>56</v>
      </c>
      <c r="I71" s="319">
        <v>0.16200000000000001</v>
      </c>
      <c r="J71" s="320" t="s">
        <v>341</v>
      </c>
      <c r="K71" s="321">
        <v>535381.47</v>
      </c>
      <c r="L71" s="321">
        <f t="shared" si="13"/>
        <v>267690.74</v>
      </c>
      <c r="M71" s="321">
        <f t="shared" si="14"/>
        <v>267690.73</v>
      </c>
      <c r="N71" s="322">
        <v>0.5</v>
      </c>
      <c r="O71" s="323"/>
      <c r="P71" s="324"/>
      <c r="Q71" s="324"/>
      <c r="R71" s="324"/>
      <c r="S71" s="324">
        <f t="shared" si="12"/>
        <v>267690.74</v>
      </c>
      <c r="T71" s="324"/>
      <c r="U71" s="324"/>
      <c r="V71" s="324"/>
      <c r="W71" s="325"/>
      <c r="X71" s="310"/>
      <c r="Y71" s="297" t="b">
        <f t="shared" si="15"/>
        <v>1</v>
      </c>
      <c r="Z71" s="311">
        <f t="shared" si="16"/>
        <v>0.5</v>
      </c>
      <c r="AA71" s="312" t="b">
        <f t="shared" si="17"/>
        <v>1</v>
      </c>
      <c r="AB71" s="312" t="b">
        <f t="shared" si="18"/>
        <v>1</v>
      </c>
    </row>
    <row r="72" spans="1:28" x14ac:dyDescent="0.2">
      <c r="A72" s="313">
        <v>70</v>
      </c>
      <c r="B72" s="314" t="s">
        <v>473</v>
      </c>
      <c r="C72" s="315" t="s">
        <v>213</v>
      </c>
      <c r="D72" s="316" t="s">
        <v>434</v>
      </c>
      <c r="E72" s="316" t="s">
        <v>169</v>
      </c>
      <c r="F72" s="314" t="s">
        <v>181</v>
      </c>
      <c r="G72" s="317" t="s">
        <v>474</v>
      </c>
      <c r="H72" s="318" t="s">
        <v>53</v>
      </c>
      <c r="I72" s="319">
        <v>0.52</v>
      </c>
      <c r="J72" s="320" t="s">
        <v>360</v>
      </c>
      <c r="K72" s="321">
        <v>572011.47</v>
      </c>
      <c r="L72" s="321">
        <f t="shared" si="13"/>
        <v>286005.74</v>
      </c>
      <c r="M72" s="321">
        <f t="shared" si="14"/>
        <v>286005.73</v>
      </c>
      <c r="N72" s="322">
        <v>0.5</v>
      </c>
      <c r="O72" s="323"/>
      <c r="P72" s="324"/>
      <c r="Q72" s="324"/>
      <c r="R72" s="324"/>
      <c r="S72" s="324">
        <f t="shared" si="12"/>
        <v>286005.74</v>
      </c>
      <c r="T72" s="324"/>
      <c r="U72" s="324"/>
      <c r="V72" s="324"/>
      <c r="W72" s="325"/>
      <c r="X72" s="310"/>
      <c r="Y72" s="297" t="b">
        <f t="shared" si="15"/>
        <v>1</v>
      </c>
      <c r="Z72" s="311">
        <f t="shared" si="16"/>
        <v>0.5</v>
      </c>
      <c r="AA72" s="312" t="b">
        <f t="shared" si="17"/>
        <v>1</v>
      </c>
      <c r="AB72" s="312" t="b">
        <f t="shared" si="18"/>
        <v>1</v>
      </c>
    </row>
    <row r="73" spans="1:28" ht="20.399999999999999" x14ac:dyDescent="0.2">
      <c r="A73" s="313">
        <v>71</v>
      </c>
      <c r="B73" s="314" t="s">
        <v>475</v>
      </c>
      <c r="C73" s="315" t="s">
        <v>213</v>
      </c>
      <c r="D73" s="316" t="s">
        <v>476</v>
      </c>
      <c r="E73" s="316" t="s">
        <v>148</v>
      </c>
      <c r="F73" s="314" t="s">
        <v>103</v>
      </c>
      <c r="G73" s="317" t="s">
        <v>477</v>
      </c>
      <c r="H73" s="318" t="s">
        <v>53</v>
      </c>
      <c r="I73" s="319">
        <v>0.44600000000000001</v>
      </c>
      <c r="J73" s="320" t="s">
        <v>267</v>
      </c>
      <c r="K73" s="321">
        <v>377352.93</v>
      </c>
      <c r="L73" s="321">
        <f t="shared" si="13"/>
        <v>188676.47</v>
      </c>
      <c r="M73" s="321">
        <f t="shared" si="14"/>
        <v>188676.46</v>
      </c>
      <c r="N73" s="322">
        <v>0.5</v>
      </c>
      <c r="O73" s="323"/>
      <c r="P73" s="324"/>
      <c r="Q73" s="324"/>
      <c r="R73" s="324"/>
      <c r="S73" s="324">
        <f t="shared" si="12"/>
        <v>188676.47</v>
      </c>
      <c r="T73" s="324"/>
      <c r="U73" s="324"/>
      <c r="V73" s="324"/>
      <c r="W73" s="325"/>
      <c r="X73" s="310"/>
      <c r="Y73" s="297" t="b">
        <f t="shared" si="15"/>
        <v>1</v>
      </c>
      <c r="Z73" s="311">
        <f t="shared" si="16"/>
        <v>0.5</v>
      </c>
      <c r="AA73" s="312" t="b">
        <f t="shared" si="17"/>
        <v>1</v>
      </c>
      <c r="AB73" s="312" t="b">
        <f t="shared" si="18"/>
        <v>1</v>
      </c>
    </row>
    <row r="74" spans="1:28" ht="20.399999999999999" x14ac:dyDescent="0.2">
      <c r="A74" s="313">
        <v>72</v>
      </c>
      <c r="B74" s="314" t="s">
        <v>478</v>
      </c>
      <c r="C74" s="315" t="s">
        <v>213</v>
      </c>
      <c r="D74" s="316" t="s">
        <v>479</v>
      </c>
      <c r="E74" s="316" t="s">
        <v>177</v>
      </c>
      <c r="F74" s="314" t="s">
        <v>108</v>
      </c>
      <c r="G74" s="317" t="s">
        <v>480</v>
      </c>
      <c r="H74" s="318" t="s">
        <v>53</v>
      </c>
      <c r="I74" s="319">
        <v>0.22600000000000001</v>
      </c>
      <c r="J74" s="320" t="s">
        <v>360</v>
      </c>
      <c r="K74" s="321">
        <v>332042.27</v>
      </c>
      <c r="L74" s="321">
        <f t="shared" si="13"/>
        <v>166021.14000000001</v>
      </c>
      <c r="M74" s="321">
        <f t="shared" si="14"/>
        <v>166021.13</v>
      </c>
      <c r="N74" s="322">
        <v>0.5</v>
      </c>
      <c r="O74" s="323"/>
      <c r="P74" s="324"/>
      <c r="Q74" s="324"/>
      <c r="R74" s="324"/>
      <c r="S74" s="324">
        <f t="shared" si="12"/>
        <v>166021.14000000001</v>
      </c>
      <c r="T74" s="324"/>
      <c r="U74" s="324"/>
      <c r="V74" s="324"/>
      <c r="W74" s="325"/>
      <c r="X74" s="310"/>
      <c r="Y74" s="297" t="b">
        <f t="shared" si="15"/>
        <v>1</v>
      </c>
      <c r="Z74" s="311">
        <f t="shared" si="16"/>
        <v>0.5</v>
      </c>
      <c r="AA74" s="312" t="b">
        <f t="shared" si="17"/>
        <v>1</v>
      </c>
      <c r="AB74" s="312" t="b">
        <f t="shared" si="18"/>
        <v>1</v>
      </c>
    </row>
    <row r="75" spans="1:28" x14ac:dyDescent="0.2">
      <c r="A75" s="313">
        <v>73</v>
      </c>
      <c r="B75" s="314" t="s">
        <v>481</v>
      </c>
      <c r="C75" s="315" t="s">
        <v>213</v>
      </c>
      <c r="D75" s="316" t="s">
        <v>482</v>
      </c>
      <c r="E75" s="316" t="s">
        <v>152</v>
      </c>
      <c r="F75" s="314" t="s">
        <v>91</v>
      </c>
      <c r="G75" s="317" t="s">
        <v>483</v>
      </c>
      <c r="H75" s="318" t="s">
        <v>53</v>
      </c>
      <c r="I75" s="319">
        <v>0.91</v>
      </c>
      <c r="J75" s="320" t="s">
        <v>240</v>
      </c>
      <c r="K75" s="321">
        <v>591568.57999999996</v>
      </c>
      <c r="L75" s="321">
        <f t="shared" si="13"/>
        <v>295784.28999999998</v>
      </c>
      <c r="M75" s="321">
        <f t="shared" si="14"/>
        <v>295784.28999999998</v>
      </c>
      <c r="N75" s="322">
        <v>0.5</v>
      </c>
      <c r="O75" s="323"/>
      <c r="P75" s="324"/>
      <c r="Q75" s="324"/>
      <c r="R75" s="324"/>
      <c r="S75" s="324">
        <f t="shared" si="12"/>
        <v>295784.28999999998</v>
      </c>
      <c r="T75" s="324"/>
      <c r="U75" s="324"/>
      <c r="V75" s="324"/>
      <c r="W75" s="325"/>
      <c r="X75" s="310"/>
      <c r="Y75" s="297" t="b">
        <f t="shared" si="15"/>
        <v>1</v>
      </c>
      <c r="Z75" s="311">
        <f t="shared" si="16"/>
        <v>0.5</v>
      </c>
      <c r="AA75" s="312" t="b">
        <f t="shared" si="17"/>
        <v>1</v>
      </c>
      <c r="AB75" s="312" t="b">
        <f t="shared" si="18"/>
        <v>1</v>
      </c>
    </row>
    <row r="76" spans="1:28" x14ac:dyDescent="0.2">
      <c r="A76" s="313">
        <v>74</v>
      </c>
      <c r="B76" s="314" t="s">
        <v>484</v>
      </c>
      <c r="C76" s="315" t="s">
        <v>213</v>
      </c>
      <c r="D76" s="316" t="s">
        <v>485</v>
      </c>
      <c r="E76" s="316" t="s">
        <v>162</v>
      </c>
      <c r="F76" s="314" t="s">
        <v>181</v>
      </c>
      <c r="G76" s="317" t="s">
        <v>486</v>
      </c>
      <c r="H76" s="318" t="s">
        <v>53</v>
      </c>
      <c r="I76" s="319">
        <v>0.77800000000000002</v>
      </c>
      <c r="J76" s="320" t="s">
        <v>374</v>
      </c>
      <c r="K76" s="321">
        <v>938925.38</v>
      </c>
      <c r="L76" s="321">
        <f t="shared" ref="L76:L86" si="19">ROUND(K76*N76,2)</f>
        <v>469462.69</v>
      </c>
      <c r="M76" s="321">
        <f t="shared" ref="M76:M88" si="20">K76-L76</f>
        <v>469462.69</v>
      </c>
      <c r="N76" s="322">
        <v>0.5</v>
      </c>
      <c r="O76" s="323"/>
      <c r="P76" s="324"/>
      <c r="Q76" s="324"/>
      <c r="R76" s="324"/>
      <c r="S76" s="324">
        <f t="shared" si="12"/>
        <v>469462.69</v>
      </c>
      <c r="T76" s="324"/>
      <c r="U76" s="324"/>
      <c r="V76" s="324"/>
      <c r="W76" s="325"/>
      <c r="X76" s="310"/>
      <c r="Y76" s="297" t="b">
        <f t="shared" ref="Y76:Y88" si="21">L76=SUM(O76:X76)</f>
        <v>1</v>
      </c>
      <c r="Z76" s="311">
        <f t="shared" ref="Z76:Z88" si="22">ROUND(L76/K76,4)</f>
        <v>0.5</v>
      </c>
      <c r="AA76" s="312" t="b">
        <f t="shared" ref="AA76:AA88" si="23">Z76=N76</f>
        <v>1</v>
      </c>
      <c r="AB76" s="312" t="b">
        <f t="shared" ref="AB76:AB88" si="24">K76=L76+M76</f>
        <v>1</v>
      </c>
    </row>
    <row r="77" spans="1:28" ht="20.399999999999999" x14ac:dyDescent="0.2">
      <c r="A77" s="313">
        <v>75</v>
      </c>
      <c r="B77" s="314" t="s">
        <v>487</v>
      </c>
      <c r="C77" s="315" t="s">
        <v>213</v>
      </c>
      <c r="D77" s="316" t="s">
        <v>397</v>
      </c>
      <c r="E77" s="316" t="s">
        <v>139</v>
      </c>
      <c r="F77" s="314" t="s">
        <v>186</v>
      </c>
      <c r="G77" s="317" t="s">
        <v>488</v>
      </c>
      <c r="H77" s="318" t="s">
        <v>53</v>
      </c>
      <c r="I77" s="319">
        <v>0.73899999999999999</v>
      </c>
      <c r="J77" s="320" t="s">
        <v>216</v>
      </c>
      <c r="K77" s="321">
        <v>589406.4</v>
      </c>
      <c r="L77" s="321">
        <f t="shared" si="19"/>
        <v>294703.2</v>
      </c>
      <c r="M77" s="321">
        <f t="shared" si="20"/>
        <v>294703.2</v>
      </c>
      <c r="N77" s="322">
        <v>0.5</v>
      </c>
      <c r="O77" s="323"/>
      <c r="P77" s="324"/>
      <c r="Q77" s="324"/>
      <c r="R77" s="324"/>
      <c r="S77" s="324">
        <f t="shared" si="12"/>
        <v>294703.2</v>
      </c>
      <c r="T77" s="324"/>
      <c r="U77" s="324"/>
      <c r="V77" s="324"/>
      <c r="W77" s="325"/>
      <c r="X77" s="310"/>
      <c r="Y77" s="297" t="b">
        <f t="shared" si="21"/>
        <v>1</v>
      </c>
      <c r="Z77" s="311">
        <f t="shared" si="22"/>
        <v>0.5</v>
      </c>
      <c r="AA77" s="312" t="b">
        <f t="shared" si="23"/>
        <v>1</v>
      </c>
      <c r="AB77" s="312" t="b">
        <f t="shared" si="24"/>
        <v>1</v>
      </c>
    </row>
    <row r="78" spans="1:28" ht="20.399999999999999" x14ac:dyDescent="0.2">
      <c r="A78" s="313">
        <v>76</v>
      </c>
      <c r="B78" s="314" t="s">
        <v>489</v>
      </c>
      <c r="C78" s="315" t="s">
        <v>213</v>
      </c>
      <c r="D78" s="316" t="s">
        <v>490</v>
      </c>
      <c r="E78" s="316" t="s">
        <v>176</v>
      </c>
      <c r="F78" s="314" t="s">
        <v>181</v>
      </c>
      <c r="G78" s="317" t="s">
        <v>491</v>
      </c>
      <c r="H78" s="318" t="s">
        <v>53</v>
      </c>
      <c r="I78" s="319">
        <v>0.3</v>
      </c>
      <c r="J78" s="320" t="s">
        <v>492</v>
      </c>
      <c r="K78" s="321">
        <v>588397.54</v>
      </c>
      <c r="L78" s="321">
        <f t="shared" si="19"/>
        <v>294198.77</v>
      </c>
      <c r="M78" s="321">
        <f t="shared" si="20"/>
        <v>294198.77</v>
      </c>
      <c r="N78" s="322">
        <v>0.5</v>
      </c>
      <c r="O78" s="323"/>
      <c r="P78" s="324"/>
      <c r="Q78" s="324"/>
      <c r="R78" s="324"/>
      <c r="S78" s="324">
        <f t="shared" si="12"/>
        <v>294198.77</v>
      </c>
      <c r="T78" s="324"/>
      <c r="U78" s="324"/>
      <c r="V78" s="324"/>
      <c r="W78" s="325"/>
      <c r="X78" s="310"/>
      <c r="Y78" s="297" t="b">
        <f t="shared" si="21"/>
        <v>1</v>
      </c>
      <c r="Z78" s="311">
        <f t="shared" si="22"/>
        <v>0.5</v>
      </c>
      <c r="AA78" s="312" t="b">
        <f t="shared" si="23"/>
        <v>1</v>
      </c>
      <c r="AB78" s="312" t="b">
        <f t="shared" si="24"/>
        <v>1</v>
      </c>
    </row>
    <row r="79" spans="1:28" ht="20.399999999999999" x14ac:dyDescent="0.2">
      <c r="A79" s="313">
        <v>77</v>
      </c>
      <c r="B79" s="314" t="s">
        <v>493</v>
      </c>
      <c r="C79" s="315" t="s">
        <v>213</v>
      </c>
      <c r="D79" s="316" t="s">
        <v>494</v>
      </c>
      <c r="E79" s="316" t="s">
        <v>137</v>
      </c>
      <c r="F79" s="314" t="s">
        <v>86</v>
      </c>
      <c r="G79" s="317" t="s">
        <v>495</v>
      </c>
      <c r="H79" s="318" t="s">
        <v>53</v>
      </c>
      <c r="I79" s="319">
        <v>0.58399999999999996</v>
      </c>
      <c r="J79" s="320" t="s">
        <v>496</v>
      </c>
      <c r="K79" s="321">
        <v>720992.04</v>
      </c>
      <c r="L79" s="321">
        <f t="shared" si="19"/>
        <v>360496.02</v>
      </c>
      <c r="M79" s="321">
        <f t="shared" si="20"/>
        <v>360496.02</v>
      </c>
      <c r="N79" s="322">
        <v>0.5</v>
      </c>
      <c r="O79" s="323"/>
      <c r="P79" s="324"/>
      <c r="Q79" s="324"/>
      <c r="R79" s="324"/>
      <c r="S79" s="324">
        <f t="shared" si="12"/>
        <v>360496.02</v>
      </c>
      <c r="T79" s="324"/>
      <c r="U79" s="324"/>
      <c r="V79" s="324"/>
      <c r="W79" s="325"/>
      <c r="X79" s="310"/>
      <c r="Y79" s="297" t="b">
        <f t="shared" si="21"/>
        <v>1</v>
      </c>
      <c r="Z79" s="311">
        <f t="shared" si="22"/>
        <v>0.5</v>
      </c>
      <c r="AA79" s="312" t="b">
        <f t="shared" si="23"/>
        <v>1</v>
      </c>
      <c r="AB79" s="312" t="b">
        <f t="shared" si="24"/>
        <v>1</v>
      </c>
    </row>
    <row r="80" spans="1:28" ht="20.399999999999999" x14ac:dyDescent="0.2">
      <c r="A80" s="313">
        <v>78</v>
      </c>
      <c r="B80" s="314" t="s">
        <v>497</v>
      </c>
      <c r="C80" s="315" t="s">
        <v>213</v>
      </c>
      <c r="D80" s="316" t="s">
        <v>471</v>
      </c>
      <c r="E80" s="316" t="s">
        <v>175</v>
      </c>
      <c r="F80" s="314" t="s">
        <v>180</v>
      </c>
      <c r="G80" s="317" t="s">
        <v>498</v>
      </c>
      <c r="H80" s="318" t="s">
        <v>56</v>
      </c>
      <c r="I80" s="319">
        <v>0.48499999999999999</v>
      </c>
      <c r="J80" s="320" t="s">
        <v>341</v>
      </c>
      <c r="K80" s="321">
        <v>1688729.65</v>
      </c>
      <c r="L80" s="321">
        <f t="shared" si="19"/>
        <v>844364.83</v>
      </c>
      <c r="M80" s="321">
        <f t="shared" si="20"/>
        <v>844364.82</v>
      </c>
      <c r="N80" s="322">
        <v>0.5</v>
      </c>
      <c r="O80" s="323"/>
      <c r="P80" s="324"/>
      <c r="Q80" s="324"/>
      <c r="R80" s="324"/>
      <c r="S80" s="324">
        <f t="shared" si="12"/>
        <v>844364.83</v>
      </c>
      <c r="T80" s="324"/>
      <c r="U80" s="324"/>
      <c r="V80" s="324"/>
      <c r="W80" s="325"/>
      <c r="X80" s="310"/>
      <c r="Y80" s="297" t="b">
        <f t="shared" si="21"/>
        <v>1</v>
      </c>
      <c r="Z80" s="311">
        <f t="shared" si="22"/>
        <v>0.5</v>
      </c>
      <c r="AA80" s="312" t="b">
        <f t="shared" si="23"/>
        <v>1</v>
      </c>
      <c r="AB80" s="312" t="b">
        <f t="shared" si="24"/>
        <v>1</v>
      </c>
    </row>
    <row r="81" spans="1:29" x14ac:dyDescent="0.2">
      <c r="A81" s="313">
        <v>79</v>
      </c>
      <c r="B81" s="314" t="s">
        <v>499</v>
      </c>
      <c r="C81" s="315" t="s">
        <v>213</v>
      </c>
      <c r="D81" s="316" t="s">
        <v>500</v>
      </c>
      <c r="E81" s="316" t="s">
        <v>146</v>
      </c>
      <c r="F81" s="314" t="s">
        <v>184</v>
      </c>
      <c r="G81" s="317" t="s">
        <v>501</v>
      </c>
      <c r="H81" s="318" t="s">
        <v>53</v>
      </c>
      <c r="I81" s="319">
        <v>0.40600000000000003</v>
      </c>
      <c r="J81" s="320" t="s">
        <v>234</v>
      </c>
      <c r="K81" s="321">
        <v>626769.73</v>
      </c>
      <c r="L81" s="321">
        <f t="shared" si="19"/>
        <v>313384.87</v>
      </c>
      <c r="M81" s="321">
        <f t="shared" si="20"/>
        <v>313384.86</v>
      </c>
      <c r="N81" s="322">
        <v>0.5</v>
      </c>
      <c r="O81" s="323"/>
      <c r="P81" s="324"/>
      <c r="Q81" s="324"/>
      <c r="R81" s="324"/>
      <c r="S81" s="324">
        <f t="shared" si="12"/>
        <v>313384.87</v>
      </c>
      <c r="T81" s="324"/>
      <c r="U81" s="324"/>
      <c r="V81" s="324"/>
      <c r="W81" s="325"/>
      <c r="X81" s="310"/>
      <c r="Y81" s="297" t="b">
        <f t="shared" si="21"/>
        <v>1</v>
      </c>
      <c r="Z81" s="311">
        <f t="shared" si="22"/>
        <v>0.5</v>
      </c>
      <c r="AA81" s="312" t="b">
        <f t="shared" si="23"/>
        <v>1</v>
      </c>
      <c r="AB81" s="312" t="b">
        <f t="shared" si="24"/>
        <v>1</v>
      </c>
    </row>
    <row r="82" spans="1:29" ht="20.399999999999999" x14ac:dyDescent="0.2">
      <c r="A82" s="313">
        <v>80</v>
      </c>
      <c r="B82" s="314" t="s">
        <v>502</v>
      </c>
      <c r="C82" s="315" t="s">
        <v>213</v>
      </c>
      <c r="D82" s="316" t="s">
        <v>316</v>
      </c>
      <c r="E82" s="316" t="s">
        <v>118</v>
      </c>
      <c r="F82" s="314" t="s">
        <v>317</v>
      </c>
      <c r="G82" s="317" t="s">
        <v>503</v>
      </c>
      <c r="H82" s="318" t="s">
        <v>53</v>
      </c>
      <c r="I82" s="319">
        <v>0.86799999999999999</v>
      </c>
      <c r="J82" s="320" t="s">
        <v>319</v>
      </c>
      <c r="K82" s="321">
        <v>3149147.04</v>
      </c>
      <c r="L82" s="321">
        <f t="shared" si="19"/>
        <v>1889488.22</v>
      </c>
      <c r="M82" s="321">
        <f t="shared" si="20"/>
        <v>1259658.82</v>
      </c>
      <c r="N82" s="322">
        <v>0.6</v>
      </c>
      <c r="O82" s="323"/>
      <c r="P82" s="324"/>
      <c r="Q82" s="324"/>
      <c r="R82" s="324"/>
      <c r="S82" s="324">
        <f t="shared" si="12"/>
        <v>1889488.22</v>
      </c>
      <c r="T82" s="324"/>
      <c r="U82" s="324"/>
      <c r="V82" s="324"/>
      <c r="W82" s="325"/>
      <c r="X82" s="310"/>
      <c r="Y82" s="297" t="b">
        <f t="shared" si="21"/>
        <v>1</v>
      </c>
      <c r="Z82" s="311">
        <f t="shared" si="22"/>
        <v>0.6</v>
      </c>
      <c r="AA82" s="312" t="b">
        <f t="shared" si="23"/>
        <v>1</v>
      </c>
      <c r="AB82" s="312" t="b">
        <f t="shared" si="24"/>
        <v>1</v>
      </c>
    </row>
    <row r="83" spans="1:29" s="331" customFormat="1" ht="20.399999999999999" x14ac:dyDescent="0.3">
      <c r="A83" s="313">
        <v>81</v>
      </c>
      <c r="B83" s="314" t="s">
        <v>537</v>
      </c>
      <c r="C83" s="315" t="s">
        <v>213</v>
      </c>
      <c r="D83" s="316" t="s">
        <v>538</v>
      </c>
      <c r="E83" s="316" t="s">
        <v>126</v>
      </c>
      <c r="F83" s="314" t="s">
        <v>108</v>
      </c>
      <c r="G83" s="317" t="s">
        <v>539</v>
      </c>
      <c r="H83" s="318" t="s">
        <v>53</v>
      </c>
      <c r="I83" s="319">
        <v>0.83499999999999996</v>
      </c>
      <c r="J83" s="320" t="s">
        <v>540</v>
      </c>
      <c r="K83" s="321">
        <v>653906.93999999994</v>
      </c>
      <c r="L83" s="321">
        <f t="shared" si="19"/>
        <v>392344.16</v>
      </c>
      <c r="M83" s="321">
        <f t="shared" si="20"/>
        <v>261562.77999999997</v>
      </c>
      <c r="N83" s="322">
        <v>0.6</v>
      </c>
      <c r="O83" s="323"/>
      <c r="P83" s="324"/>
      <c r="Q83" s="324"/>
      <c r="R83" s="324"/>
      <c r="S83" s="324">
        <f t="shared" si="12"/>
        <v>392344.16</v>
      </c>
      <c r="T83" s="324"/>
      <c r="U83" s="324"/>
      <c r="V83" s="324"/>
      <c r="W83" s="325"/>
      <c r="X83" s="242"/>
      <c r="Y83" s="353" t="b">
        <f t="shared" si="21"/>
        <v>1</v>
      </c>
      <c r="Z83" s="354">
        <f t="shared" si="22"/>
        <v>0.6</v>
      </c>
      <c r="AA83" s="355" t="b">
        <f t="shared" si="23"/>
        <v>1</v>
      </c>
      <c r="AB83" s="355" t="b">
        <f t="shared" si="24"/>
        <v>1</v>
      </c>
      <c r="AC83" s="356"/>
    </row>
    <row r="84" spans="1:29" ht="20.399999999999999" x14ac:dyDescent="0.2">
      <c r="A84" s="313">
        <v>82</v>
      </c>
      <c r="B84" s="314" t="s">
        <v>504</v>
      </c>
      <c r="C84" s="315" t="s">
        <v>213</v>
      </c>
      <c r="D84" s="316" t="s">
        <v>420</v>
      </c>
      <c r="E84" s="316" t="s">
        <v>149</v>
      </c>
      <c r="F84" s="314" t="s">
        <v>108</v>
      </c>
      <c r="G84" s="317" t="s">
        <v>505</v>
      </c>
      <c r="H84" s="318" t="s">
        <v>53</v>
      </c>
      <c r="I84" s="319">
        <v>0.73</v>
      </c>
      <c r="J84" s="320" t="s">
        <v>341</v>
      </c>
      <c r="K84" s="321">
        <v>999993.57</v>
      </c>
      <c r="L84" s="321">
        <f t="shared" si="19"/>
        <v>499996.79</v>
      </c>
      <c r="M84" s="321">
        <f t="shared" si="20"/>
        <v>499996.77999999997</v>
      </c>
      <c r="N84" s="322">
        <v>0.5</v>
      </c>
      <c r="O84" s="323"/>
      <c r="P84" s="324"/>
      <c r="Q84" s="324"/>
      <c r="R84" s="324"/>
      <c r="S84" s="324">
        <f t="shared" si="12"/>
        <v>499996.79</v>
      </c>
      <c r="T84" s="324"/>
      <c r="U84" s="324"/>
      <c r="V84" s="324"/>
      <c r="W84" s="325"/>
      <c r="X84" s="310"/>
      <c r="Y84" s="297" t="b">
        <f t="shared" si="21"/>
        <v>1</v>
      </c>
      <c r="Z84" s="311">
        <f t="shared" si="22"/>
        <v>0.5</v>
      </c>
      <c r="AA84" s="312" t="b">
        <f t="shared" si="23"/>
        <v>1</v>
      </c>
      <c r="AB84" s="312" t="b">
        <f t="shared" si="24"/>
        <v>1</v>
      </c>
    </row>
    <row r="85" spans="1:29" ht="20.399999999999999" x14ac:dyDescent="0.2">
      <c r="A85" s="313">
        <v>83</v>
      </c>
      <c r="B85" s="314" t="s">
        <v>506</v>
      </c>
      <c r="C85" s="315" t="s">
        <v>213</v>
      </c>
      <c r="D85" s="316" t="s">
        <v>507</v>
      </c>
      <c r="E85" s="316" t="s">
        <v>140</v>
      </c>
      <c r="F85" s="314" t="s">
        <v>81</v>
      </c>
      <c r="G85" s="317" t="s">
        <v>508</v>
      </c>
      <c r="H85" s="318" t="s">
        <v>53</v>
      </c>
      <c r="I85" s="319">
        <v>0.502</v>
      </c>
      <c r="J85" s="320" t="s">
        <v>459</v>
      </c>
      <c r="K85" s="321">
        <v>775151.99</v>
      </c>
      <c r="L85" s="321">
        <f t="shared" si="19"/>
        <v>387576</v>
      </c>
      <c r="M85" s="321">
        <f t="shared" si="20"/>
        <v>387575.99</v>
      </c>
      <c r="N85" s="322">
        <v>0.5</v>
      </c>
      <c r="O85" s="323"/>
      <c r="P85" s="324"/>
      <c r="Q85" s="324"/>
      <c r="R85" s="324"/>
      <c r="S85" s="324">
        <f t="shared" si="12"/>
        <v>387576</v>
      </c>
      <c r="T85" s="324"/>
      <c r="U85" s="324"/>
      <c r="V85" s="324"/>
      <c r="W85" s="325"/>
      <c r="X85" s="310"/>
      <c r="Y85" s="297" t="b">
        <f t="shared" si="21"/>
        <v>1</v>
      </c>
      <c r="Z85" s="311">
        <f t="shared" si="22"/>
        <v>0.5</v>
      </c>
      <c r="AA85" s="312" t="b">
        <f t="shared" si="23"/>
        <v>1</v>
      </c>
      <c r="AB85" s="312" t="b">
        <f t="shared" si="24"/>
        <v>1</v>
      </c>
    </row>
    <row r="86" spans="1:29" ht="20.399999999999999" x14ac:dyDescent="0.2">
      <c r="A86" s="313">
        <v>84</v>
      </c>
      <c r="B86" s="314" t="s">
        <v>509</v>
      </c>
      <c r="C86" s="315" t="s">
        <v>213</v>
      </c>
      <c r="D86" s="316" t="s">
        <v>510</v>
      </c>
      <c r="E86" s="316" t="s">
        <v>164</v>
      </c>
      <c r="F86" s="314" t="s">
        <v>190</v>
      </c>
      <c r="G86" s="317" t="s">
        <v>511</v>
      </c>
      <c r="H86" s="318" t="s">
        <v>53</v>
      </c>
      <c r="I86" s="319">
        <v>0.21</v>
      </c>
      <c r="J86" s="320" t="s">
        <v>427</v>
      </c>
      <c r="K86" s="321">
        <v>307011.57</v>
      </c>
      <c r="L86" s="321">
        <f t="shared" si="19"/>
        <v>153505.79</v>
      </c>
      <c r="M86" s="321">
        <f t="shared" si="20"/>
        <v>153505.78</v>
      </c>
      <c r="N86" s="322">
        <v>0.5</v>
      </c>
      <c r="O86" s="323"/>
      <c r="P86" s="324"/>
      <c r="Q86" s="324"/>
      <c r="R86" s="324"/>
      <c r="S86" s="324">
        <f t="shared" si="12"/>
        <v>153505.79</v>
      </c>
      <c r="T86" s="324"/>
      <c r="U86" s="324"/>
      <c r="V86" s="324"/>
      <c r="W86" s="325"/>
      <c r="X86" s="310"/>
      <c r="Y86" s="297" t="b">
        <f t="shared" si="21"/>
        <v>1</v>
      </c>
      <c r="Z86" s="311">
        <f t="shared" si="22"/>
        <v>0.5</v>
      </c>
      <c r="AA86" s="312" t="b">
        <f t="shared" si="23"/>
        <v>1</v>
      </c>
      <c r="AB86" s="312" t="b">
        <f t="shared" si="24"/>
        <v>1</v>
      </c>
    </row>
    <row r="87" spans="1:29" s="331" customFormat="1" ht="29.25" customHeight="1" x14ac:dyDescent="0.3">
      <c r="A87" s="313">
        <v>85</v>
      </c>
      <c r="B87" s="314" t="s">
        <v>514</v>
      </c>
      <c r="C87" s="315" t="s">
        <v>213</v>
      </c>
      <c r="D87" s="316" t="s">
        <v>336</v>
      </c>
      <c r="E87" s="316" t="s">
        <v>124</v>
      </c>
      <c r="F87" s="314" t="s">
        <v>183</v>
      </c>
      <c r="G87" s="317" t="s">
        <v>515</v>
      </c>
      <c r="H87" s="318" t="s">
        <v>53</v>
      </c>
      <c r="I87" s="319">
        <v>0.96199999999999997</v>
      </c>
      <c r="J87" s="320" t="s">
        <v>216</v>
      </c>
      <c r="K87" s="321">
        <v>2687805.7</v>
      </c>
      <c r="L87" s="321">
        <f>ROUND(K87*N87,2)</f>
        <v>1612683.42</v>
      </c>
      <c r="M87" s="321">
        <f>K87-L87</f>
        <v>1075122.2800000003</v>
      </c>
      <c r="N87" s="322">
        <v>0.6</v>
      </c>
      <c r="O87" s="323"/>
      <c r="P87" s="324"/>
      <c r="Q87" s="324"/>
      <c r="R87" s="324"/>
      <c r="S87" s="324">
        <f>L87</f>
        <v>1612683.42</v>
      </c>
      <c r="T87" s="324"/>
      <c r="U87" s="324"/>
      <c r="V87" s="324"/>
      <c r="W87" s="325"/>
      <c r="X87" s="242"/>
      <c r="Y87" s="353" t="b">
        <f>L87=SUM(O87:X87)</f>
        <v>1</v>
      </c>
      <c r="Z87" s="354">
        <f>ROUND(L87/K87,4)</f>
        <v>0.6</v>
      </c>
      <c r="AA87" s="355" t="b">
        <f>Z87=N87</f>
        <v>1</v>
      </c>
      <c r="AB87" s="355" t="b">
        <f>K87=L87+M87</f>
        <v>1</v>
      </c>
      <c r="AC87" s="356"/>
    </row>
    <row r="88" spans="1:29" ht="20.399999999999999" x14ac:dyDescent="0.2">
      <c r="A88" s="282" t="s">
        <v>609</v>
      </c>
      <c r="B88" s="314" t="s">
        <v>512</v>
      </c>
      <c r="C88" s="315" t="s">
        <v>213</v>
      </c>
      <c r="D88" s="316" t="s">
        <v>94</v>
      </c>
      <c r="E88" s="316" t="s">
        <v>95</v>
      </c>
      <c r="F88" s="314" t="s">
        <v>96</v>
      </c>
      <c r="G88" s="317" t="s">
        <v>513</v>
      </c>
      <c r="H88" s="318" t="s">
        <v>53</v>
      </c>
      <c r="I88" s="319">
        <v>0.98699999999999999</v>
      </c>
      <c r="J88" s="320" t="s">
        <v>220</v>
      </c>
      <c r="K88" s="321">
        <v>3240155.49</v>
      </c>
      <c r="L88" s="321">
        <v>270742.06</v>
      </c>
      <c r="M88" s="321">
        <f t="shared" si="20"/>
        <v>2969413.43</v>
      </c>
      <c r="N88" s="322">
        <v>0.6</v>
      </c>
      <c r="O88" s="323"/>
      <c r="P88" s="324"/>
      <c r="Q88" s="324"/>
      <c r="R88" s="324"/>
      <c r="S88" s="324">
        <v>270742.06</v>
      </c>
      <c r="T88" s="324"/>
      <c r="U88" s="324"/>
      <c r="V88" s="324"/>
      <c r="W88" s="325"/>
      <c r="X88" s="310"/>
      <c r="Y88" s="297" t="b">
        <f t="shared" si="21"/>
        <v>1</v>
      </c>
      <c r="Z88" s="311">
        <f t="shared" si="22"/>
        <v>8.3599999999999994E-2</v>
      </c>
      <c r="AA88" s="312" t="b">
        <f t="shared" si="23"/>
        <v>0</v>
      </c>
      <c r="AB88" s="312" t="b">
        <f t="shared" si="24"/>
        <v>1</v>
      </c>
    </row>
    <row r="89" spans="1:29" x14ac:dyDescent="0.2">
      <c r="A89" s="332" t="s">
        <v>45</v>
      </c>
      <c r="B89" s="333"/>
      <c r="C89" s="333"/>
      <c r="D89" s="333"/>
      <c r="E89" s="333"/>
      <c r="F89" s="333"/>
      <c r="G89" s="333"/>
      <c r="H89" s="334"/>
      <c r="I89" s="139">
        <f>SUM(I3:I88)</f>
        <v>82.956000000000003</v>
      </c>
      <c r="J89" s="335" t="s">
        <v>14</v>
      </c>
      <c r="K89" s="336">
        <f>SUM(K3:K88)</f>
        <v>269928902.08999991</v>
      </c>
      <c r="L89" s="336">
        <f>SUM(L3:L88)</f>
        <v>147160000.97999996</v>
      </c>
      <c r="M89" s="336">
        <f>SUM(M3:M88)</f>
        <v>122768901.10999994</v>
      </c>
      <c r="N89" s="121" t="s">
        <v>14</v>
      </c>
      <c r="O89" s="336">
        <f t="shared" ref="O89:X89" si="25">SUM(O3:O88)</f>
        <v>0</v>
      </c>
      <c r="P89" s="336">
        <f t="shared" si="25"/>
        <v>0</v>
      </c>
      <c r="Q89" s="337">
        <f t="shared" si="25"/>
        <v>517744</v>
      </c>
      <c r="R89" s="337">
        <f t="shared" si="25"/>
        <v>12736401.399999997</v>
      </c>
      <c r="S89" s="337">
        <f t="shared" si="25"/>
        <v>107614471.47999999</v>
      </c>
      <c r="T89" s="337">
        <f t="shared" si="25"/>
        <v>26291384.100000001</v>
      </c>
      <c r="U89" s="337">
        <f t="shared" si="25"/>
        <v>0</v>
      </c>
      <c r="V89" s="337">
        <f t="shared" si="25"/>
        <v>0</v>
      </c>
      <c r="W89" s="337">
        <f t="shared" si="25"/>
        <v>0</v>
      </c>
      <c r="X89" s="337">
        <f t="shared" si="25"/>
        <v>0</v>
      </c>
      <c r="Y89" s="297" t="b">
        <f>L89=SUM(O89:X89)</f>
        <v>1</v>
      </c>
      <c r="Z89" s="311">
        <f>ROUND(L89/K89,4)</f>
        <v>0.54520000000000002</v>
      </c>
      <c r="AA89" s="312" t="s">
        <v>14</v>
      </c>
      <c r="AB89" s="312" t="b">
        <f>K89=L89+M89</f>
        <v>1</v>
      </c>
    </row>
    <row r="90" spans="1:29" x14ac:dyDescent="0.2">
      <c r="A90" s="332" t="s">
        <v>38</v>
      </c>
      <c r="B90" s="333"/>
      <c r="C90" s="333"/>
      <c r="D90" s="333"/>
      <c r="E90" s="333"/>
      <c r="F90" s="333"/>
      <c r="G90" s="333"/>
      <c r="H90" s="334"/>
      <c r="I90" s="139">
        <f>SUMIF($C$3:$C$88,"K",I3:I88)</f>
        <v>15.830999999999998</v>
      </c>
      <c r="J90" s="335" t="s">
        <v>14</v>
      </c>
      <c r="K90" s="336">
        <f>SUMIF($C$3:$C$88,"K",K3:K88)</f>
        <v>58301989.509999998</v>
      </c>
      <c r="L90" s="336">
        <f>SUMIF($C$3:$C$88,"K",L3:L88)</f>
        <v>28801408.999999996</v>
      </c>
      <c r="M90" s="336">
        <f>SUMIF($C$3:$C$88,"K",M3:M88)</f>
        <v>29500580.509999998</v>
      </c>
      <c r="N90" s="121" t="s">
        <v>14</v>
      </c>
      <c r="O90" s="336">
        <f t="shared" ref="O90:X90" si="26">SUMIF($C$3:$C$88,"K",O3:O88)</f>
        <v>0</v>
      </c>
      <c r="P90" s="336">
        <f t="shared" si="26"/>
        <v>0</v>
      </c>
      <c r="Q90" s="337">
        <f t="shared" si="26"/>
        <v>517744</v>
      </c>
      <c r="R90" s="337">
        <f t="shared" si="26"/>
        <v>12736401.399999997</v>
      </c>
      <c r="S90" s="337">
        <f t="shared" si="26"/>
        <v>15137390.810000001</v>
      </c>
      <c r="T90" s="337">
        <f t="shared" si="26"/>
        <v>409872.78999999992</v>
      </c>
      <c r="U90" s="337">
        <f t="shared" si="26"/>
        <v>0</v>
      </c>
      <c r="V90" s="337">
        <f t="shared" si="26"/>
        <v>0</v>
      </c>
      <c r="W90" s="337">
        <f t="shared" si="26"/>
        <v>0</v>
      </c>
      <c r="X90" s="337">
        <f t="shared" si="26"/>
        <v>0</v>
      </c>
      <c r="Y90" s="297" t="b">
        <f>L90=SUM(O90:X90)</f>
        <v>1</v>
      </c>
      <c r="Z90" s="311">
        <f>ROUND(L90/K90,4)</f>
        <v>0.49399999999999999</v>
      </c>
      <c r="AA90" s="312" t="s">
        <v>14</v>
      </c>
      <c r="AB90" s="312" t="b">
        <f>K90=L90+M90</f>
        <v>1</v>
      </c>
    </row>
    <row r="91" spans="1:29" x14ac:dyDescent="0.2">
      <c r="A91" s="332" t="s">
        <v>39</v>
      </c>
      <c r="B91" s="333"/>
      <c r="C91" s="333"/>
      <c r="D91" s="333"/>
      <c r="E91" s="333"/>
      <c r="F91" s="333"/>
      <c r="G91" s="333"/>
      <c r="H91" s="334"/>
      <c r="I91" s="139">
        <f>SUMIF($C$3:$C$88,"N",I3:I88)</f>
        <v>60.448999999999998</v>
      </c>
      <c r="J91" s="335" t="s">
        <v>14</v>
      </c>
      <c r="K91" s="336">
        <f>SUMIF($C$3:$C$88,"N",K3:K88)</f>
        <v>132677799.92000002</v>
      </c>
      <c r="L91" s="336">
        <f>SUMIF($C$3:$C$88,"N",L3:L88)</f>
        <v>70491252.090000033</v>
      </c>
      <c r="M91" s="336">
        <f>SUMIF($C$3:$C$88,"N",M3:M88)</f>
        <v>62186547.830000028</v>
      </c>
      <c r="N91" s="121" t="s">
        <v>14</v>
      </c>
      <c r="O91" s="336">
        <f t="shared" ref="O91:X91" si="27">SUMIF($C$3:$C$88,"N",O3:O88)</f>
        <v>0</v>
      </c>
      <c r="P91" s="336">
        <f t="shared" si="27"/>
        <v>0</v>
      </c>
      <c r="Q91" s="337">
        <f t="shared" si="27"/>
        <v>0</v>
      </c>
      <c r="R91" s="337">
        <f t="shared" si="27"/>
        <v>0</v>
      </c>
      <c r="S91" s="337">
        <f t="shared" si="27"/>
        <v>70491252.090000033</v>
      </c>
      <c r="T91" s="337">
        <f t="shared" si="27"/>
        <v>0</v>
      </c>
      <c r="U91" s="337">
        <f t="shared" si="27"/>
        <v>0</v>
      </c>
      <c r="V91" s="337">
        <f t="shared" si="27"/>
        <v>0</v>
      </c>
      <c r="W91" s="337">
        <f t="shared" si="27"/>
        <v>0</v>
      </c>
      <c r="X91" s="337">
        <f t="shared" si="27"/>
        <v>0</v>
      </c>
      <c r="Y91" s="297" t="b">
        <f>L91=SUM(O91:X91)</f>
        <v>1</v>
      </c>
      <c r="Z91" s="311">
        <f>ROUND(L91/K91,4)</f>
        <v>0.53129999999999999</v>
      </c>
      <c r="AA91" s="312" t="s">
        <v>14</v>
      </c>
      <c r="AB91" s="312" t="b">
        <f>K91=L91+M91</f>
        <v>1</v>
      </c>
    </row>
    <row r="92" spans="1:29" x14ac:dyDescent="0.2">
      <c r="A92" s="338" t="s">
        <v>40</v>
      </c>
      <c r="B92" s="339"/>
      <c r="C92" s="339"/>
      <c r="D92" s="339"/>
      <c r="E92" s="339"/>
      <c r="F92" s="339"/>
      <c r="G92" s="339"/>
      <c r="H92" s="340"/>
      <c r="I92" s="140">
        <f>SUMIF($C$3:$C$88,"W",I3:I88)</f>
        <v>6.6759999999999993</v>
      </c>
      <c r="J92" s="341" t="s">
        <v>14</v>
      </c>
      <c r="K92" s="342">
        <f>SUMIF($C$3:$C$88,"W",K3:K88)</f>
        <v>78949112.660000011</v>
      </c>
      <c r="L92" s="342">
        <f>SUMIF($C$3:$C$88,"W",L3:L88)</f>
        <v>47867339.890000001</v>
      </c>
      <c r="M92" s="342">
        <f>SUMIF($C$3:$C$88,"W",M3:M88)</f>
        <v>31081772.769999996</v>
      </c>
      <c r="N92" s="122" t="s">
        <v>14</v>
      </c>
      <c r="O92" s="342">
        <f t="shared" ref="O92:X92" si="28">SUMIF($C$3:$C$88,"W",O3:O88)</f>
        <v>0</v>
      </c>
      <c r="P92" s="342">
        <f t="shared" si="28"/>
        <v>0</v>
      </c>
      <c r="Q92" s="343">
        <f t="shared" si="28"/>
        <v>0</v>
      </c>
      <c r="R92" s="343">
        <f t="shared" si="28"/>
        <v>0</v>
      </c>
      <c r="S92" s="343">
        <f t="shared" si="28"/>
        <v>21985828.580000002</v>
      </c>
      <c r="T92" s="343">
        <f t="shared" si="28"/>
        <v>25881511.310000002</v>
      </c>
      <c r="U92" s="343">
        <f t="shared" si="28"/>
        <v>0</v>
      </c>
      <c r="V92" s="343">
        <f t="shared" si="28"/>
        <v>0</v>
      </c>
      <c r="W92" s="343">
        <f t="shared" si="28"/>
        <v>0</v>
      </c>
      <c r="X92" s="343">
        <f t="shared" si="28"/>
        <v>0</v>
      </c>
      <c r="Y92" s="297" t="b">
        <f>L92=SUM(O92:X92)</f>
        <v>1</v>
      </c>
      <c r="Z92" s="311">
        <f t="shared" ref="Z92" si="29">ROUND(L92/K92,4)</f>
        <v>0.60629999999999995</v>
      </c>
      <c r="AA92" s="312" t="s">
        <v>14</v>
      </c>
      <c r="AB92" s="312" t="b">
        <f t="shared" ref="AB92" si="30">K92=L92+M92</f>
        <v>1</v>
      </c>
    </row>
    <row r="93" spans="1:29" x14ac:dyDescent="0.2">
      <c r="A93" s="344"/>
      <c r="K93" s="347"/>
    </row>
    <row r="94" spans="1:29" x14ac:dyDescent="0.2">
      <c r="A94" s="348" t="s">
        <v>25</v>
      </c>
    </row>
    <row r="95" spans="1:29" x14ac:dyDescent="0.2">
      <c r="A95" s="349" t="s">
        <v>26</v>
      </c>
      <c r="K95" s="350"/>
      <c r="L95" s="351"/>
      <c r="S95" s="351"/>
    </row>
    <row r="96" spans="1:29" x14ac:dyDescent="0.2">
      <c r="A96" s="348" t="s">
        <v>43</v>
      </c>
      <c r="S96" s="351"/>
    </row>
    <row r="97" spans="1:1" x14ac:dyDescent="0.2">
      <c r="A97" s="352" t="s">
        <v>48</v>
      </c>
    </row>
  </sheetData>
  <sortState ref="A12:AB87">
    <sortCondition descending="1" ref="I12:I87"/>
  </sortState>
  <mergeCells count="19">
    <mergeCell ref="O1:X1"/>
    <mergeCell ref="L1:L2"/>
    <mergeCell ref="M1:M2"/>
    <mergeCell ref="A89:H89"/>
    <mergeCell ref="H1:H2"/>
    <mergeCell ref="I1:I2"/>
    <mergeCell ref="J1:J2"/>
    <mergeCell ref="K1:K2"/>
    <mergeCell ref="A1:A2"/>
    <mergeCell ref="B1:B2"/>
    <mergeCell ref="C1:C2"/>
    <mergeCell ref="F1:F2"/>
    <mergeCell ref="G1:G2"/>
    <mergeCell ref="D1:D2"/>
    <mergeCell ref="A92:H92"/>
    <mergeCell ref="A91:H91"/>
    <mergeCell ref="E1:E2"/>
    <mergeCell ref="A90:H90"/>
    <mergeCell ref="N1:N2"/>
  </mergeCells>
  <conditionalFormatting sqref="Y3:AB82 Y84:AB86 Y88:AB90">
    <cfRule type="cellIs" dxfId="49" priority="22" operator="equal">
      <formula>FALSE</formula>
    </cfRule>
  </conditionalFormatting>
  <conditionalFormatting sqref="Y3:AA82 Y84:AA86 Y88:AA90">
    <cfRule type="containsText" dxfId="48" priority="20" operator="containsText" text="fałsz">
      <formula>NOT(ISERROR(SEARCH("fałsz",Y3)))</formula>
    </cfRule>
  </conditionalFormatting>
  <conditionalFormatting sqref="Z92:AA92">
    <cfRule type="cellIs" dxfId="47" priority="17" operator="equal">
      <formula>FALSE</formula>
    </cfRule>
  </conditionalFormatting>
  <conditionalFormatting sqref="Y92:AA92">
    <cfRule type="containsText" dxfId="46" priority="15" operator="containsText" text="fałsz">
      <formula>NOT(ISERROR(SEARCH("fałsz",Y92)))</formula>
    </cfRule>
  </conditionalFormatting>
  <conditionalFormatting sqref="Y92">
    <cfRule type="cellIs" dxfId="45" priority="16" operator="equal">
      <formula>FALSE</formula>
    </cfRule>
  </conditionalFormatting>
  <conditionalFormatting sqref="AB92">
    <cfRule type="cellIs" dxfId="44" priority="14" operator="equal">
      <formula>FALSE</formula>
    </cfRule>
  </conditionalFormatting>
  <conditionalFormatting sqref="AB92">
    <cfRule type="cellIs" dxfId="43" priority="13" operator="equal">
      <formula>FALSE</formula>
    </cfRule>
  </conditionalFormatting>
  <conditionalFormatting sqref="Z91:AA91">
    <cfRule type="cellIs" dxfId="42" priority="12" operator="equal">
      <formula>FALSE</formula>
    </cfRule>
  </conditionalFormatting>
  <conditionalFormatting sqref="Y91">
    <cfRule type="cellIs" dxfId="41" priority="11" operator="equal">
      <formula>FALSE</formula>
    </cfRule>
  </conditionalFormatting>
  <conditionalFormatting sqref="Y91:AA91">
    <cfRule type="containsText" dxfId="40" priority="10" operator="containsText" text="fałsz">
      <formula>NOT(ISERROR(SEARCH("fałsz",Y91)))</formula>
    </cfRule>
  </conditionalFormatting>
  <conditionalFormatting sqref="AB91">
    <cfRule type="cellIs" dxfId="39" priority="9" operator="equal">
      <formula>FALSE</formula>
    </cfRule>
  </conditionalFormatting>
  <conditionalFormatting sqref="AB91">
    <cfRule type="cellIs" dxfId="38" priority="8" operator="equal">
      <formula>FALSE</formula>
    </cfRule>
  </conditionalFormatting>
  <conditionalFormatting sqref="Y83:AA83">
    <cfRule type="containsText" dxfId="37" priority="5" operator="containsText" text="fałsz">
      <formula>NOT(ISERROR(SEARCH("fałsz",Y83)))</formula>
    </cfRule>
  </conditionalFormatting>
  <conditionalFormatting sqref="Z83:AA83">
    <cfRule type="cellIs" dxfId="36" priority="7" operator="equal">
      <formula>FALSE</formula>
    </cfRule>
  </conditionalFormatting>
  <conditionalFormatting sqref="Y83">
    <cfRule type="cellIs" dxfId="35" priority="6" operator="equal">
      <formula>FALSE</formula>
    </cfRule>
  </conditionalFormatting>
  <conditionalFormatting sqref="AB83">
    <cfRule type="cellIs" dxfId="34" priority="4" operator="equal">
      <formula>FALSE</formula>
    </cfRule>
  </conditionalFormatting>
  <conditionalFormatting sqref="AB83">
    <cfRule type="cellIs" dxfId="33" priority="3" operator="equal">
      <formula>FALSE</formula>
    </cfRule>
  </conditionalFormatting>
  <conditionalFormatting sqref="Y87:AB87">
    <cfRule type="cellIs" dxfId="32" priority="2" operator="equal">
      <formula>FALSE</formula>
    </cfRule>
  </conditionalFormatting>
  <dataValidations count="2">
    <dataValidation type="list" allowBlank="1" showInputMessage="1" showErrorMessage="1" sqref="H3:H88" xr:uid="{00000000-0002-0000-0200-000000000000}">
      <formula1>"B,P,R"</formula1>
    </dataValidation>
    <dataValidation type="list" allowBlank="1" showInputMessage="1" showErrorMessage="1" sqref="C3:C88" xr:uid="{00000000-0002-0000-0200-000001000000}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50" fitToHeight="0" orientation="landscape" r:id="rId1"/>
  <headerFooter>
    <oddHeader>&amp;LWojewództwo Lubelskie - zadania gminne lista podstawowa</oddHeader>
    <oddFooter>Strona &amp;P z &amp;N</oddFooter>
  </headerFooter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text="fałsz" id="{06CCC541-EDAE-47FA-9781-DB230DF988F6}">
            <xm:f>NOT(ISERROR(SEARCH("fałsz",'gm rez'!Y86)))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Y87:AA87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9"/>
  <sheetViews>
    <sheetView showGridLines="0" view="pageBreakPreview" zoomScale="90" zoomScaleNormal="78" zoomScaleSheetLayoutView="90" workbookViewId="0">
      <selection sqref="A1:A2"/>
    </sheetView>
  </sheetViews>
  <sheetFormatPr defaultColWidth="9.109375" defaultRowHeight="14.4" x14ac:dyDescent="0.3"/>
  <cols>
    <col min="1" max="1" width="8" style="13" customWidth="1"/>
    <col min="2" max="5" width="15.6640625" style="13" customWidth="1"/>
    <col min="6" max="6" width="50.88671875" style="13" customWidth="1"/>
    <col min="7" max="9" width="15.6640625" style="13" customWidth="1"/>
    <col min="10" max="10" width="15.6640625" style="34" customWidth="1"/>
    <col min="11" max="12" width="15.6640625" style="13" customWidth="1"/>
    <col min="13" max="13" width="15.6640625" style="1" customWidth="1"/>
    <col min="14" max="27" width="15.6640625" style="13" customWidth="1"/>
    <col min="28" max="16384" width="9.109375" style="13"/>
  </cols>
  <sheetData>
    <row r="1" spans="1:27" ht="20.100000000000001" customHeight="1" x14ac:dyDescent="0.3">
      <c r="A1" s="234" t="s">
        <v>4</v>
      </c>
      <c r="B1" s="234" t="s">
        <v>5</v>
      </c>
      <c r="C1" s="235" t="s">
        <v>46</v>
      </c>
      <c r="D1" s="236" t="s">
        <v>6</v>
      </c>
      <c r="E1" s="235" t="s">
        <v>33</v>
      </c>
      <c r="F1" s="236" t="s">
        <v>7</v>
      </c>
      <c r="G1" s="234" t="s">
        <v>27</v>
      </c>
      <c r="H1" s="234" t="s">
        <v>8</v>
      </c>
      <c r="I1" s="234" t="s">
        <v>24</v>
      </c>
      <c r="J1" s="234" t="s">
        <v>9</v>
      </c>
      <c r="K1" s="234" t="s">
        <v>10</v>
      </c>
      <c r="L1" s="236" t="s">
        <v>13</v>
      </c>
      <c r="M1" s="234" t="s">
        <v>11</v>
      </c>
      <c r="N1" s="234" t="s">
        <v>12</v>
      </c>
      <c r="O1" s="234"/>
      <c r="P1" s="234"/>
      <c r="Q1" s="234"/>
      <c r="R1" s="234"/>
      <c r="S1" s="234"/>
      <c r="T1" s="234"/>
      <c r="U1" s="234"/>
      <c r="V1" s="234"/>
      <c r="W1" s="234"/>
      <c r="X1" s="331"/>
      <c r="Y1" s="331"/>
      <c r="Z1" s="331"/>
      <c r="AA1" s="331"/>
    </row>
    <row r="2" spans="1:27" ht="20.100000000000001" customHeight="1" x14ac:dyDescent="0.3">
      <c r="A2" s="234"/>
      <c r="B2" s="234"/>
      <c r="C2" s="240"/>
      <c r="D2" s="241"/>
      <c r="E2" s="240"/>
      <c r="F2" s="241"/>
      <c r="G2" s="234"/>
      <c r="H2" s="234"/>
      <c r="I2" s="234"/>
      <c r="J2" s="234"/>
      <c r="K2" s="234"/>
      <c r="L2" s="241"/>
      <c r="M2" s="234"/>
      <c r="N2" s="242">
        <v>2019</v>
      </c>
      <c r="O2" s="242">
        <v>2020</v>
      </c>
      <c r="P2" s="242">
        <v>2021</v>
      </c>
      <c r="Q2" s="242">
        <v>2022</v>
      </c>
      <c r="R2" s="242">
        <v>2023</v>
      </c>
      <c r="S2" s="242">
        <v>2024</v>
      </c>
      <c r="T2" s="242">
        <v>2025</v>
      </c>
      <c r="U2" s="242">
        <v>2026</v>
      </c>
      <c r="V2" s="242">
        <v>2027</v>
      </c>
      <c r="W2" s="242">
        <v>2028</v>
      </c>
      <c r="X2" s="238" t="s">
        <v>29</v>
      </c>
      <c r="Y2" s="238" t="s">
        <v>30</v>
      </c>
      <c r="Z2" s="238" t="s">
        <v>31</v>
      </c>
      <c r="AA2" s="243" t="s">
        <v>32</v>
      </c>
    </row>
    <row r="3" spans="1:27" s="212" customFormat="1" ht="22.8" x14ac:dyDescent="0.3">
      <c r="A3" s="123">
        <v>1</v>
      </c>
      <c r="B3" s="123" t="s">
        <v>280</v>
      </c>
      <c r="C3" s="123" t="s">
        <v>213</v>
      </c>
      <c r="D3" s="123" t="s">
        <v>51</v>
      </c>
      <c r="E3" s="123" t="s">
        <v>207</v>
      </c>
      <c r="F3" s="207" t="s">
        <v>281</v>
      </c>
      <c r="G3" s="130" t="s">
        <v>53</v>
      </c>
      <c r="H3" s="125">
        <v>2.0510000000000002</v>
      </c>
      <c r="I3" s="126" t="s">
        <v>216</v>
      </c>
      <c r="J3" s="127">
        <v>5389363.21</v>
      </c>
      <c r="K3" s="274">
        <f>0.6*J3</f>
        <v>3233617.926</v>
      </c>
      <c r="L3" s="129">
        <f t="shared" ref="L3:L10" si="0">J3-K3</f>
        <v>2155745.284</v>
      </c>
      <c r="M3" s="141">
        <f>K3/J3</f>
        <v>0.6</v>
      </c>
      <c r="N3" s="271"/>
      <c r="O3" s="272"/>
      <c r="P3" s="272"/>
      <c r="Q3" s="272"/>
      <c r="R3" s="272">
        <f t="shared" ref="R3:R10" si="1">K3</f>
        <v>3233617.926</v>
      </c>
      <c r="S3" s="275"/>
      <c r="T3" s="273"/>
      <c r="U3" s="279"/>
      <c r="V3" s="279"/>
      <c r="W3" s="279"/>
      <c r="X3" s="238" t="b">
        <f t="shared" ref="X3:X14" si="2">K3=SUM(N3:W3)</f>
        <v>1</v>
      </c>
      <c r="Y3" s="280">
        <f t="shared" ref="Y3:Y13" si="3">ROUND(K3/J3,4)</f>
        <v>0.6</v>
      </c>
      <c r="Z3" s="281" t="b">
        <f t="shared" ref="Z3:Z11" si="4">Y3=M3</f>
        <v>1</v>
      </c>
      <c r="AA3" s="281" t="b">
        <f t="shared" ref="AA3:AA13" si="5">J3=K3+L3</f>
        <v>1</v>
      </c>
    </row>
    <row r="4" spans="1:27" s="212" customFormat="1" ht="22.8" x14ac:dyDescent="0.3">
      <c r="A4" s="123">
        <v>2</v>
      </c>
      <c r="B4" s="123" t="s">
        <v>278</v>
      </c>
      <c r="C4" s="123" t="s">
        <v>213</v>
      </c>
      <c r="D4" s="357" t="s">
        <v>269</v>
      </c>
      <c r="E4" s="123" t="s">
        <v>203</v>
      </c>
      <c r="F4" s="207" t="s">
        <v>279</v>
      </c>
      <c r="G4" s="130" t="s">
        <v>53</v>
      </c>
      <c r="H4" s="125">
        <v>1.77</v>
      </c>
      <c r="I4" s="126" t="s">
        <v>216</v>
      </c>
      <c r="J4" s="127">
        <v>6070350.7800000003</v>
      </c>
      <c r="K4" s="274">
        <f>0.8*J4</f>
        <v>4856280.6240000008</v>
      </c>
      <c r="L4" s="129">
        <f t="shared" si="0"/>
        <v>1214070.1559999995</v>
      </c>
      <c r="M4" s="141">
        <f>K4/J4</f>
        <v>0.8</v>
      </c>
      <c r="N4" s="271"/>
      <c r="O4" s="272"/>
      <c r="P4" s="272"/>
      <c r="Q4" s="272"/>
      <c r="R4" s="272">
        <f t="shared" si="1"/>
        <v>4856280.6240000008</v>
      </c>
      <c r="S4" s="275"/>
      <c r="T4" s="273"/>
      <c r="U4" s="279"/>
      <c r="V4" s="279"/>
      <c r="W4" s="279"/>
      <c r="X4" s="238" t="b">
        <f t="shared" ref="X4:X11" si="6">K4=SUM(N4:W4)</f>
        <v>1</v>
      </c>
      <c r="Y4" s="280">
        <f t="shared" ref="Y4:Y11" si="7">ROUND(K4/J4,4)</f>
        <v>0.8</v>
      </c>
      <c r="Z4" s="281" t="b">
        <f t="shared" ref="Z4:Z11" si="8">Y4=M4</f>
        <v>1</v>
      </c>
      <c r="AA4" s="281" t="b">
        <f t="shared" ref="AA4:AA11" si="9">J4=K4+L4</f>
        <v>1</v>
      </c>
    </row>
    <row r="5" spans="1:27" s="39" customFormat="1" ht="22.8" x14ac:dyDescent="0.3">
      <c r="A5" s="358">
        <v>3</v>
      </c>
      <c r="B5" s="132" t="s">
        <v>274</v>
      </c>
      <c r="C5" s="132" t="s">
        <v>213</v>
      </c>
      <c r="D5" s="132" t="s">
        <v>222</v>
      </c>
      <c r="E5" s="123" t="s">
        <v>193</v>
      </c>
      <c r="F5" s="208" t="s">
        <v>275</v>
      </c>
      <c r="G5" s="124" t="s">
        <v>53</v>
      </c>
      <c r="H5" s="134">
        <v>4.032</v>
      </c>
      <c r="I5" s="135" t="s">
        <v>224</v>
      </c>
      <c r="J5" s="136">
        <v>10887927.43</v>
      </c>
      <c r="K5" s="274">
        <f t="shared" ref="K5:K11" si="10">ROUND(J5*M5,2)</f>
        <v>6532756.46</v>
      </c>
      <c r="L5" s="129">
        <f t="shared" si="0"/>
        <v>4355170.97</v>
      </c>
      <c r="M5" s="142">
        <v>0.6</v>
      </c>
      <c r="N5" s="271"/>
      <c r="O5" s="272"/>
      <c r="P5" s="272"/>
      <c r="Q5" s="272"/>
      <c r="R5" s="272">
        <f t="shared" si="1"/>
        <v>6532756.46</v>
      </c>
      <c r="S5" s="275"/>
      <c r="T5" s="273"/>
      <c r="U5" s="279"/>
      <c r="V5" s="279"/>
      <c r="W5" s="279"/>
      <c r="X5" s="238" t="b">
        <f t="shared" si="6"/>
        <v>1</v>
      </c>
      <c r="Y5" s="280">
        <f t="shared" si="7"/>
        <v>0.6</v>
      </c>
      <c r="Z5" s="281" t="b">
        <f t="shared" si="8"/>
        <v>1</v>
      </c>
      <c r="AA5" s="281" t="b">
        <f t="shared" si="9"/>
        <v>1</v>
      </c>
    </row>
    <row r="6" spans="1:27" s="39" customFormat="1" ht="22.8" x14ac:dyDescent="0.3">
      <c r="A6" s="358">
        <v>4</v>
      </c>
      <c r="B6" s="123" t="s">
        <v>276</v>
      </c>
      <c r="C6" s="123" t="s">
        <v>213</v>
      </c>
      <c r="D6" s="123" t="s">
        <v>261</v>
      </c>
      <c r="E6" s="123" t="s">
        <v>192</v>
      </c>
      <c r="F6" s="207" t="s">
        <v>277</v>
      </c>
      <c r="G6" s="130" t="s">
        <v>53</v>
      </c>
      <c r="H6" s="125">
        <v>2.7570000000000001</v>
      </c>
      <c r="I6" s="131" t="s">
        <v>263</v>
      </c>
      <c r="J6" s="128">
        <v>4952392.29</v>
      </c>
      <c r="K6" s="274">
        <f t="shared" si="10"/>
        <v>2971435.37</v>
      </c>
      <c r="L6" s="129">
        <f t="shared" si="0"/>
        <v>1980956.92</v>
      </c>
      <c r="M6" s="141">
        <v>0.6</v>
      </c>
      <c r="N6" s="271"/>
      <c r="O6" s="272"/>
      <c r="P6" s="272"/>
      <c r="Q6" s="272"/>
      <c r="R6" s="272">
        <f t="shared" si="1"/>
        <v>2971435.37</v>
      </c>
      <c r="S6" s="275"/>
      <c r="T6" s="273"/>
      <c r="U6" s="279"/>
      <c r="V6" s="279"/>
      <c r="W6" s="279"/>
      <c r="X6" s="238" t="b">
        <f t="shared" si="6"/>
        <v>1</v>
      </c>
      <c r="Y6" s="280">
        <f t="shared" si="7"/>
        <v>0.6</v>
      </c>
      <c r="Z6" s="281" t="b">
        <f t="shared" si="8"/>
        <v>1</v>
      </c>
      <c r="AA6" s="281" t="b">
        <f t="shared" si="9"/>
        <v>1</v>
      </c>
    </row>
    <row r="7" spans="1:27" s="39" customFormat="1" ht="22.8" x14ac:dyDescent="0.3">
      <c r="A7" s="358">
        <v>5</v>
      </c>
      <c r="B7" s="123" t="s">
        <v>282</v>
      </c>
      <c r="C7" s="123" t="s">
        <v>213</v>
      </c>
      <c r="D7" s="123" t="s">
        <v>72</v>
      </c>
      <c r="E7" s="123" t="s">
        <v>199</v>
      </c>
      <c r="F7" s="207" t="s">
        <v>283</v>
      </c>
      <c r="G7" s="130" t="s">
        <v>53</v>
      </c>
      <c r="H7" s="125">
        <v>2.48</v>
      </c>
      <c r="I7" s="126" t="s">
        <v>273</v>
      </c>
      <c r="J7" s="127">
        <v>3607008.27</v>
      </c>
      <c r="K7" s="274">
        <f t="shared" si="10"/>
        <v>1803504.14</v>
      </c>
      <c r="L7" s="129">
        <f t="shared" si="0"/>
        <v>1803504.1300000001</v>
      </c>
      <c r="M7" s="141">
        <v>0.5</v>
      </c>
      <c r="N7" s="271"/>
      <c r="O7" s="272"/>
      <c r="P7" s="272"/>
      <c r="Q7" s="272"/>
      <c r="R7" s="272">
        <f t="shared" si="1"/>
        <v>1803504.14</v>
      </c>
      <c r="S7" s="275"/>
      <c r="T7" s="273"/>
      <c r="U7" s="279"/>
      <c r="V7" s="279"/>
      <c r="W7" s="279"/>
      <c r="X7" s="238" t="b">
        <f t="shared" si="6"/>
        <v>1</v>
      </c>
      <c r="Y7" s="280">
        <f t="shared" si="7"/>
        <v>0.5</v>
      </c>
      <c r="Z7" s="281" t="b">
        <f t="shared" si="8"/>
        <v>1</v>
      </c>
      <c r="AA7" s="281" t="b">
        <f t="shared" si="9"/>
        <v>1</v>
      </c>
    </row>
    <row r="8" spans="1:27" s="39" customFormat="1" ht="22.8" x14ac:dyDescent="0.3">
      <c r="A8" s="358">
        <v>6</v>
      </c>
      <c r="B8" s="123" t="s">
        <v>284</v>
      </c>
      <c r="C8" s="123" t="s">
        <v>213</v>
      </c>
      <c r="D8" s="123" t="s">
        <v>69</v>
      </c>
      <c r="E8" s="123" t="s">
        <v>196</v>
      </c>
      <c r="F8" s="207" t="s">
        <v>285</v>
      </c>
      <c r="G8" s="130" t="s">
        <v>53</v>
      </c>
      <c r="H8" s="125">
        <v>1.0780000000000001</v>
      </c>
      <c r="I8" s="131" t="s">
        <v>240</v>
      </c>
      <c r="J8" s="128">
        <v>2903645.54</v>
      </c>
      <c r="K8" s="274">
        <f t="shared" si="10"/>
        <v>1742187.32</v>
      </c>
      <c r="L8" s="129">
        <f t="shared" si="0"/>
        <v>1161458.22</v>
      </c>
      <c r="M8" s="141">
        <v>0.6</v>
      </c>
      <c r="N8" s="271"/>
      <c r="O8" s="272"/>
      <c r="P8" s="272"/>
      <c r="Q8" s="272"/>
      <c r="R8" s="272">
        <f t="shared" si="1"/>
        <v>1742187.32</v>
      </c>
      <c r="S8" s="275"/>
      <c r="T8" s="273"/>
      <c r="U8" s="279"/>
      <c r="V8" s="279"/>
      <c r="W8" s="279"/>
      <c r="X8" s="238" t="b">
        <f t="shared" si="6"/>
        <v>1</v>
      </c>
      <c r="Y8" s="280">
        <f t="shared" si="7"/>
        <v>0.6</v>
      </c>
      <c r="Z8" s="281" t="b">
        <f t="shared" si="8"/>
        <v>1</v>
      </c>
      <c r="AA8" s="281" t="b">
        <f t="shared" si="9"/>
        <v>1</v>
      </c>
    </row>
    <row r="9" spans="1:27" s="39" customFormat="1" ht="22.8" x14ac:dyDescent="0.3">
      <c r="A9" s="358">
        <v>7</v>
      </c>
      <c r="B9" s="132" t="s">
        <v>286</v>
      </c>
      <c r="C9" s="132" t="s">
        <v>213</v>
      </c>
      <c r="D9" s="137" t="s">
        <v>244</v>
      </c>
      <c r="E9" s="123" t="s">
        <v>198</v>
      </c>
      <c r="F9" s="208" t="s">
        <v>287</v>
      </c>
      <c r="G9" s="124" t="s">
        <v>53</v>
      </c>
      <c r="H9" s="134">
        <v>10.01</v>
      </c>
      <c r="I9" s="135" t="s">
        <v>246</v>
      </c>
      <c r="J9" s="138">
        <v>22421360.640000001</v>
      </c>
      <c r="K9" s="274">
        <f t="shared" si="10"/>
        <v>13452816.380000001</v>
      </c>
      <c r="L9" s="129">
        <f t="shared" si="0"/>
        <v>8968544.2599999998</v>
      </c>
      <c r="M9" s="142">
        <v>0.6</v>
      </c>
      <c r="N9" s="271"/>
      <c r="O9" s="272"/>
      <c r="P9" s="272"/>
      <c r="Q9" s="272"/>
      <c r="R9" s="272">
        <f t="shared" si="1"/>
        <v>13452816.380000001</v>
      </c>
      <c r="S9" s="275"/>
      <c r="T9" s="273"/>
      <c r="U9" s="279"/>
      <c r="V9" s="279"/>
      <c r="W9" s="279"/>
      <c r="X9" s="238" t="b">
        <f t="shared" si="6"/>
        <v>1</v>
      </c>
      <c r="Y9" s="280">
        <f t="shared" si="7"/>
        <v>0.6</v>
      </c>
      <c r="Z9" s="281" t="b">
        <f t="shared" si="8"/>
        <v>1</v>
      </c>
      <c r="AA9" s="281" t="b">
        <f t="shared" si="9"/>
        <v>1</v>
      </c>
    </row>
    <row r="10" spans="1:27" s="211" customFormat="1" ht="22.8" x14ac:dyDescent="0.3">
      <c r="A10" s="123">
        <v>8</v>
      </c>
      <c r="B10" s="123" t="s">
        <v>252</v>
      </c>
      <c r="C10" s="123" t="s">
        <v>213</v>
      </c>
      <c r="D10" s="123" t="s">
        <v>61</v>
      </c>
      <c r="E10" s="123" t="s">
        <v>206</v>
      </c>
      <c r="F10" s="207" t="s">
        <v>253</v>
      </c>
      <c r="G10" s="124" t="s">
        <v>56</v>
      </c>
      <c r="H10" s="125">
        <v>3.1190000000000002</v>
      </c>
      <c r="I10" s="131" t="s">
        <v>216</v>
      </c>
      <c r="J10" s="128">
        <v>9297492.0299999993</v>
      </c>
      <c r="K10" s="274">
        <f t="shared" si="10"/>
        <v>4648746.0199999996</v>
      </c>
      <c r="L10" s="129">
        <f t="shared" si="0"/>
        <v>4648746.01</v>
      </c>
      <c r="M10" s="141">
        <v>0.5</v>
      </c>
      <c r="N10" s="271"/>
      <c r="O10" s="272"/>
      <c r="P10" s="272"/>
      <c r="Q10" s="272"/>
      <c r="R10" s="272">
        <f t="shared" si="1"/>
        <v>4648746.0199999996</v>
      </c>
      <c r="S10" s="275"/>
      <c r="T10" s="273"/>
      <c r="U10" s="273"/>
      <c r="V10" s="273"/>
      <c r="W10" s="255"/>
      <c r="X10" s="238" t="b">
        <f t="shared" si="6"/>
        <v>1</v>
      </c>
      <c r="Y10" s="280">
        <f t="shared" si="7"/>
        <v>0.5</v>
      </c>
      <c r="Z10" s="281" t="b">
        <f t="shared" si="8"/>
        <v>1</v>
      </c>
      <c r="AA10" s="281" t="b">
        <f t="shared" si="9"/>
        <v>1</v>
      </c>
    </row>
    <row r="11" spans="1:27" s="211" customFormat="1" x14ac:dyDescent="0.3">
      <c r="A11" s="262">
        <v>9</v>
      </c>
      <c r="B11" s="262" t="s">
        <v>257</v>
      </c>
      <c r="C11" s="262" t="s">
        <v>209</v>
      </c>
      <c r="D11" s="359" t="s">
        <v>58</v>
      </c>
      <c r="E11" s="262" t="s">
        <v>201</v>
      </c>
      <c r="F11" s="263" t="s">
        <v>258</v>
      </c>
      <c r="G11" s="262" t="s">
        <v>53</v>
      </c>
      <c r="H11" s="265">
        <v>5.1689999999999996</v>
      </c>
      <c r="I11" s="266" t="s">
        <v>259</v>
      </c>
      <c r="J11" s="267">
        <v>8594687.6099999994</v>
      </c>
      <c r="K11" s="250">
        <f t="shared" si="10"/>
        <v>4297343.8099999996</v>
      </c>
      <c r="L11" s="269">
        <f>J11-K11</f>
        <v>4297343.8</v>
      </c>
      <c r="M11" s="270">
        <v>0.5</v>
      </c>
      <c r="N11" s="271"/>
      <c r="O11" s="272"/>
      <c r="P11" s="272"/>
      <c r="Q11" s="272"/>
      <c r="R11" s="251">
        <v>83820.59</v>
      </c>
      <c r="S11" s="251">
        <v>4213523.22</v>
      </c>
      <c r="T11" s="273"/>
      <c r="U11" s="273"/>
      <c r="V11" s="273"/>
      <c r="W11" s="255"/>
      <c r="X11" s="238" t="b">
        <f t="shared" si="6"/>
        <v>1</v>
      </c>
      <c r="Y11" s="280">
        <f t="shared" si="7"/>
        <v>0.5</v>
      </c>
      <c r="Z11" s="281" t="b">
        <f t="shared" si="8"/>
        <v>1</v>
      </c>
      <c r="AA11" s="281" t="b">
        <f t="shared" si="9"/>
        <v>1</v>
      </c>
    </row>
    <row r="12" spans="1:27" ht="20.100000000000001" customHeight="1" x14ac:dyDescent="0.3">
      <c r="A12" s="360" t="s">
        <v>45</v>
      </c>
      <c r="B12" s="360"/>
      <c r="C12" s="360"/>
      <c r="D12" s="360"/>
      <c r="E12" s="360"/>
      <c r="F12" s="360"/>
      <c r="G12" s="360"/>
      <c r="H12" s="42">
        <f>SUM(H3:H11)</f>
        <v>32.465999999999994</v>
      </c>
      <c r="I12" s="284" t="s">
        <v>14</v>
      </c>
      <c r="J12" s="285">
        <f>SUM(J3:J11)</f>
        <v>74124227.800000012</v>
      </c>
      <c r="K12" s="285">
        <f>SUM(K3:K11)</f>
        <v>43538688.050000012</v>
      </c>
      <c r="L12" s="285">
        <f>SUM(L3:L11)</f>
        <v>30585539.749999996</v>
      </c>
      <c r="M12" s="43" t="s">
        <v>14</v>
      </c>
      <c r="N12" s="361">
        <f>SUM(N3:N11)</f>
        <v>0</v>
      </c>
      <c r="O12" s="361">
        <f t="shared" ref="O12:W12" si="11">SUM(O3:O11)</f>
        <v>0</v>
      </c>
      <c r="P12" s="361">
        <f t="shared" si="11"/>
        <v>0</v>
      </c>
      <c r="Q12" s="361">
        <f t="shared" si="11"/>
        <v>0</v>
      </c>
      <c r="R12" s="361">
        <f t="shared" si="11"/>
        <v>39325164.830000013</v>
      </c>
      <c r="S12" s="361">
        <f t="shared" si="11"/>
        <v>4213523.22</v>
      </c>
      <c r="T12" s="361">
        <f t="shared" si="11"/>
        <v>0</v>
      </c>
      <c r="U12" s="361">
        <f t="shared" si="11"/>
        <v>0</v>
      </c>
      <c r="V12" s="361">
        <f t="shared" si="11"/>
        <v>0</v>
      </c>
      <c r="W12" s="361">
        <f t="shared" si="11"/>
        <v>0</v>
      </c>
      <c r="X12" s="238" t="b">
        <f t="shared" si="2"/>
        <v>1</v>
      </c>
      <c r="Y12" s="280">
        <f t="shared" si="3"/>
        <v>0.58740000000000003</v>
      </c>
      <c r="Z12" s="281" t="s">
        <v>14</v>
      </c>
      <c r="AA12" s="281" t="b">
        <f t="shared" si="5"/>
        <v>1</v>
      </c>
    </row>
    <row r="13" spans="1:27" ht="20.100000000000001" customHeight="1" x14ac:dyDescent="0.3">
      <c r="A13" s="360" t="s">
        <v>39</v>
      </c>
      <c r="B13" s="360"/>
      <c r="C13" s="360"/>
      <c r="D13" s="360"/>
      <c r="E13" s="360"/>
      <c r="F13" s="360"/>
      <c r="G13" s="360"/>
      <c r="H13" s="42">
        <f>SUMIF($C$3:$C$11,"N",H3:H11)</f>
        <v>27.296999999999997</v>
      </c>
      <c r="I13" s="284" t="s">
        <v>14</v>
      </c>
      <c r="J13" s="285">
        <f>SUMIF($C$3:$C$11,"N",J3:J11)</f>
        <v>65529540.190000005</v>
      </c>
      <c r="K13" s="285">
        <f t="shared" ref="K13:L13" si="12">SUMIF($C$3:$C$11,"N",K3:K11)</f>
        <v>39241344.24000001</v>
      </c>
      <c r="L13" s="285">
        <f t="shared" si="12"/>
        <v>26288195.949999996</v>
      </c>
      <c r="M13" s="43" t="s">
        <v>14</v>
      </c>
      <c r="N13" s="361">
        <f>SUMIF($C$3:$C$11,"N",N3:N11)</f>
        <v>0</v>
      </c>
      <c r="O13" s="361">
        <f t="shared" ref="O13:W13" si="13">SUMIF($C$3:$C$11,"N",O3:O11)</f>
        <v>0</v>
      </c>
      <c r="P13" s="361">
        <f t="shared" si="13"/>
        <v>0</v>
      </c>
      <c r="Q13" s="361">
        <f t="shared" si="13"/>
        <v>0</v>
      </c>
      <c r="R13" s="361">
        <f t="shared" si="13"/>
        <v>39241344.24000001</v>
      </c>
      <c r="S13" s="361">
        <f t="shared" si="13"/>
        <v>0</v>
      </c>
      <c r="T13" s="361">
        <f t="shared" si="13"/>
        <v>0</v>
      </c>
      <c r="U13" s="361">
        <f t="shared" si="13"/>
        <v>0</v>
      </c>
      <c r="V13" s="361">
        <f t="shared" si="13"/>
        <v>0</v>
      </c>
      <c r="W13" s="361">
        <f t="shared" si="13"/>
        <v>0</v>
      </c>
      <c r="X13" s="238" t="b">
        <f t="shared" si="2"/>
        <v>1</v>
      </c>
      <c r="Y13" s="280">
        <f t="shared" si="3"/>
        <v>0.5988</v>
      </c>
      <c r="Z13" s="281" t="s">
        <v>14</v>
      </c>
      <c r="AA13" s="281" t="b">
        <f t="shared" si="5"/>
        <v>1</v>
      </c>
    </row>
    <row r="14" spans="1:27" ht="20.100000000000001" customHeight="1" x14ac:dyDescent="0.3">
      <c r="A14" s="362" t="s">
        <v>40</v>
      </c>
      <c r="B14" s="362"/>
      <c r="C14" s="362"/>
      <c r="D14" s="362"/>
      <c r="E14" s="362"/>
      <c r="F14" s="362"/>
      <c r="G14" s="362"/>
      <c r="H14" s="44">
        <f>SUMIF($C$3:$C$11,"W",H3:H11)</f>
        <v>5.1689999999999996</v>
      </c>
      <c r="I14" s="288" t="s">
        <v>14</v>
      </c>
      <c r="J14" s="289">
        <f>SUMIF($C$3:$C$11,"W",J3:J11)</f>
        <v>8594687.6099999994</v>
      </c>
      <c r="K14" s="289">
        <f t="shared" ref="K14:L14" si="14">SUMIF($C$3:$C$11,"W",K3:K11)</f>
        <v>4297343.8099999996</v>
      </c>
      <c r="L14" s="289">
        <f t="shared" si="14"/>
        <v>4297343.8</v>
      </c>
      <c r="M14" s="45" t="s">
        <v>14</v>
      </c>
      <c r="N14" s="363">
        <f>SUMIF($C$3:$C$11,"W",N3:N11)</f>
        <v>0</v>
      </c>
      <c r="O14" s="363">
        <f t="shared" ref="O14:W14" si="15">SUMIF($C$3:$C$11,"W",O3:O11)</f>
        <v>0</v>
      </c>
      <c r="P14" s="363">
        <f t="shared" si="15"/>
        <v>0</v>
      </c>
      <c r="Q14" s="363">
        <f t="shared" si="15"/>
        <v>0</v>
      </c>
      <c r="R14" s="363">
        <f t="shared" si="15"/>
        <v>83820.59</v>
      </c>
      <c r="S14" s="363">
        <f t="shared" si="15"/>
        <v>4213523.22</v>
      </c>
      <c r="T14" s="363">
        <f t="shared" si="15"/>
        <v>0</v>
      </c>
      <c r="U14" s="363">
        <f t="shared" si="15"/>
        <v>0</v>
      </c>
      <c r="V14" s="363">
        <f t="shared" si="15"/>
        <v>0</v>
      </c>
      <c r="W14" s="363">
        <f t="shared" si="15"/>
        <v>0</v>
      </c>
      <c r="X14" s="238" t="b">
        <f t="shared" si="2"/>
        <v>1</v>
      </c>
      <c r="Y14" s="280">
        <f t="shared" ref="Y14" si="16">ROUND(K14/J14,4)</f>
        <v>0.5</v>
      </c>
      <c r="Z14" s="281" t="s">
        <v>14</v>
      </c>
      <c r="AA14" s="281" t="b">
        <f t="shared" ref="AA14" si="17">J14=K14+L14</f>
        <v>1</v>
      </c>
    </row>
    <row r="15" spans="1:27" x14ac:dyDescent="0.3">
      <c r="A15" s="35"/>
    </row>
    <row r="16" spans="1:27" x14ac:dyDescent="0.3">
      <c r="A16" s="31" t="s">
        <v>25</v>
      </c>
    </row>
    <row r="17" spans="1:1" x14ac:dyDescent="0.3">
      <c r="A17" s="32" t="s">
        <v>26</v>
      </c>
    </row>
    <row r="18" spans="1:1" x14ac:dyDescent="0.3">
      <c r="A18" s="31" t="s">
        <v>36</v>
      </c>
    </row>
    <row r="19" spans="1:1" x14ac:dyDescent="0.3">
      <c r="A19" s="36"/>
    </row>
  </sheetData>
  <sortState ref="A3:Z10">
    <sortCondition descending="1" ref="H3:H10"/>
  </sortState>
  <mergeCells count="17">
    <mergeCell ref="J1:J2"/>
    <mergeCell ref="K1:K2"/>
    <mergeCell ref="L1:L2"/>
    <mergeCell ref="M1:M2"/>
    <mergeCell ref="N1:W1"/>
    <mergeCell ref="A14:G14"/>
    <mergeCell ref="I1:I2"/>
    <mergeCell ref="A1:A2"/>
    <mergeCell ref="B1:B2"/>
    <mergeCell ref="C1:C2"/>
    <mergeCell ref="F1:F2"/>
    <mergeCell ref="G1:G2"/>
    <mergeCell ref="H1:H2"/>
    <mergeCell ref="D1:D2"/>
    <mergeCell ref="A12:G12"/>
    <mergeCell ref="E1:E2"/>
    <mergeCell ref="A13:G13"/>
  </mergeCells>
  <conditionalFormatting sqref="AA14 X3:AA11">
    <cfRule type="cellIs" dxfId="30" priority="18" operator="equal">
      <formula>FALSE</formula>
    </cfRule>
  </conditionalFormatting>
  <conditionalFormatting sqref="Y14:Z14">
    <cfRule type="cellIs" dxfId="29" priority="21" operator="equal">
      <formula>FALSE</formula>
    </cfRule>
  </conditionalFormatting>
  <conditionalFormatting sqref="X14">
    <cfRule type="cellIs" dxfId="28" priority="20" operator="equal">
      <formula>FALSE</formula>
    </cfRule>
  </conditionalFormatting>
  <conditionalFormatting sqref="X14:Z14 X3:Z11">
    <cfRule type="containsText" dxfId="27" priority="19" operator="containsText" text="fałsz">
      <formula>NOT(ISERROR(SEARCH("fałsz",X3)))</formula>
    </cfRule>
  </conditionalFormatting>
  <conditionalFormatting sqref="AA14">
    <cfRule type="cellIs" dxfId="26" priority="17" operator="equal">
      <formula>FALSE</formula>
    </cfRule>
  </conditionalFormatting>
  <conditionalFormatting sqref="Y12:Z12">
    <cfRule type="cellIs" dxfId="25" priority="14" operator="equal">
      <formula>FALSE</formula>
    </cfRule>
  </conditionalFormatting>
  <conditionalFormatting sqref="X12">
    <cfRule type="cellIs" dxfId="24" priority="13" operator="equal">
      <formula>FALSE</formula>
    </cfRule>
  </conditionalFormatting>
  <conditionalFormatting sqref="X12:Z12">
    <cfRule type="containsText" dxfId="23" priority="12" operator="containsText" text="fałsz">
      <formula>NOT(ISERROR(SEARCH("fałsz",X12)))</formula>
    </cfRule>
  </conditionalFormatting>
  <conditionalFormatting sqref="AA12">
    <cfRule type="cellIs" dxfId="22" priority="11" operator="equal">
      <formula>FALSE</formula>
    </cfRule>
  </conditionalFormatting>
  <conditionalFormatting sqref="AA12">
    <cfRule type="cellIs" dxfId="21" priority="10" operator="equal">
      <formula>FALSE</formula>
    </cfRule>
  </conditionalFormatting>
  <conditionalFormatting sqref="Y13:Z13">
    <cfRule type="cellIs" dxfId="20" priority="9" operator="equal">
      <formula>FALSE</formula>
    </cfRule>
  </conditionalFormatting>
  <conditionalFormatting sqref="X13">
    <cfRule type="cellIs" dxfId="19" priority="8" operator="equal">
      <formula>FALSE</formula>
    </cfRule>
  </conditionalFormatting>
  <conditionalFormatting sqref="X13:Z13">
    <cfRule type="containsText" dxfId="18" priority="7" operator="containsText" text="fałsz">
      <formula>NOT(ISERROR(SEARCH("fałsz",X13)))</formula>
    </cfRule>
  </conditionalFormatting>
  <conditionalFormatting sqref="AA13">
    <cfRule type="cellIs" dxfId="17" priority="6" operator="equal">
      <formula>FALSE</formula>
    </cfRule>
  </conditionalFormatting>
  <conditionalFormatting sqref="AA13">
    <cfRule type="cellIs" dxfId="16" priority="5" operator="equal">
      <formula>FALSE</formula>
    </cfRule>
  </conditionalFormatting>
  <dataValidations count="2">
    <dataValidation type="list" allowBlank="1" showInputMessage="1" showErrorMessage="1" sqref="C3:C11" xr:uid="{00000000-0002-0000-0300-000000000000}">
      <formula1>"N,K,W"</formula1>
      <formula2>0</formula2>
    </dataValidation>
    <dataValidation type="list" allowBlank="1" showInputMessage="1" showErrorMessage="1" sqref="G3:G11" xr:uid="{00000000-0002-0000-0300-000001000000}">
      <formula1>"B,P,R"</formula1>
      <formula2>0</formula2>
    </dataValidation>
  </dataValidations>
  <pageMargins left="0.23622047244094491" right="0.23622047244094491" top="0.74803149606299213" bottom="0.74803149606299213" header="0.31496062992125984" footer="0.31496062992125984"/>
  <pageSetup paperSize="8" scale="52" fitToHeight="0" orientation="landscape" r:id="rId1"/>
  <headerFooter>
    <oddHeader>&amp;LWojewództwo Lubelskie - zadania powiatowe lista rezerwowa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B35"/>
  <sheetViews>
    <sheetView showGridLines="0" view="pageBreakPreview" zoomScale="90" zoomScaleNormal="90" zoomScaleSheetLayoutView="90" workbookViewId="0">
      <selection sqref="A1:A3"/>
    </sheetView>
  </sheetViews>
  <sheetFormatPr defaultColWidth="9.109375" defaultRowHeight="14.4" x14ac:dyDescent="0.3"/>
  <cols>
    <col min="1" max="1" width="7.6640625" style="13" customWidth="1"/>
    <col min="2" max="6" width="15.6640625" style="13" customWidth="1"/>
    <col min="7" max="7" width="51.33203125" style="13" customWidth="1"/>
    <col min="8" max="10" width="15.6640625" style="13" customWidth="1"/>
    <col min="11" max="11" width="15.6640625" style="34" customWidth="1"/>
    <col min="12" max="13" width="15.6640625" style="13" customWidth="1"/>
    <col min="14" max="14" width="15.6640625" style="1" customWidth="1"/>
    <col min="15" max="28" width="15.6640625" style="13" customWidth="1"/>
    <col min="29" max="16384" width="9.109375" style="13"/>
  </cols>
  <sheetData>
    <row r="1" spans="1:28" ht="20.100000000000001" customHeight="1" x14ac:dyDescent="0.3">
      <c r="A1" s="234" t="s">
        <v>4</v>
      </c>
      <c r="B1" s="234" t="s">
        <v>5</v>
      </c>
      <c r="C1" s="235" t="s">
        <v>46</v>
      </c>
      <c r="D1" s="236" t="s">
        <v>6</v>
      </c>
      <c r="E1" s="236" t="s">
        <v>33</v>
      </c>
      <c r="F1" s="236" t="s">
        <v>15</v>
      </c>
      <c r="G1" s="234" t="s">
        <v>7</v>
      </c>
      <c r="H1" s="234" t="s">
        <v>27</v>
      </c>
      <c r="I1" s="234" t="s">
        <v>8</v>
      </c>
      <c r="J1" s="234" t="s">
        <v>28</v>
      </c>
      <c r="K1" s="234" t="s">
        <v>9</v>
      </c>
      <c r="L1" s="234" t="s">
        <v>10</v>
      </c>
      <c r="M1" s="236" t="s">
        <v>13</v>
      </c>
      <c r="N1" s="234" t="s">
        <v>11</v>
      </c>
      <c r="O1" s="234" t="s">
        <v>12</v>
      </c>
      <c r="P1" s="234"/>
      <c r="Q1" s="234"/>
      <c r="R1" s="234"/>
      <c r="S1" s="234"/>
      <c r="T1" s="234"/>
      <c r="U1" s="234"/>
      <c r="V1" s="234"/>
      <c r="W1" s="234"/>
      <c r="X1" s="234"/>
      <c r="Y1" s="331"/>
      <c r="Z1" s="331"/>
      <c r="AA1" s="331"/>
      <c r="AB1" s="331"/>
    </row>
    <row r="2" spans="1:28" ht="34.5" customHeight="1" x14ac:dyDescent="0.3">
      <c r="A2" s="234"/>
      <c r="B2" s="234"/>
      <c r="C2" s="240"/>
      <c r="D2" s="241"/>
      <c r="E2" s="241"/>
      <c r="F2" s="241"/>
      <c r="G2" s="234"/>
      <c r="H2" s="234"/>
      <c r="I2" s="234"/>
      <c r="J2" s="234"/>
      <c r="K2" s="234"/>
      <c r="L2" s="234"/>
      <c r="M2" s="241"/>
      <c r="N2" s="234"/>
      <c r="O2" s="242">
        <v>2019</v>
      </c>
      <c r="P2" s="242">
        <v>2020</v>
      </c>
      <c r="Q2" s="242">
        <v>2021</v>
      </c>
      <c r="R2" s="242">
        <v>2022</v>
      </c>
      <c r="S2" s="242">
        <v>2023</v>
      </c>
      <c r="T2" s="242">
        <v>2024</v>
      </c>
      <c r="U2" s="242">
        <v>2025</v>
      </c>
      <c r="V2" s="242">
        <v>2026</v>
      </c>
      <c r="W2" s="242">
        <v>2027</v>
      </c>
      <c r="X2" s="242">
        <v>2028</v>
      </c>
      <c r="Y2" s="238" t="s">
        <v>29</v>
      </c>
      <c r="Z2" s="238" t="s">
        <v>30</v>
      </c>
      <c r="AA2" s="238" t="s">
        <v>31</v>
      </c>
      <c r="AB2" s="243" t="s">
        <v>32</v>
      </c>
    </row>
    <row r="3" spans="1:28" ht="20.399999999999999" x14ac:dyDescent="0.3">
      <c r="A3" s="313">
        <v>1</v>
      </c>
      <c r="B3" s="314" t="s">
        <v>516</v>
      </c>
      <c r="C3" s="315" t="s">
        <v>213</v>
      </c>
      <c r="D3" s="316" t="s">
        <v>406</v>
      </c>
      <c r="E3" s="316" t="s">
        <v>165</v>
      </c>
      <c r="F3" s="314" t="s">
        <v>182</v>
      </c>
      <c r="G3" s="317" t="s">
        <v>517</v>
      </c>
      <c r="H3" s="318" t="s">
        <v>53</v>
      </c>
      <c r="I3" s="319">
        <v>0.86</v>
      </c>
      <c r="J3" s="320" t="s">
        <v>230</v>
      </c>
      <c r="K3" s="321">
        <v>1255833.47</v>
      </c>
      <c r="L3" s="321">
        <f t="shared" ref="L3:L27" si="0">ROUND(K3*N3,2)</f>
        <v>627916.74</v>
      </c>
      <c r="M3" s="321">
        <f t="shared" ref="M3:M27" si="1">K3-L3</f>
        <v>627916.73</v>
      </c>
      <c r="N3" s="322">
        <v>0.5</v>
      </c>
      <c r="O3" s="323"/>
      <c r="P3" s="324"/>
      <c r="Q3" s="324"/>
      <c r="R3" s="324"/>
      <c r="S3" s="324">
        <f t="shared" ref="S3:S27" si="2">L3</f>
        <v>627916.74</v>
      </c>
      <c r="T3" s="324"/>
      <c r="U3" s="324"/>
      <c r="V3" s="324"/>
      <c r="W3" s="325"/>
      <c r="X3" s="242"/>
      <c r="Y3" s="238" t="b">
        <f t="shared" ref="Y3:Y30" si="3">L3=SUM(O3:X3)</f>
        <v>1</v>
      </c>
      <c r="Z3" s="280">
        <f t="shared" ref="Z3:Z29" si="4">ROUND(L3/K3,4)</f>
        <v>0.5</v>
      </c>
      <c r="AA3" s="281" t="b">
        <f t="shared" ref="AA3:AA27" si="5">Z3=N3</f>
        <v>1</v>
      </c>
      <c r="AB3" s="281" t="b">
        <f t="shared" ref="AB3:AB29" si="6">K3=L3+M3</f>
        <v>1</v>
      </c>
    </row>
    <row r="4" spans="1:28" ht="20.399999999999999" x14ac:dyDescent="0.3">
      <c r="A4" s="313">
        <v>2</v>
      </c>
      <c r="B4" s="314" t="s">
        <v>518</v>
      </c>
      <c r="C4" s="315" t="s">
        <v>213</v>
      </c>
      <c r="D4" s="316" t="s">
        <v>519</v>
      </c>
      <c r="E4" s="316" t="s">
        <v>163</v>
      </c>
      <c r="F4" s="314" t="s">
        <v>186</v>
      </c>
      <c r="G4" s="317" t="s">
        <v>520</v>
      </c>
      <c r="H4" s="318" t="s">
        <v>53</v>
      </c>
      <c r="I4" s="319">
        <v>0.999</v>
      </c>
      <c r="J4" s="320" t="s">
        <v>492</v>
      </c>
      <c r="K4" s="321">
        <v>674679.71</v>
      </c>
      <c r="L4" s="321">
        <f t="shared" si="0"/>
        <v>337339.86</v>
      </c>
      <c r="M4" s="321">
        <f t="shared" si="1"/>
        <v>337339.85</v>
      </c>
      <c r="N4" s="322">
        <v>0.5</v>
      </c>
      <c r="O4" s="323"/>
      <c r="P4" s="324"/>
      <c r="Q4" s="324"/>
      <c r="R4" s="324"/>
      <c r="S4" s="324">
        <f t="shared" si="2"/>
        <v>337339.86</v>
      </c>
      <c r="T4" s="324"/>
      <c r="U4" s="324"/>
      <c r="V4" s="324"/>
      <c r="W4" s="325"/>
      <c r="X4" s="242"/>
      <c r="Y4" s="238" t="b">
        <f t="shared" si="3"/>
        <v>1</v>
      </c>
      <c r="Z4" s="280">
        <f t="shared" si="4"/>
        <v>0.5</v>
      </c>
      <c r="AA4" s="281" t="b">
        <f t="shared" si="5"/>
        <v>1</v>
      </c>
      <c r="AB4" s="281" t="b">
        <f t="shared" si="6"/>
        <v>1</v>
      </c>
    </row>
    <row r="5" spans="1:28" ht="20.399999999999999" x14ac:dyDescent="0.3">
      <c r="A5" s="313">
        <v>3</v>
      </c>
      <c r="B5" s="314" t="s">
        <v>521</v>
      </c>
      <c r="C5" s="315" t="s">
        <v>213</v>
      </c>
      <c r="D5" s="316" t="s">
        <v>101</v>
      </c>
      <c r="E5" s="316" t="s">
        <v>102</v>
      </c>
      <c r="F5" s="314" t="s">
        <v>103</v>
      </c>
      <c r="G5" s="317" t="s">
        <v>522</v>
      </c>
      <c r="H5" s="318" t="s">
        <v>56</v>
      </c>
      <c r="I5" s="319">
        <v>9.8000000000000004E-2</v>
      </c>
      <c r="J5" s="320" t="s">
        <v>224</v>
      </c>
      <c r="K5" s="321">
        <v>625962.13</v>
      </c>
      <c r="L5" s="321">
        <f t="shared" si="0"/>
        <v>312981.07</v>
      </c>
      <c r="M5" s="321">
        <f t="shared" si="1"/>
        <v>312981.06</v>
      </c>
      <c r="N5" s="322">
        <v>0.5</v>
      </c>
      <c r="O5" s="323"/>
      <c r="P5" s="324"/>
      <c r="Q5" s="324"/>
      <c r="R5" s="324"/>
      <c r="S5" s="324">
        <f t="shared" si="2"/>
        <v>312981.07</v>
      </c>
      <c r="T5" s="324"/>
      <c r="U5" s="324"/>
      <c r="V5" s="324"/>
      <c r="W5" s="325"/>
      <c r="X5" s="242"/>
      <c r="Y5" s="238" t="b">
        <f t="shared" si="3"/>
        <v>1</v>
      </c>
      <c r="Z5" s="280">
        <f t="shared" si="4"/>
        <v>0.5</v>
      </c>
      <c r="AA5" s="281" t="b">
        <f t="shared" si="5"/>
        <v>1</v>
      </c>
      <c r="AB5" s="281" t="b">
        <f t="shared" si="6"/>
        <v>1</v>
      </c>
    </row>
    <row r="6" spans="1:28" ht="20.399999999999999" x14ac:dyDescent="0.3">
      <c r="A6" s="313">
        <v>4</v>
      </c>
      <c r="B6" s="314" t="s">
        <v>523</v>
      </c>
      <c r="C6" s="315" t="s">
        <v>213</v>
      </c>
      <c r="D6" s="316" t="s">
        <v>440</v>
      </c>
      <c r="E6" s="316" t="s">
        <v>141</v>
      </c>
      <c r="F6" s="314" t="s">
        <v>186</v>
      </c>
      <c r="G6" s="317" t="s">
        <v>524</v>
      </c>
      <c r="H6" s="318" t="s">
        <v>53</v>
      </c>
      <c r="I6" s="319">
        <v>0.38</v>
      </c>
      <c r="J6" s="320" t="s">
        <v>525</v>
      </c>
      <c r="K6" s="321">
        <v>366873.91</v>
      </c>
      <c r="L6" s="321">
        <f t="shared" si="0"/>
        <v>183436.96</v>
      </c>
      <c r="M6" s="321">
        <f t="shared" si="1"/>
        <v>183436.94999999998</v>
      </c>
      <c r="N6" s="322">
        <v>0.5</v>
      </c>
      <c r="O6" s="323"/>
      <c r="P6" s="324"/>
      <c r="Q6" s="324"/>
      <c r="R6" s="324"/>
      <c r="S6" s="324">
        <f t="shared" si="2"/>
        <v>183436.96</v>
      </c>
      <c r="T6" s="324"/>
      <c r="U6" s="324"/>
      <c r="V6" s="324"/>
      <c r="W6" s="325"/>
      <c r="X6" s="242"/>
      <c r="Y6" s="238" t="b">
        <f t="shared" si="3"/>
        <v>1</v>
      </c>
      <c r="Z6" s="280">
        <f t="shared" si="4"/>
        <v>0.5</v>
      </c>
      <c r="AA6" s="281" t="b">
        <f t="shared" si="5"/>
        <v>1</v>
      </c>
      <c r="AB6" s="281" t="b">
        <f t="shared" si="6"/>
        <v>1</v>
      </c>
    </row>
    <row r="7" spans="1:28" ht="20.399999999999999" x14ac:dyDescent="0.3">
      <c r="A7" s="313">
        <v>5</v>
      </c>
      <c r="B7" s="314" t="s">
        <v>526</v>
      </c>
      <c r="C7" s="315" t="s">
        <v>213</v>
      </c>
      <c r="D7" s="316" t="s">
        <v>527</v>
      </c>
      <c r="E7" s="316" t="s">
        <v>159</v>
      </c>
      <c r="F7" s="314" t="s">
        <v>186</v>
      </c>
      <c r="G7" s="317" t="s">
        <v>528</v>
      </c>
      <c r="H7" s="318" t="s">
        <v>53</v>
      </c>
      <c r="I7" s="319">
        <v>0.32900000000000001</v>
      </c>
      <c r="J7" s="320" t="s">
        <v>230</v>
      </c>
      <c r="K7" s="321">
        <v>247231.97</v>
      </c>
      <c r="L7" s="321">
        <f t="shared" si="0"/>
        <v>123615.99</v>
      </c>
      <c r="M7" s="321">
        <f t="shared" si="1"/>
        <v>123615.98</v>
      </c>
      <c r="N7" s="322">
        <v>0.5</v>
      </c>
      <c r="O7" s="323"/>
      <c r="P7" s="324"/>
      <c r="Q7" s="324"/>
      <c r="R7" s="324"/>
      <c r="S7" s="324">
        <f t="shared" si="2"/>
        <v>123615.99</v>
      </c>
      <c r="T7" s="324"/>
      <c r="U7" s="324"/>
      <c r="V7" s="324"/>
      <c r="W7" s="325"/>
      <c r="X7" s="242"/>
      <c r="Y7" s="238" t="b">
        <f t="shared" si="3"/>
        <v>1</v>
      </c>
      <c r="Z7" s="280">
        <f t="shared" si="4"/>
        <v>0.5</v>
      </c>
      <c r="AA7" s="281" t="b">
        <f t="shared" si="5"/>
        <v>1</v>
      </c>
      <c r="AB7" s="281" t="b">
        <f t="shared" si="6"/>
        <v>1</v>
      </c>
    </row>
    <row r="8" spans="1:28" ht="20.399999999999999" x14ac:dyDescent="0.3">
      <c r="A8" s="313">
        <v>6</v>
      </c>
      <c r="B8" s="314" t="s">
        <v>529</v>
      </c>
      <c r="C8" s="315" t="s">
        <v>213</v>
      </c>
      <c r="D8" s="316" t="s">
        <v>530</v>
      </c>
      <c r="E8" s="316" t="s">
        <v>154</v>
      </c>
      <c r="F8" s="314" t="s">
        <v>188</v>
      </c>
      <c r="G8" s="317" t="s">
        <v>531</v>
      </c>
      <c r="H8" s="318" t="s">
        <v>53</v>
      </c>
      <c r="I8" s="319">
        <v>0.27100000000000002</v>
      </c>
      <c r="J8" s="320" t="s">
        <v>224</v>
      </c>
      <c r="K8" s="321">
        <v>674774.93</v>
      </c>
      <c r="L8" s="321">
        <f t="shared" si="0"/>
        <v>337387.47</v>
      </c>
      <c r="M8" s="321">
        <f t="shared" si="1"/>
        <v>337387.46000000008</v>
      </c>
      <c r="N8" s="322">
        <v>0.5</v>
      </c>
      <c r="O8" s="323"/>
      <c r="P8" s="324"/>
      <c r="Q8" s="324"/>
      <c r="R8" s="324"/>
      <c r="S8" s="324">
        <f t="shared" si="2"/>
        <v>337387.47</v>
      </c>
      <c r="T8" s="324"/>
      <c r="U8" s="324"/>
      <c r="V8" s="324"/>
      <c r="W8" s="325"/>
      <c r="X8" s="242"/>
      <c r="Y8" s="238" t="b">
        <f t="shared" si="3"/>
        <v>1</v>
      </c>
      <c r="Z8" s="280">
        <f t="shared" si="4"/>
        <v>0.5</v>
      </c>
      <c r="AA8" s="281" t="b">
        <f t="shared" si="5"/>
        <v>1</v>
      </c>
      <c r="AB8" s="281" t="b">
        <f t="shared" si="6"/>
        <v>1</v>
      </c>
    </row>
    <row r="9" spans="1:28" ht="20.399999999999999" x14ac:dyDescent="0.3">
      <c r="A9" s="313">
        <v>7</v>
      </c>
      <c r="B9" s="314" t="s">
        <v>532</v>
      </c>
      <c r="C9" s="315" t="s">
        <v>213</v>
      </c>
      <c r="D9" s="316" t="s">
        <v>79</v>
      </c>
      <c r="E9" s="316" t="s">
        <v>80</v>
      </c>
      <c r="F9" s="314" t="s">
        <v>81</v>
      </c>
      <c r="G9" s="317" t="s">
        <v>533</v>
      </c>
      <c r="H9" s="318" t="s">
        <v>53</v>
      </c>
      <c r="I9" s="319">
        <v>0.875</v>
      </c>
      <c r="J9" s="320" t="s">
        <v>220</v>
      </c>
      <c r="K9" s="321">
        <v>1157194.93</v>
      </c>
      <c r="L9" s="321">
        <f t="shared" si="0"/>
        <v>578597.47</v>
      </c>
      <c r="M9" s="321">
        <f t="shared" si="1"/>
        <v>578597.46</v>
      </c>
      <c r="N9" s="322">
        <v>0.5</v>
      </c>
      <c r="O9" s="323"/>
      <c r="P9" s="324"/>
      <c r="Q9" s="324"/>
      <c r="R9" s="324"/>
      <c r="S9" s="324">
        <f t="shared" si="2"/>
        <v>578597.47</v>
      </c>
      <c r="T9" s="324"/>
      <c r="U9" s="324"/>
      <c r="V9" s="324"/>
      <c r="W9" s="325"/>
      <c r="X9" s="242"/>
      <c r="Y9" s="238" t="b">
        <f t="shared" si="3"/>
        <v>1</v>
      </c>
      <c r="Z9" s="280">
        <f t="shared" si="4"/>
        <v>0.5</v>
      </c>
      <c r="AA9" s="281" t="b">
        <f t="shared" si="5"/>
        <v>1</v>
      </c>
      <c r="AB9" s="281" t="b">
        <f t="shared" si="6"/>
        <v>1</v>
      </c>
    </row>
    <row r="10" spans="1:28" ht="23.25" customHeight="1" x14ac:dyDescent="0.3">
      <c r="A10" s="313">
        <v>8</v>
      </c>
      <c r="B10" s="314" t="s">
        <v>534</v>
      </c>
      <c r="C10" s="315" t="s">
        <v>213</v>
      </c>
      <c r="D10" s="316" t="s">
        <v>535</v>
      </c>
      <c r="E10" s="316" t="s">
        <v>133</v>
      </c>
      <c r="F10" s="314" t="s">
        <v>185</v>
      </c>
      <c r="G10" s="317" t="s">
        <v>536</v>
      </c>
      <c r="H10" s="318" t="s">
        <v>53</v>
      </c>
      <c r="I10" s="319">
        <v>0.71099999999999997</v>
      </c>
      <c r="J10" s="320" t="s">
        <v>314</v>
      </c>
      <c r="K10" s="321">
        <v>514585.69</v>
      </c>
      <c r="L10" s="321">
        <f t="shared" si="0"/>
        <v>257292.85</v>
      </c>
      <c r="M10" s="321">
        <f t="shared" si="1"/>
        <v>257292.84</v>
      </c>
      <c r="N10" s="322">
        <v>0.5</v>
      </c>
      <c r="O10" s="323"/>
      <c r="P10" s="324"/>
      <c r="Q10" s="324"/>
      <c r="R10" s="324"/>
      <c r="S10" s="324">
        <f t="shared" si="2"/>
        <v>257292.85</v>
      </c>
      <c r="T10" s="324"/>
      <c r="U10" s="324"/>
      <c r="V10" s="324"/>
      <c r="W10" s="325"/>
      <c r="X10" s="242"/>
      <c r="Y10" s="238" t="b">
        <f t="shared" si="3"/>
        <v>1</v>
      </c>
      <c r="Z10" s="280">
        <f t="shared" si="4"/>
        <v>0.5</v>
      </c>
      <c r="AA10" s="281" t="b">
        <f t="shared" si="5"/>
        <v>1</v>
      </c>
      <c r="AB10" s="281" t="b">
        <f t="shared" si="6"/>
        <v>1</v>
      </c>
    </row>
    <row r="11" spans="1:28" x14ac:dyDescent="0.3">
      <c r="A11" s="313">
        <v>9</v>
      </c>
      <c r="B11" s="314" t="s">
        <v>541</v>
      </c>
      <c r="C11" s="315" t="s">
        <v>213</v>
      </c>
      <c r="D11" s="316" t="s">
        <v>542</v>
      </c>
      <c r="E11" s="316" t="s">
        <v>178</v>
      </c>
      <c r="F11" s="314" t="s">
        <v>91</v>
      </c>
      <c r="G11" s="317" t="s">
        <v>543</v>
      </c>
      <c r="H11" s="318" t="s">
        <v>53</v>
      </c>
      <c r="I11" s="319">
        <v>0.65700000000000003</v>
      </c>
      <c r="J11" s="320" t="s">
        <v>246</v>
      </c>
      <c r="K11" s="321">
        <v>661495.38</v>
      </c>
      <c r="L11" s="321">
        <f t="shared" si="0"/>
        <v>330747.69</v>
      </c>
      <c r="M11" s="321">
        <f t="shared" si="1"/>
        <v>330747.69</v>
      </c>
      <c r="N11" s="322">
        <v>0.5</v>
      </c>
      <c r="O11" s="323"/>
      <c r="P11" s="324"/>
      <c r="Q11" s="324"/>
      <c r="R11" s="324"/>
      <c r="S11" s="324">
        <f t="shared" si="2"/>
        <v>330747.69</v>
      </c>
      <c r="T11" s="324"/>
      <c r="U11" s="324"/>
      <c r="V11" s="324"/>
      <c r="W11" s="325"/>
      <c r="X11" s="242"/>
      <c r="Y11" s="238" t="b">
        <f t="shared" si="3"/>
        <v>1</v>
      </c>
      <c r="Z11" s="280">
        <f t="shared" si="4"/>
        <v>0.5</v>
      </c>
      <c r="AA11" s="281" t="b">
        <f t="shared" si="5"/>
        <v>1</v>
      </c>
      <c r="AB11" s="281" t="b">
        <f t="shared" si="6"/>
        <v>1</v>
      </c>
    </row>
    <row r="12" spans="1:28" x14ac:dyDescent="0.3">
      <c r="A12" s="313">
        <v>10</v>
      </c>
      <c r="B12" s="314" t="s">
        <v>544</v>
      </c>
      <c r="C12" s="315" t="s">
        <v>213</v>
      </c>
      <c r="D12" s="316" t="s">
        <v>545</v>
      </c>
      <c r="E12" s="316" t="s">
        <v>160</v>
      </c>
      <c r="F12" s="314" t="s">
        <v>103</v>
      </c>
      <c r="G12" s="317" t="s">
        <v>546</v>
      </c>
      <c r="H12" s="318" t="s">
        <v>53</v>
      </c>
      <c r="I12" s="319">
        <v>0.29899999999999999</v>
      </c>
      <c r="J12" s="320" t="s">
        <v>547</v>
      </c>
      <c r="K12" s="321">
        <v>432023.5</v>
      </c>
      <c r="L12" s="321">
        <f t="shared" si="0"/>
        <v>216011.75</v>
      </c>
      <c r="M12" s="321">
        <f t="shared" si="1"/>
        <v>216011.75</v>
      </c>
      <c r="N12" s="322">
        <v>0.5</v>
      </c>
      <c r="O12" s="323"/>
      <c r="P12" s="324"/>
      <c r="Q12" s="324"/>
      <c r="R12" s="324"/>
      <c r="S12" s="324">
        <f t="shared" si="2"/>
        <v>216011.75</v>
      </c>
      <c r="T12" s="324"/>
      <c r="U12" s="324"/>
      <c r="V12" s="324"/>
      <c r="W12" s="325"/>
      <c r="X12" s="242"/>
      <c r="Y12" s="238" t="b">
        <f t="shared" si="3"/>
        <v>1</v>
      </c>
      <c r="Z12" s="280">
        <f t="shared" si="4"/>
        <v>0.5</v>
      </c>
      <c r="AA12" s="281" t="b">
        <f t="shared" si="5"/>
        <v>1</v>
      </c>
      <c r="AB12" s="281" t="b">
        <f t="shared" si="6"/>
        <v>1</v>
      </c>
    </row>
    <row r="13" spans="1:28" ht="20.399999999999999" x14ac:dyDescent="0.3">
      <c r="A13" s="313">
        <v>11</v>
      </c>
      <c r="B13" s="314" t="s">
        <v>548</v>
      </c>
      <c r="C13" s="315" t="s">
        <v>213</v>
      </c>
      <c r="D13" s="316" t="s">
        <v>549</v>
      </c>
      <c r="E13" s="316" t="s">
        <v>158</v>
      </c>
      <c r="F13" s="314" t="s">
        <v>91</v>
      </c>
      <c r="G13" s="317" t="s">
        <v>550</v>
      </c>
      <c r="H13" s="318" t="s">
        <v>551</v>
      </c>
      <c r="I13" s="319">
        <v>0.25800000000000001</v>
      </c>
      <c r="J13" s="320" t="s">
        <v>328</v>
      </c>
      <c r="K13" s="321">
        <v>235092</v>
      </c>
      <c r="L13" s="321">
        <f t="shared" si="0"/>
        <v>117546</v>
      </c>
      <c r="M13" s="321">
        <f t="shared" si="1"/>
        <v>117546</v>
      </c>
      <c r="N13" s="322">
        <v>0.5</v>
      </c>
      <c r="O13" s="323"/>
      <c r="P13" s="324"/>
      <c r="Q13" s="324"/>
      <c r="R13" s="324"/>
      <c r="S13" s="324">
        <f t="shared" si="2"/>
        <v>117546</v>
      </c>
      <c r="T13" s="324"/>
      <c r="U13" s="324"/>
      <c r="V13" s="324"/>
      <c r="W13" s="325"/>
      <c r="X13" s="242"/>
      <c r="Y13" s="238" t="b">
        <f t="shared" si="3"/>
        <v>1</v>
      </c>
      <c r="Z13" s="280">
        <f t="shared" si="4"/>
        <v>0.5</v>
      </c>
      <c r="AA13" s="281" t="b">
        <f t="shared" si="5"/>
        <v>1</v>
      </c>
      <c r="AB13" s="281" t="b">
        <f t="shared" si="6"/>
        <v>1</v>
      </c>
    </row>
    <row r="14" spans="1:28" ht="20.399999999999999" x14ac:dyDescent="0.3">
      <c r="A14" s="313">
        <v>12</v>
      </c>
      <c r="B14" s="314" t="s">
        <v>552</v>
      </c>
      <c r="C14" s="315" t="s">
        <v>213</v>
      </c>
      <c r="D14" s="316" t="s">
        <v>553</v>
      </c>
      <c r="E14" s="316" t="s">
        <v>134</v>
      </c>
      <c r="F14" s="314" t="s">
        <v>81</v>
      </c>
      <c r="G14" s="317" t="s">
        <v>554</v>
      </c>
      <c r="H14" s="318" t="s">
        <v>551</v>
      </c>
      <c r="I14" s="319">
        <v>1.7310000000000001</v>
      </c>
      <c r="J14" s="320" t="s">
        <v>555</v>
      </c>
      <c r="K14" s="321">
        <v>1624023.4</v>
      </c>
      <c r="L14" s="321">
        <f t="shared" si="0"/>
        <v>812011.7</v>
      </c>
      <c r="M14" s="321">
        <f t="shared" si="1"/>
        <v>812011.7</v>
      </c>
      <c r="N14" s="322">
        <v>0.5</v>
      </c>
      <c r="O14" s="323"/>
      <c r="P14" s="324"/>
      <c r="Q14" s="324"/>
      <c r="R14" s="324"/>
      <c r="S14" s="324">
        <f t="shared" si="2"/>
        <v>812011.7</v>
      </c>
      <c r="T14" s="324"/>
      <c r="U14" s="324"/>
      <c r="V14" s="324"/>
      <c r="W14" s="325"/>
      <c r="X14" s="242"/>
      <c r="Y14" s="238" t="b">
        <f t="shared" si="3"/>
        <v>1</v>
      </c>
      <c r="Z14" s="280">
        <f t="shared" si="4"/>
        <v>0.5</v>
      </c>
      <c r="AA14" s="281" t="b">
        <f t="shared" si="5"/>
        <v>1</v>
      </c>
      <c r="AB14" s="281" t="b">
        <f t="shared" si="6"/>
        <v>1</v>
      </c>
    </row>
    <row r="15" spans="1:28" ht="20.399999999999999" x14ac:dyDescent="0.3">
      <c r="A15" s="313">
        <v>13</v>
      </c>
      <c r="B15" s="314" t="s">
        <v>556</v>
      </c>
      <c r="C15" s="315" t="s">
        <v>213</v>
      </c>
      <c r="D15" s="316" t="s">
        <v>538</v>
      </c>
      <c r="E15" s="316" t="s">
        <v>126</v>
      </c>
      <c r="F15" s="314" t="s">
        <v>108</v>
      </c>
      <c r="G15" s="317" t="s">
        <v>557</v>
      </c>
      <c r="H15" s="318" t="s">
        <v>53</v>
      </c>
      <c r="I15" s="319">
        <v>0.45</v>
      </c>
      <c r="J15" s="320" t="s">
        <v>540</v>
      </c>
      <c r="K15" s="321">
        <v>326609.53999999998</v>
      </c>
      <c r="L15" s="321">
        <f t="shared" si="0"/>
        <v>195965.72</v>
      </c>
      <c r="M15" s="321">
        <f t="shared" si="1"/>
        <v>130643.81999999998</v>
      </c>
      <c r="N15" s="322">
        <v>0.6</v>
      </c>
      <c r="O15" s="323"/>
      <c r="P15" s="324"/>
      <c r="Q15" s="324"/>
      <c r="R15" s="324"/>
      <c r="S15" s="324">
        <f t="shared" si="2"/>
        <v>195965.72</v>
      </c>
      <c r="T15" s="324"/>
      <c r="U15" s="324"/>
      <c r="V15" s="324"/>
      <c r="W15" s="325"/>
      <c r="X15" s="242"/>
      <c r="Y15" s="238" t="b">
        <f t="shared" si="3"/>
        <v>1</v>
      </c>
      <c r="Z15" s="280">
        <f t="shared" si="4"/>
        <v>0.6</v>
      </c>
      <c r="AA15" s="281" t="b">
        <f t="shared" si="5"/>
        <v>1</v>
      </c>
      <c r="AB15" s="281" t="b">
        <f t="shared" si="6"/>
        <v>1</v>
      </c>
    </row>
    <row r="16" spans="1:28" ht="20.399999999999999" x14ac:dyDescent="0.3">
      <c r="A16" s="313">
        <v>14</v>
      </c>
      <c r="B16" s="314" t="s">
        <v>558</v>
      </c>
      <c r="C16" s="315" t="s">
        <v>213</v>
      </c>
      <c r="D16" s="316" t="s">
        <v>559</v>
      </c>
      <c r="E16" s="316" t="s">
        <v>123</v>
      </c>
      <c r="F16" s="314" t="s">
        <v>103</v>
      </c>
      <c r="G16" s="317" t="s">
        <v>560</v>
      </c>
      <c r="H16" s="318" t="s">
        <v>551</v>
      </c>
      <c r="I16" s="319">
        <v>1.1910000000000001</v>
      </c>
      <c r="J16" s="320" t="s">
        <v>240</v>
      </c>
      <c r="K16" s="321">
        <v>1659997.18</v>
      </c>
      <c r="L16" s="321">
        <f t="shared" si="0"/>
        <v>995998.31</v>
      </c>
      <c r="M16" s="321">
        <f t="shared" si="1"/>
        <v>663998.86999999988</v>
      </c>
      <c r="N16" s="322">
        <v>0.6</v>
      </c>
      <c r="O16" s="323"/>
      <c r="P16" s="324"/>
      <c r="Q16" s="324"/>
      <c r="R16" s="324"/>
      <c r="S16" s="324">
        <f t="shared" si="2"/>
        <v>995998.31</v>
      </c>
      <c r="T16" s="324"/>
      <c r="U16" s="324"/>
      <c r="V16" s="324"/>
      <c r="W16" s="325"/>
      <c r="X16" s="242"/>
      <c r="Y16" s="238" t="b">
        <f t="shared" si="3"/>
        <v>1</v>
      </c>
      <c r="Z16" s="280">
        <f t="shared" si="4"/>
        <v>0.6</v>
      </c>
      <c r="AA16" s="281" t="b">
        <f t="shared" si="5"/>
        <v>1</v>
      </c>
      <c r="AB16" s="281" t="b">
        <f t="shared" si="6"/>
        <v>1</v>
      </c>
    </row>
    <row r="17" spans="1:28" x14ac:dyDescent="0.3">
      <c r="A17" s="313">
        <v>15</v>
      </c>
      <c r="B17" s="314" t="s">
        <v>561</v>
      </c>
      <c r="C17" s="315" t="s">
        <v>213</v>
      </c>
      <c r="D17" s="316" t="s">
        <v>437</v>
      </c>
      <c r="E17" s="316" t="s">
        <v>150</v>
      </c>
      <c r="F17" s="314" t="s">
        <v>189</v>
      </c>
      <c r="G17" s="317" t="s">
        <v>562</v>
      </c>
      <c r="H17" s="318" t="s">
        <v>53</v>
      </c>
      <c r="I17" s="319">
        <v>0.99</v>
      </c>
      <c r="J17" s="320" t="s">
        <v>363</v>
      </c>
      <c r="K17" s="321">
        <v>819015.86</v>
      </c>
      <c r="L17" s="321">
        <f t="shared" si="0"/>
        <v>409507.93</v>
      </c>
      <c r="M17" s="321">
        <f t="shared" si="1"/>
        <v>409507.93</v>
      </c>
      <c r="N17" s="322">
        <v>0.5</v>
      </c>
      <c r="O17" s="323"/>
      <c r="P17" s="324"/>
      <c r="Q17" s="324"/>
      <c r="R17" s="324"/>
      <c r="S17" s="324">
        <f t="shared" si="2"/>
        <v>409507.93</v>
      </c>
      <c r="T17" s="324"/>
      <c r="U17" s="324"/>
      <c r="V17" s="324"/>
      <c r="W17" s="325"/>
      <c r="X17" s="242"/>
      <c r="Y17" s="238" t="b">
        <f t="shared" si="3"/>
        <v>1</v>
      </c>
      <c r="Z17" s="280">
        <f t="shared" si="4"/>
        <v>0.5</v>
      </c>
      <c r="AA17" s="281" t="b">
        <f t="shared" si="5"/>
        <v>1</v>
      </c>
      <c r="AB17" s="281" t="b">
        <f t="shared" si="6"/>
        <v>1</v>
      </c>
    </row>
    <row r="18" spans="1:28" x14ac:dyDescent="0.3">
      <c r="A18" s="313">
        <v>16</v>
      </c>
      <c r="B18" s="314" t="s">
        <v>563</v>
      </c>
      <c r="C18" s="315" t="s">
        <v>213</v>
      </c>
      <c r="D18" s="316" t="s">
        <v>564</v>
      </c>
      <c r="E18" s="316" t="s">
        <v>166</v>
      </c>
      <c r="F18" s="314" t="s">
        <v>91</v>
      </c>
      <c r="G18" s="317" t="s">
        <v>565</v>
      </c>
      <c r="H18" s="318" t="s">
        <v>551</v>
      </c>
      <c r="I18" s="319">
        <v>0.96399999999999997</v>
      </c>
      <c r="J18" s="320" t="s">
        <v>363</v>
      </c>
      <c r="K18" s="321">
        <v>998235.29</v>
      </c>
      <c r="L18" s="321">
        <f t="shared" si="0"/>
        <v>499117.65</v>
      </c>
      <c r="M18" s="321">
        <f t="shared" si="1"/>
        <v>499117.64</v>
      </c>
      <c r="N18" s="322">
        <v>0.5</v>
      </c>
      <c r="O18" s="323"/>
      <c r="P18" s="324"/>
      <c r="Q18" s="324"/>
      <c r="R18" s="324"/>
      <c r="S18" s="324">
        <f t="shared" si="2"/>
        <v>499117.65</v>
      </c>
      <c r="T18" s="324"/>
      <c r="U18" s="324"/>
      <c r="V18" s="324"/>
      <c r="W18" s="325"/>
      <c r="X18" s="242"/>
      <c r="Y18" s="238" t="b">
        <f t="shared" si="3"/>
        <v>1</v>
      </c>
      <c r="Z18" s="280">
        <f t="shared" si="4"/>
        <v>0.5</v>
      </c>
      <c r="AA18" s="281" t="b">
        <f t="shared" si="5"/>
        <v>1</v>
      </c>
      <c r="AB18" s="281" t="b">
        <f t="shared" si="6"/>
        <v>1</v>
      </c>
    </row>
    <row r="19" spans="1:28" ht="20.399999999999999" x14ac:dyDescent="0.3">
      <c r="A19" s="313">
        <v>17</v>
      </c>
      <c r="B19" s="314" t="s">
        <v>566</v>
      </c>
      <c r="C19" s="315" t="s">
        <v>213</v>
      </c>
      <c r="D19" s="316" t="s">
        <v>545</v>
      </c>
      <c r="E19" s="316" t="s">
        <v>160</v>
      </c>
      <c r="F19" s="314" t="s">
        <v>103</v>
      </c>
      <c r="G19" s="317" t="s">
        <v>567</v>
      </c>
      <c r="H19" s="318" t="s">
        <v>53</v>
      </c>
      <c r="I19" s="319">
        <v>0.82</v>
      </c>
      <c r="J19" s="320" t="s">
        <v>547</v>
      </c>
      <c r="K19" s="321">
        <v>1296261.8500000001</v>
      </c>
      <c r="L19" s="321">
        <f t="shared" si="0"/>
        <v>648130.93000000005</v>
      </c>
      <c r="M19" s="321">
        <f t="shared" si="1"/>
        <v>648130.92000000004</v>
      </c>
      <c r="N19" s="322">
        <v>0.5</v>
      </c>
      <c r="O19" s="323"/>
      <c r="P19" s="324"/>
      <c r="Q19" s="324"/>
      <c r="R19" s="324"/>
      <c r="S19" s="324">
        <f t="shared" si="2"/>
        <v>648130.93000000005</v>
      </c>
      <c r="T19" s="324"/>
      <c r="U19" s="324"/>
      <c r="V19" s="324"/>
      <c r="W19" s="325"/>
      <c r="X19" s="242"/>
      <c r="Y19" s="238" t="b">
        <f t="shared" si="3"/>
        <v>1</v>
      </c>
      <c r="Z19" s="280">
        <f t="shared" si="4"/>
        <v>0.5</v>
      </c>
      <c r="AA19" s="281" t="b">
        <f t="shared" si="5"/>
        <v>1</v>
      </c>
      <c r="AB19" s="281" t="b">
        <f t="shared" si="6"/>
        <v>1</v>
      </c>
    </row>
    <row r="20" spans="1:28" ht="20.399999999999999" x14ac:dyDescent="0.3">
      <c r="A20" s="313">
        <v>18</v>
      </c>
      <c r="B20" s="314" t="s">
        <v>568</v>
      </c>
      <c r="C20" s="315" t="s">
        <v>213</v>
      </c>
      <c r="D20" s="316" t="s">
        <v>510</v>
      </c>
      <c r="E20" s="316" t="s">
        <v>164</v>
      </c>
      <c r="F20" s="314" t="s">
        <v>190</v>
      </c>
      <c r="G20" s="317" t="s">
        <v>569</v>
      </c>
      <c r="H20" s="318" t="s">
        <v>53</v>
      </c>
      <c r="I20" s="319">
        <v>0.26</v>
      </c>
      <c r="J20" s="320" t="s">
        <v>427</v>
      </c>
      <c r="K20" s="321">
        <v>276013.59000000003</v>
      </c>
      <c r="L20" s="321">
        <f t="shared" si="0"/>
        <v>138006.79999999999</v>
      </c>
      <c r="M20" s="321">
        <f t="shared" si="1"/>
        <v>138006.79000000004</v>
      </c>
      <c r="N20" s="322">
        <v>0.5</v>
      </c>
      <c r="O20" s="323"/>
      <c r="P20" s="324"/>
      <c r="Q20" s="324"/>
      <c r="R20" s="324"/>
      <c r="S20" s="324">
        <f t="shared" si="2"/>
        <v>138006.79999999999</v>
      </c>
      <c r="T20" s="324"/>
      <c r="U20" s="324"/>
      <c r="V20" s="324"/>
      <c r="W20" s="325"/>
      <c r="X20" s="242"/>
      <c r="Y20" s="238" t="b">
        <f t="shared" si="3"/>
        <v>1</v>
      </c>
      <c r="Z20" s="280">
        <f t="shared" si="4"/>
        <v>0.5</v>
      </c>
      <c r="AA20" s="281" t="b">
        <f t="shared" si="5"/>
        <v>1</v>
      </c>
      <c r="AB20" s="281" t="b">
        <f t="shared" si="6"/>
        <v>1</v>
      </c>
    </row>
    <row r="21" spans="1:28" ht="20.399999999999999" x14ac:dyDescent="0.3">
      <c r="A21" s="313">
        <v>19</v>
      </c>
      <c r="B21" s="314" t="s">
        <v>570</v>
      </c>
      <c r="C21" s="315" t="s">
        <v>213</v>
      </c>
      <c r="D21" s="316" t="s">
        <v>571</v>
      </c>
      <c r="E21" s="316" t="s">
        <v>168</v>
      </c>
      <c r="F21" s="314" t="s">
        <v>182</v>
      </c>
      <c r="G21" s="317" t="s">
        <v>572</v>
      </c>
      <c r="H21" s="318" t="s">
        <v>551</v>
      </c>
      <c r="I21" s="319">
        <v>0.99</v>
      </c>
      <c r="J21" s="320" t="s">
        <v>234</v>
      </c>
      <c r="K21" s="321">
        <v>702621.21</v>
      </c>
      <c r="L21" s="321">
        <f t="shared" si="0"/>
        <v>351310.61</v>
      </c>
      <c r="M21" s="321">
        <f t="shared" si="1"/>
        <v>351310.6</v>
      </c>
      <c r="N21" s="322">
        <v>0.5</v>
      </c>
      <c r="O21" s="323"/>
      <c r="P21" s="324"/>
      <c r="Q21" s="324"/>
      <c r="R21" s="324"/>
      <c r="S21" s="324">
        <f t="shared" si="2"/>
        <v>351310.61</v>
      </c>
      <c r="T21" s="324"/>
      <c r="U21" s="324"/>
      <c r="V21" s="324"/>
      <c r="W21" s="325"/>
      <c r="X21" s="242"/>
      <c r="Y21" s="238" t="b">
        <f t="shared" si="3"/>
        <v>1</v>
      </c>
      <c r="Z21" s="280">
        <f t="shared" si="4"/>
        <v>0.5</v>
      </c>
      <c r="AA21" s="281" t="b">
        <f t="shared" si="5"/>
        <v>1</v>
      </c>
      <c r="AB21" s="281" t="b">
        <f t="shared" si="6"/>
        <v>1</v>
      </c>
    </row>
    <row r="22" spans="1:28" x14ac:dyDescent="0.3">
      <c r="A22" s="313">
        <v>20</v>
      </c>
      <c r="B22" s="314" t="s">
        <v>573</v>
      </c>
      <c r="C22" s="315" t="s">
        <v>213</v>
      </c>
      <c r="D22" s="316" t="s">
        <v>574</v>
      </c>
      <c r="E22" s="316" t="s">
        <v>122</v>
      </c>
      <c r="F22" s="314" t="s">
        <v>185</v>
      </c>
      <c r="G22" s="317" t="s">
        <v>575</v>
      </c>
      <c r="H22" s="318" t="s">
        <v>53</v>
      </c>
      <c r="I22" s="319">
        <v>0.48699999999999999</v>
      </c>
      <c r="J22" s="320" t="s">
        <v>442</v>
      </c>
      <c r="K22" s="321">
        <v>2367503.4500000002</v>
      </c>
      <c r="L22" s="321">
        <f t="shared" si="0"/>
        <v>1420502.07</v>
      </c>
      <c r="M22" s="321">
        <f t="shared" si="1"/>
        <v>947001.38000000012</v>
      </c>
      <c r="N22" s="322">
        <v>0.6</v>
      </c>
      <c r="O22" s="323"/>
      <c r="P22" s="324"/>
      <c r="Q22" s="324"/>
      <c r="R22" s="324"/>
      <c r="S22" s="324">
        <f t="shared" si="2"/>
        <v>1420502.07</v>
      </c>
      <c r="T22" s="324"/>
      <c r="U22" s="324"/>
      <c r="V22" s="324"/>
      <c r="W22" s="325"/>
      <c r="X22" s="242"/>
      <c r="Y22" s="238" t="b">
        <f t="shared" si="3"/>
        <v>1</v>
      </c>
      <c r="Z22" s="280">
        <f t="shared" si="4"/>
        <v>0.6</v>
      </c>
      <c r="AA22" s="281" t="b">
        <f t="shared" si="5"/>
        <v>1</v>
      </c>
      <c r="AB22" s="281" t="b">
        <f t="shared" si="6"/>
        <v>1</v>
      </c>
    </row>
    <row r="23" spans="1:28" ht="20.399999999999999" x14ac:dyDescent="0.3">
      <c r="A23" s="313">
        <v>21</v>
      </c>
      <c r="B23" s="314" t="s">
        <v>576</v>
      </c>
      <c r="C23" s="315" t="s">
        <v>213</v>
      </c>
      <c r="D23" s="316" t="s">
        <v>577</v>
      </c>
      <c r="E23" s="316" t="s">
        <v>128</v>
      </c>
      <c r="F23" s="314" t="s">
        <v>180</v>
      </c>
      <c r="G23" s="317" t="s">
        <v>578</v>
      </c>
      <c r="H23" s="318" t="s">
        <v>53</v>
      </c>
      <c r="I23" s="319">
        <v>0.26800000000000002</v>
      </c>
      <c r="J23" s="320" t="s">
        <v>273</v>
      </c>
      <c r="K23" s="321">
        <v>205063.77</v>
      </c>
      <c r="L23" s="321">
        <f t="shared" si="0"/>
        <v>102531.89</v>
      </c>
      <c r="M23" s="321">
        <f t="shared" si="1"/>
        <v>102531.87999999999</v>
      </c>
      <c r="N23" s="322">
        <v>0.5</v>
      </c>
      <c r="O23" s="323"/>
      <c r="P23" s="324"/>
      <c r="Q23" s="324"/>
      <c r="R23" s="324"/>
      <c r="S23" s="324">
        <f t="shared" si="2"/>
        <v>102531.89</v>
      </c>
      <c r="T23" s="324"/>
      <c r="U23" s="324"/>
      <c r="V23" s="324"/>
      <c r="W23" s="325"/>
      <c r="X23" s="242"/>
      <c r="Y23" s="238" t="b">
        <f t="shared" si="3"/>
        <v>1</v>
      </c>
      <c r="Z23" s="280">
        <f t="shared" si="4"/>
        <v>0.5</v>
      </c>
      <c r="AA23" s="281" t="b">
        <f t="shared" si="5"/>
        <v>1</v>
      </c>
      <c r="AB23" s="281" t="b">
        <f t="shared" si="6"/>
        <v>1</v>
      </c>
    </row>
    <row r="24" spans="1:28" ht="20.399999999999999" x14ac:dyDescent="0.3">
      <c r="A24" s="313">
        <v>22</v>
      </c>
      <c r="B24" s="314" t="s">
        <v>579</v>
      </c>
      <c r="C24" s="315" t="s">
        <v>213</v>
      </c>
      <c r="D24" s="316" t="s">
        <v>490</v>
      </c>
      <c r="E24" s="316" t="s">
        <v>176</v>
      </c>
      <c r="F24" s="314" t="s">
        <v>181</v>
      </c>
      <c r="G24" s="317" t="s">
        <v>580</v>
      </c>
      <c r="H24" s="318" t="s">
        <v>53</v>
      </c>
      <c r="I24" s="319">
        <v>0.73</v>
      </c>
      <c r="J24" s="320" t="s">
        <v>492</v>
      </c>
      <c r="K24" s="321">
        <v>1896257.33</v>
      </c>
      <c r="L24" s="321">
        <f t="shared" si="0"/>
        <v>948128.67</v>
      </c>
      <c r="M24" s="321">
        <f t="shared" si="1"/>
        <v>948128.66</v>
      </c>
      <c r="N24" s="322">
        <v>0.5</v>
      </c>
      <c r="O24" s="323"/>
      <c r="P24" s="324"/>
      <c r="Q24" s="324"/>
      <c r="R24" s="324"/>
      <c r="S24" s="324">
        <f t="shared" si="2"/>
        <v>948128.67</v>
      </c>
      <c r="T24" s="324"/>
      <c r="U24" s="324"/>
      <c r="V24" s="324"/>
      <c r="W24" s="325"/>
      <c r="X24" s="242"/>
      <c r="Y24" s="238" t="b">
        <f t="shared" si="3"/>
        <v>1</v>
      </c>
      <c r="Z24" s="280">
        <f t="shared" si="4"/>
        <v>0.5</v>
      </c>
      <c r="AA24" s="281" t="b">
        <f t="shared" si="5"/>
        <v>1</v>
      </c>
      <c r="AB24" s="281" t="b">
        <f t="shared" si="6"/>
        <v>1</v>
      </c>
    </row>
    <row r="25" spans="1:28" ht="20.399999999999999" x14ac:dyDescent="0.3">
      <c r="A25" s="313">
        <v>23</v>
      </c>
      <c r="B25" s="314" t="s">
        <v>581</v>
      </c>
      <c r="C25" s="315" t="s">
        <v>213</v>
      </c>
      <c r="D25" s="316" t="s">
        <v>582</v>
      </c>
      <c r="E25" s="316" t="s">
        <v>155</v>
      </c>
      <c r="F25" s="314" t="s">
        <v>182</v>
      </c>
      <c r="G25" s="317" t="s">
        <v>583</v>
      </c>
      <c r="H25" s="318" t="s">
        <v>53</v>
      </c>
      <c r="I25" s="319">
        <v>0.16400000000000001</v>
      </c>
      <c r="J25" s="320" t="s">
        <v>367</v>
      </c>
      <c r="K25" s="321">
        <v>286241.78000000003</v>
      </c>
      <c r="L25" s="321">
        <f t="shared" si="0"/>
        <v>143120.89000000001</v>
      </c>
      <c r="M25" s="321">
        <f t="shared" si="1"/>
        <v>143120.89000000001</v>
      </c>
      <c r="N25" s="322">
        <v>0.5</v>
      </c>
      <c r="O25" s="323"/>
      <c r="P25" s="324"/>
      <c r="Q25" s="324"/>
      <c r="R25" s="324"/>
      <c r="S25" s="324">
        <f t="shared" si="2"/>
        <v>143120.89000000001</v>
      </c>
      <c r="T25" s="324"/>
      <c r="U25" s="324"/>
      <c r="V25" s="324"/>
      <c r="W25" s="325"/>
      <c r="X25" s="242"/>
      <c r="Y25" s="238" t="b">
        <f t="shared" si="3"/>
        <v>1</v>
      </c>
      <c r="Z25" s="280">
        <f t="shared" si="4"/>
        <v>0.5</v>
      </c>
      <c r="AA25" s="281" t="b">
        <f t="shared" si="5"/>
        <v>1</v>
      </c>
      <c r="AB25" s="281" t="b">
        <f t="shared" si="6"/>
        <v>1</v>
      </c>
    </row>
    <row r="26" spans="1:28" ht="20.399999999999999" x14ac:dyDescent="0.3">
      <c r="A26" s="313">
        <v>24</v>
      </c>
      <c r="B26" s="314" t="s">
        <v>584</v>
      </c>
      <c r="C26" s="315" t="s">
        <v>213</v>
      </c>
      <c r="D26" s="316" t="s">
        <v>559</v>
      </c>
      <c r="E26" s="316" t="s">
        <v>123</v>
      </c>
      <c r="F26" s="314" t="s">
        <v>103</v>
      </c>
      <c r="G26" s="317" t="s">
        <v>585</v>
      </c>
      <c r="H26" s="318" t="s">
        <v>53</v>
      </c>
      <c r="I26" s="319">
        <v>0.82699999999999996</v>
      </c>
      <c r="J26" s="320" t="s">
        <v>240</v>
      </c>
      <c r="K26" s="321">
        <v>1334016.6299999999</v>
      </c>
      <c r="L26" s="321">
        <f t="shared" si="0"/>
        <v>800409.98</v>
      </c>
      <c r="M26" s="321">
        <f t="shared" si="1"/>
        <v>533606.64999999991</v>
      </c>
      <c r="N26" s="322">
        <v>0.6</v>
      </c>
      <c r="O26" s="323"/>
      <c r="P26" s="324"/>
      <c r="Q26" s="324"/>
      <c r="R26" s="324"/>
      <c r="S26" s="324">
        <f t="shared" si="2"/>
        <v>800409.98</v>
      </c>
      <c r="T26" s="324"/>
      <c r="U26" s="324"/>
      <c r="V26" s="324"/>
      <c r="W26" s="325"/>
      <c r="X26" s="242"/>
      <c r="Y26" s="238" t="b">
        <f t="shared" si="3"/>
        <v>1</v>
      </c>
      <c r="Z26" s="280">
        <f t="shared" si="4"/>
        <v>0.6</v>
      </c>
      <c r="AA26" s="281" t="b">
        <f t="shared" si="5"/>
        <v>1</v>
      </c>
      <c r="AB26" s="281" t="b">
        <f t="shared" si="6"/>
        <v>1</v>
      </c>
    </row>
    <row r="27" spans="1:28" ht="20.399999999999999" x14ac:dyDescent="0.3">
      <c r="A27" s="313">
        <v>25</v>
      </c>
      <c r="B27" s="314" t="s">
        <v>586</v>
      </c>
      <c r="C27" s="315" t="s">
        <v>213</v>
      </c>
      <c r="D27" s="316" t="s">
        <v>476</v>
      </c>
      <c r="E27" s="316" t="s">
        <v>148</v>
      </c>
      <c r="F27" s="314" t="s">
        <v>103</v>
      </c>
      <c r="G27" s="317" t="s">
        <v>587</v>
      </c>
      <c r="H27" s="318" t="s">
        <v>53</v>
      </c>
      <c r="I27" s="319">
        <v>0.318</v>
      </c>
      <c r="J27" s="320" t="s">
        <v>267</v>
      </c>
      <c r="K27" s="321">
        <v>281603.71999999997</v>
      </c>
      <c r="L27" s="321">
        <f t="shared" si="0"/>
        <v>140801.85999999999</v>
      </c>
      <c r="M27" s="321">
        <f t="shared" si="1"/>
        <v>140801.85999999999</v>
      </c>
      <c r="N27" s="322">
        <v>0.5</v>
      </c>
      <c r="O27" s="323"/>
      <c r="P27" s="324"/>
      <c r="Q27" s="324"/>
      <c r="R27" s="324"/>
      <c r="S27" s="324">
        <f t="shared" si="2"/>
        <v>140801.85999999999</v>
      </c>
      <c r="T27" s="324"/>
      <c r="U27" s="324"/>
      <c r="V27" s="324"/>
      <c r="W27" s="325"/>
      <c r="X27" s="242"/>
      <c r="Y27" s="238" t="b">
        <f t="shared" si="3"/>
        <v>1</v>
      </c>
      <c r="Z27" s="280">
        <f t="shared" si="4"/>
        <v>0.5</v>
      </c>
      <c r="AA27" s="281" t="b">
        <f t="shared" si="5"/>
        <v>1</v>
      </c>
      <c r="AB27" s="281" t="b">
        <f t="shared" si="6"/>
        <v>1</v>
      </c>
    </row>
    <row r="28" spans="1:28" x14ac:dyDescent="0.3">
      <c r="A28" s="360" t="s">
        <v>45</v>
      </c>
      <c r="B28" s="360"/>
      <c r="C28" s="360"/>
      <c r="D28" s="360"/>
      <c r="E28" s="360"/>
      <c r="F28" s="360"/>
      <c r="G28" s="360"/>
      <c r="H28" s="360"/>
      <c r="I28" s="42">
        <f>SUM(I3:I27)</f>
        <v>15.927000000000003</v>
      </c>
      <c r="J28" s="284" t="s">
        <v>14</v>
      </c>
      <c r="K28" s="285">
        <f>SUM(K3:K27)</f>
        <v>20919212.219999995</v>
      </c>
      <c r="L28" s="285">
        <f>SUM(L3:L27)</f>
        <v>11028418.860000001</v>
      </c>
      <c r="M28" s="285">
        <f>SUM(M3:M27)</f>
        <v>9890793.3599999994</v>
      </c>
      <c r="N28" s="43" t="s">
        <v>14</v>
      </c>
      <c r="O28" s="361">
        <f t="shared" ref="O28:X28" si="7">SUM(O3:O27)</f>
        <v>0</v>
      </c>
      <c r="P28" s="361">
        <f t="shared" si="7"/>
        <v>0</v>
      </c>
      <c r="Q28" s="361">
        <f t="shared" si="7"/>
        <v>0</v>
      </c>
      <c r="R28" s="361">
        <f t="shared" si="7"/>
        <v>0</v>
      </c>
      <c r="S28" s="361">
        <f t="shared" si="7"/>
        <v>11028418.860000001</v>
      </c>
      <c r="T28" s="361">
        <f t="shared" si="7"/>
        <v>0</v>
      </c>
      <c r="U28" s="361">
        <f t="shared" si="7"/>
        <v>0</v>
      </c>
      <c r="V28" s="361">
        <f t="shared" si="7"/>
        <v>0</v>
      </c>
      <c r="W28" s="361">
        <f t="shared" si="7"/>
        <v>0</v>
      </c>
      <c r="X28" s="361">
        <f t="shared" si="7"/>
        <v>0</v>
      </c>
      <c r="Y28" s="238" t="b">
        <f t="shared" si="3"/>
        <v>1</v>
      </c>
      <c r="Z28" s="280">
        <f t="shared" si="4"/>
        <v>0.5272</v>
      </c>
      <c r="AA28" s="281" t="s">
        <v>14</v>
      </c>
      <c r="AB28" s="281" t="b">
        <f t="shared" si="6"/>
        <v>1</v>
      </c>
    </row>
    <row r="29" spans="1:28" x14ac:dyDescent="0.3">
      <c r="A29" s="364" t="s">
        <v>39</v>
      </c>
      <c r="B29" s="365"/>
      <c r="C29" s="365"/>
      <c r="D29" s="365"/>
      <c r="E29" s="365"/>
      <c r="F29" s="365"/>
      <c r="G29" s="365"/>
      <c r="H29" s="366"/>
      <c r="I29" s="42">
        <f>SUMIF($C$3:$C$27,"N",I3:I27)</f>
        <v>15.927000000000003</v>
      </c>
      <c r="J29" s="284" t="s">
        <v>14</v>
      </c>
      <c r="K29" s="285">
        <f>SUMIF($C$3:$C$27,"N",K3:K27)</f>
        <v>20919212.219999995</v>
      </c>
      <c r="L29" s="285">
        <f>SUMIF($C$3:$C$27,"N",L3:L27)</f>
        <v>11028418.860000001</v>
      </c>
      <c r="M29" s="285">
        <f>SUMIF($C$3:$C$27,"N",M3:M27)</f>
        <v>9890793.3599999994</v>
      </c>
      <c r="N29" s="43" t="s">
        <v>14</v>
      </c>
      <c r="O29" s="361">
        <f t="shared" ref="O29:X29" si="8">SUMIF($C$3:$C$27,"N",O3:O27)</f>
        <v>0</v>
      </c>
      <c r="P29" s="361">
        <f t="shared" si="8"/>
        <v>0</v>
      </c>
      <c r="Q29" s="361">
        <f t="shared" si="8"/>
        <v>0</v>
      </c>
      <c r="R29" s="361">
        <f t="shared" si="8"/>
        <v>0</v>
      </c>
      <c r="S29" s="361">
        <f t="shared" si="8"/>
        <v>11028418.860000001</v>
      </c>
      <c r="T29" s="361">
        <f t="shared" si="8"/>
        <v>0</v>
      </c>
      <c r="U29" s="361">
        <f t="shared" si="8"/>
        <v>0</v>
      </c>
      <c r="V29" s="361">
        <f t="shared" si="8"/>
        <v>0</v>
      </c>
      <c r="W29" s="361">
        <f t="shared" si="8"/>
        <v>0</v>
      </c>
      <c r="X29" s="361">
        <f t="shared" si="8"/>
        <v>0</v>
      </c>
      <c r="Y29" s="238" t="b">
        <f t="shared" si="3"/>
        <v>1</v>
      </c>
      <c r="Z29" s="280">
        <f t="shared" si="4"/>
        <v>0.5272</v>
      </c>
      <c r="AA29" s="281" t="s">
        <v>14</v>
      </c>
      <c r="AB29" s="281" t="b">
        <f t="shared" si="6"/>
        <v>1</v>
      </c>
    </row>
    <row r="30" spans="1:28" x14ac:dyDescent="0.3">
      <c r="A30" s="362" t="s">
        <v>40</v>
      </c>
      <c r="B30" s="362"/>
      <c r="C30" s="362"/>
      <c r="D30" s="362"/>
      <c r="E30" s="362"/>
      <c r="F30" s="362"/>
      <c r="G30" s="362"/>
      <c r="H30" s="362"/>
      <c r="I30" s="44">
        <f>SUMIF($C$3:$C$27,"W",I3:I27)</f>
        <v>0</v>
      </c>
      <c r="J30" s="288" t="s">
        <v>14</v>
      </c>
      <c r="K30" s="289">
        <f>SUMIF($C$3:$C$27,"W",K3:K27)</f>
        <v>0</v>
      </c>
      <c r="L30" s="289">
        <f>SUMIF($C$3:$C$27,"W",L3:L27)</f>
        <v>0</v>
      </c>
      <c r="M30" s="289">
        <f>SUMIF($C$3:$C$27,"W",M3:M27)</f>
        <v>0</v>
      </c>
      <c r="N30" s="45" t="s">
        <v>14</v>
      </c>
      <c r="O30" s="363">
        <f t="shared" ref="O30:X30" si="9">SUMIF($C$3:$C$27,"W",O3:O27)</f>
        <v>0</v>
      </c>
      <c r="P30" s="363">
        <f t="shared" si="9"/>
        <v>0</v>
      </c>
      <c r="Q30" s="363">
        <f t="shared" si="9"/>
        <v>0</v>
      </c>
      <c r="R30" s="363">
        <f t="shared" si="9"/>
        <v>0</v>
      </c>
      <c r="S30" s="363">
        <f t="shared" si="9"/>
        <v>0</v>
      </c>
      <c r="T30" s="363">
        <f t="shared" si="9"/>
        <v>0</v>
      </c>
      <c r="U30" s="363">
        <f t="shared" si="9"/>
        <v>0</v>
      </c>
      <c r="V30" s="363">
        <f t="shared" si="9"/>
        <v>0</v>
      </c>
      <c r="W30" s="363">
        <f t="shared" si="9"/>
        <v>0</v>
      </c>
      <c r="X30" s="363">
        <f t="shared" si="9"/>
        <v>0</v>
      </c>
      <c r="Y30" s="238" t="b">
        <f t="shared" si="3"/>
        <v>1</v>
      </c>
      <c r="Z30" s="280" t="e">
        <f t="shared" ref="Z30" si="10">ROUND(L30/K30,4)</f>
        <v>#DIV/0!</v>
      </c>
      <c r="AA30" s="281" t="s">
        <v>14</v>
      </c>
      <c r="AB30" s="281" t="b">
        <f t="shared" ref="AB30" si="11">K30=L30+M30</f>
        <v>1</v>
      </c>
    </row>
    <row r="31" spans="1:28" x14ac:dyDescent="0.3">
      <c r="A31" s="35"/>
    </row>
    <row r="32" spans="1:28" x14ac:dyDescent="0.3">
      <c r="A32" s="31" t="s">
        <v>25</v>
      </c>
    </row>
    <row r="33" spans="1:1" x14ac:dyDescent="0.3">
      <c r="A33" s="32" t="s">
        <v>26</v>
      </c>
    </row>
    <row r="34" spans="1:1" x14ac:dyDescent="0.3">
      <c r="A34" s="31" t="s">
        <v>36</v>
      </c>
    </row>
    <row r="35" spans="1:1" x14ac:dyDescent="0.3">
      <c r="A35" s="36"/>
    </row>
  </sheetData>
  <mergeCells count="18">
    <mergeCell ref="O1:X1"/>
    <mergeCell ref="M1:M2"/>
    <mergeCell ref="N1:N2"/>
    <mergeCell ref="A28:H28"/>
    <mergeCell ref="I1:I2"/>
    <mergeCell ref="J1:J2"/>
    <mergeCell ref="K1:K2"/>
    <mergeCell ref="L1:L2"/>
    <mergeCell ref="A1:A2"/>
    <mergeCell ref="B1:B2"/>
    <mergeCell ref="C1:C2"/>
    <mergeCell ref="F1:F2"/>
    <mergeCell ref="G1:G2"/>
    <mergeCell ref="H1:H2"/>
    <mergeCell ref="A29:H29"/>
    <mergeCell ref="D1:D2"/>
    <mergeCell ref="A30:H30"/>
    <mergeCell ref="E1:E2"/>
  </mergeCells>
  <conditionalFormatting sqref="Y3:AB28">
    <cfRule type="cellIs" dxfId="11" priority="25" operator="equal">
      <formula>FALSE</formula>
    </cfRule>
  </conditionalFormatting>
  <conditionalFormatting sqref="Y3:AA28">
    <cfRule type="containsText" dxfId="10" priority="18" operator="containsText" text="fałsz">
      <formula>NOT(ISERROR(SEARCH("fałsz",Y3)))</formula>
    </cfRule>
  </conditionalFormatting>
  <conditionalFormatting sqref="Z30:AA30">
    <cfRule type="cellIs" dxfId="9" priority="15" operator="equal">
      <formula>FALSE</formula>
    </cfRule>
  </conditionalFormatting>
  <conditionalFormatting sqref="Y30">
    <cfRule type="cellIs" dxfId="8" priority="14" operator="equal">
      <formula>FALSE</formula>
    </cfRule>
  </conditionalFormatting>
  <conditionalFormatting sqref="Y30:AA30">
    <cfRule type="containsText" dxfId="7" priority="13" operator="containsText" text="fałsz">
      <formula>NOT(ISERROR(SEARCH("fałsz",Y30)))</formula>
    </cfRule>
  </conditionalFormatting>
  <conditionalFormatting sqref="AB30">
    <cfRule type="cellIs" dxfId="6" priority="12" operator="equal">
      <formula>FALSE</formula>
    </cfRule>
  </conditionalFormatting>
  <conditionalFormatting sqref="AB30">
    <cfRule type="cellIs" dxfId="5" priority="11" operator="equal">
      <formula>FALSE</formula>
    </cfRule>
  </conditionalFormatting>
  <conditionalFormatting sqref="Y29:AA29">
    <cfRule type="containsText" dxfId="4" priority="8" operator="containsText" text="fałsz">
      <formula>NOT(ISERROR(SEARCH("fałsz",Y29)))</formula>
    </cfRule>
  </conditionalFormatting>
  <conditionalFormatting sqref="Z29:AA29">
    <cfRule type="cellIs" dxfId="3" priority="10" operator="equal">
      <formula>FALSE</formula>
    </cfRule>
  </conditionalFormatting>
  <conditionalFormatting sqref="Y29">
    <cfRule type="cellIs" dxfId="2" priority="9" operator="equal">
      <formula>FALSE</formula>
    </cfRule>
  </conditionalFormatting>
  <conditionalFormatting sqref="AB29">
    <cfRule type="cellIs" dxfId="1" priority="7" operator="equal">
      <formula>FALSE</formula>
    </cfRule>
  </conditionalFormatting>
  <conditionalFormatting sqref="AB29">
    <cfRule type="cellIs" dxfId="0" priority="6" operator="equal">
      <formula>FALSE</formula>
    </cfRule>
  </conditionalFormatting>
  <dataValidations count="2">
    <dataValidation type="list" allowBlank="1" showInputMessage="1" showErrorMessage="1" sqref="H3:H27" xr:uid="{00000000-0002-0000-0400-000000000000}">
      <formula1>"B,P,R"</formula1>
    </dataValidation>
    <dataValidation type="list" allowBlank="1" showInputMessage="1" showErrorMessage="1" sqref="C3:C27" xr:uid="{00000000-0002-0000-0400-000001000000}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50" fitToHeight="0" orientation="landscape" r:id="rId1"/>
  <headerFooter>
    <oddHeader>&amp;LWojewództwo Lubelskie - zadania gminne lista rezerwowa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9</vt:i4>
      </vt:variant>
    </vt:vector>
  </HeadingPairs>
  <TitlesOfParts>
    <vt:vector size="14" baseType="lpstr">
      <vt:lpstr>06 - "LUBELSKIE"</vt:lpstr>
      <vt:lpstr>pow podst</vt:lpstr>
      <vt:lpstr>gm podst</vt:lpstr>
      <vt:lpstr>pow rez</vt:lpstr>
      <vt:lpstr>gm rez</vt:lpstr>
      <vt:lpstr>'06 - "LUBELSKIE"'!Obszar_wydruku</vt:lpstr>
      <vt:lpstr>'gm podst'!Obszar_wydruku</vt:lpstr>
      <vt:lpstr>'gm rez'!Obszar_wydruku</vt:lpstr>
      <vt:lpstr>'pow podst'!Obszar_wydruku</vt:lpstr>
      <vt:lpstr>'pow rez'!Obszar_wydruku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Przykaza Daniel</dc:creator>
  <cp:lastModifiedBy>Bielicka Marzena</cp:lastModifiedBy>
  <cp:lastPrinted>2023-01-30T14:25:07Z</cp:lastPrinted>
  <dcterms:created xsi:type="dcterms:W3CDTF">2019-02-25T10:53:14Z</dcterms:created>
  <dcterms:modified xsi:type="dcterms:W3CDTF">2023-01-30T19:42:32Z</dcterms:modified>
</cp:coreProperties>
</file>