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5\III kwartał\2025.11.14 Dane ostateczne\Zbiorówki_2025_k3_2025.11.14\Publikacja\"/>
    </mc:Choice>
  </mc:AlternateContent>
  <xr:revisionPtr revIDLastSave="0" documentId="13_ncr:1_{A0A0B4C4-E1A5-4744-A06B-6BACCE8FB6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3" i="7" l="1"/>
  <c r="B92" i="7"/>
  <c r="B91" i="7"/>
  <c r="B90" i="7"/>
  <c r="I87" i="7"/>
  <c r="G87" i="7"/>
  <c r="I86" i="7"/>
  <c r="G86" i="7"/>
  <c r="I85" i="7"/>
  <c r="G85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L76" i="7"/>
  <c r="K76" i="7"/>
  <c r="J76" i="7"/>
  <c r="I76" i="7"/>
  <c r="H76" i="7"/>
  <c r="G76" i="7"/>
  <c r="F76" i="7"/>
  <c r="L75" i="7"/>
  <c r="K75" i="7"/>
  <c r="J75" i="7"/>
  <c r="I75" i="7"/>
  <c r="H75" i="7"/>
  <c r="G75" i="7"/>
  <c r="F75" i="7"/>
  <c r="L74" i="7"/>
  <c r="K74" i="7"/>
  <c r="J74" i="7"/>
  <c r="I74" i="7"/>
  <c r="H74" i="7"/>
  <c r="G74" i="7"/>
  <c r="F74" i="7"/>
  <c r="L73" i="7"/>
  <c r="K73" i="7"/>
  <c r="J73" i="7"/>
  <c r="I73" i="7"/>
  <c r="H73" i="7"/>
  <c r="G73" i="7"/>
  <c r="F73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B39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B38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0" i="7" l="1"/>
  <c r="A82" i="7" l="1"/>
  <c r="A63" i="7"/>
  <c r="A27" i="7"/>
  <c r="A1" i="7"/>
</calcChain>
</file>

<file path=xl/sharedStrings.xml><?xml version="1.0" encoding="utf-8"?>
<sst xmlns="http://schemas.openxmlformats.org/spreadsheetml/2006/main" count="97" uniqueCount="81">
  <si>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</si>
  <si>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</si>
  <si>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</si>
  <si>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</si>
  <si>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</si>
  <si>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</si>
  <si>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</si>
  <si>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</si>
  <si>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</si>
  <si>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</si>
  <si>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</si>
  <si>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</si>
  <si>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</si>
  <si>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</si>
  <si>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</si>
  <si>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</si>
  <si>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</si>
  <si>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</si>
  <si>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</si>
  <si>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</si>
  <si>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</si>
  <si>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</si>
  <si>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</si>
  <si>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</si>
  <si>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</si>
  <si>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</si>
  <si>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</si>
  <si>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</si>
  <si>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</si>
  <si>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</si>
  <si>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</si>
  <si>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</si>
  <si>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</si>
  <si>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</si>
  <si>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</si>
  <si>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</si>
  <si>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</si>
  <si>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</si>
  <si>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</si>
  <si>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</si>
  <si>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</si>
  <si>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</si>
  <si>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</si>
  <si>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</si>
  <si>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</si>
  <si>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  ZOBOWIĄZANIA WG TYTUŁÓW 
    DŁUŻNYCH (E1+E2+E3+E4)</t>
  </si>
  <si>
    <t>E1.1 krótkotermionowe</t>
  </si>
  <si>
    <t>E1.2 długoterminowe</t>
  </si>
  <si>
    <t>E2.1 krótkotermionowe</t>
  </si>
  <si>
    <t>E2.2 długoterminowe</t>
  </si>
  <si>
    <t>E3 przyjęte depozyty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</si>
  <si>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</si>
  <si>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</si>
  <si>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</si>
  <si>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</si>
  <si>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</si>
  <si>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</si>
  <si>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</si>
  <si>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</si>
  <si>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</si>
  <si>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</si>
  <si>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</si>
  <si>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</si>
  <si>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</si>
  <si>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</si>
  <si>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</si>
  <si>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</si>
  <si>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</si>
  <si>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</si>
  <si>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</si>
  <si>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</si>
  <si>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</si>
  <si>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</si>
  <si>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</si>
  <si>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</si>
  <si>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tytul</t>
  </si>
  <si>
    <t>w złotych</t>
  </si>
  <si>
    <t>E1 papiery wartościowe  (E1.1+E1.2)</t>
  </si>
  <si>
    <t>E2 kredyty i pożyczki (E2.1+E2.2)</t>
  </si>
  <si>
    <t>E4  wymagalne zobowiązania (E4.1+E4.2)</t>
  </si>
  <si>
    <t>N5.2 z tytułu podatków i składek na ubezpieczenia społ.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</si>
</sst>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33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6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  <font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86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7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" fillId="0" borderId="10" xfId="37" applyFont="1" applyBorder="1" applyAlignment="1">
      <alignment horizontal="left" vertical="center" wrapText="1"/>
    </xf>
    <xf numFmtId="0" fontId="31" fillId="0" borderId="17" xfId="0" applyFont="1" applyFill="1" applyBorder="1" applyAlignment="1">
      <alignment vertical="center" wrapText="1"/>
    </xf>
    <xf numFmtId="0" fontId="2" fillId="20" borderId="10" xfId="37" applyFont="1" applyFill="1" applyBorder="1" applyAlignment="1">
      <alignment horizontal="left" vertical="center" wrapText="1"/>
    </xf>
    <xf numFmtId="0" fontId="8" fillId="20" borderId="10" xfId="37" applyFont="1" applyFill="1" applyBorder="1" applyAlignment="1">
      <alignment horizontal="left" vertical="center" wrapText="1"/>
    </xf>
    <xf numFmtId="4" fontId="7" fillId="20" borderId="10" xfId="37" applyNumberFormat="1" applyFont="1" applyFill="1" applyBorder="1" applyAlignment="1">
      <alignment horizontal="right" vertical="center" wrapText="1"/>
    </xf>
    <xf numFmtId="4" fontId="7" fillId="0" borderId="10" xfId="37" applyNumberFormat="1" applyFont="1" applyBorder="1" applyAlignment="1">
      <alignment horizontal="right" vertical="center" wrapText="1"/>
    </xf>
    <xf numFmtId="4" fontId="7" fillId="20" borderId="10" xfId="37" applyNumberFormat="1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vertical="center" wrapText="1"/>
    </xf>
    <xf numFmtId="0" fontId="30" fillId="21" borderId="17" xfId="0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horizontal="right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32" fillId="0" borderId="0" xfId="37" applyFont="1" applyAlignment="1">
      <alignment horizontal="center" vertical="center" wrapText="1"/>
    </xf>
    <xf numFmtId="0" fontId="7" fillId="19" borderId="19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29" fillId="19" borderId="10" xfId="37" applyNumberFormat="1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0" fontId="6" fillId="0" borderId="0" xfId="37" applyFont="1" applyAlignment="1">
      <alignment horizontal="left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0" fontId="2" fillId="20" borderId="15" xfId="37" applyFont="1" applyFill="1" applyBorder="1" applyAlignment="1">
      <alignment horizontal="left" vertical="center" wrapText="1"/>
    </xf>
    <xf numFmtId="0" fontId="2" fillId="20" borderId="14" xfId="37" applyFont="1" applyFill="1" applyBorder="1" applyAlignment="1">
      <alignment horizontal="left" vertical="center" wrapText="1"/>
    </xf>
    <xf numFmtId="0" fontId="2" fillId="20" borderId="11" xfId="37" applyFont="1" applyFill="1" applyBorder="1" applyAlignment="1">
      <alignment horizontal="left" vertical="center" wrapText="1"/>
    </xf>
    <xf numFmtId="3" fontId="7" fillId="20" borderId="15" xfId="37" applyNumberFormat="1" applyFont="1" applyFill="1" applyBorder="1" applyAlignment="1">
      <alignment horizontal="right" vertical="center" wrapText="1"/>
    </xf>
    <xf numFmtId="3" fontId="7" fillId="20" borderId="11" xfId="37" applyNumberFormat="1" applyFont="1" applyFill="1" applyBorder="1" applyAlignment="1">
      <alignment horizontal="right" vertical="center" wrapText="1"/>
    </xf>
    <xf numFmtId="4" fontId="7" fillId="20" borderId="15" xfId="37" applyNumberFormat="1" applyFont="1" applyFill="1" applyBorder="1" applyAlignment="1">
      <alignment horizontal="right" vertical="center" wrapText="1"/>
    </xf>
    <xf numFmtId="4" fontId="7" fillId="20" borderId="11" xfId="37" applyNumberFormat="1" applyFont="1" applyFill="1" applyBorder="1" applyAlignment="1">
      <alignment horizontal="right" vertical="center" wrapText="1"/>
    </xf>
    <xf numFmtId="0" fontId="5" fillId="19" borderId="22" xfId="37" applyFont="1" applyFill="1" applyBorder="1" applyAlignment="1">
      <alignment horizontal="center" vertical="center" wrapText="1"/>
    </xf>
    <xf numFmtId="0" fontId="5" fillId="19" borderId="21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29" fillId="19" borderId="10" xfId="37" applyFont="1" applyFill="1" applyBorder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28" fillId="19" borderId="19" xfId="37" applyFont="1" applyFill="1" applyBorder="1" applyAlignment="1">
      <alignment horizontal="center" vertical="center" wrapText="1"/>
    </xf>
    <xf numFmtId="0" fontId="28" fillId="19" borderId="20" xfId="37" applyFont="1" applyFill="1" applyBorder="1" applyAlignment="1">
      <alignment horizontal="center" vertical="center" wrapText="1"/>
    </xf>
    <xf numFmtId="0" fontId="28" fillId="19" borderId="12" xfId="37" applyFont="1" applyFill="1" applyBorder="1" applyAlignment="1">
      <alignment horizontal="center" vertical="center" wrapText="1"/>
    </xf>
    <xf numFmtId="0" fontId="28" fillId="19" borderId="15" xfId="37" applyFont="1" applyFill="1" applyBorder="1" applyAlignment="1">
      <alignment horizontal="center" vertical="center" wrapText="1"/>
    </xf>
    <xf numFmtId="0" fontId="28" fillId="19" borderId="14" xfId="37" applyFont="1" applyFill="1" applyBorder="1" applyAlignment="1">
      <alignment horizontal="center" vertical="center" wrapText="1"/>
    </xf>
    <xf numFmtId="0" fontId="28" fillId="19" borderId="11" xfId="37" applyFont="1" applyFill="1" applyBorder="1" applyAlignment="1">
      <alignment horizontal="center" vertical="center" wrapText="1"/>
    </xf>
    <xf numFmtId="0" fontId="7" fillId="19" borderId="21" xfId="37" applyFont="1" applyFill="1" applyBorder="1" applyAlignment="1">
      <alignment horizontal="center" vertical="center" wrapText="1"/>
    </xf>
    <xf numFmtId="0" fontId="7" fillId="19" borderId="13" xfId="37" applyFont="1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y" xfId="0" builtinId="0"/>
    <cellStyle name="Normalny_Zeszyt1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Q93"/>
  <sheetViews>
    <sheetView tabSelected="1" zoomScaleNormal="100" zoomScaleSheetLayoutView="75" workbookViewId="0">
      <selection sqref="A1:M1"/>
    </sheetView>
  </sheetViews>
  <sheetFormatPr defaultRowHeight="13.5" customHeight="1" x14ac:dyDescent="0.2"/>
  <cols>
    <col min="1" max="1" width="22.5703125" style="2" customWidth="1"/>
    <col min="2" max="3" width="13.7109375" style="2" customWidth="1"/>
    <col min="4" max="6" width="11.42578125" style="2" customWidth="1"/>
    <col min="7" max="7" width="12.140625" style="2" customWidth="1"/>
    <col min="8" max="8" width="12" style="2" customWidth="1"/>
    <col min="9" max="9" width="12.5703125" style="2" customWidth="1"/>
    <col min="10" max="10" width="12.85546875" style="2" customWidth="1"/>
    <col min="11" max="11" width="12.140625" style="2" customWidth="1"/>
    <col min="12" max="12" width="11.42578125" style="2" customWidth="1"/>
    <col min="13" max="13" width="10" style="2" customWidth="1"/>
    <col min="14" max="14" width="10.28515625" style="2" customWidth="1"/>
    <col min="15" max="15" width="9.140625" style="2"/>
    <col min="16" max="16" width="10.28515625" style="2" customWidth="1"/>
    <col min="17" max="16384" width="9.140625" style="2"/>
  </cols>
  <sheetData>
    <row r="1" spans="1:17" ht="39.75" customHeight="1" x14ac:dyDescent="0.2">
      <c r="A1" s="31" t="str">
        <f>CONCATENATE("Informacja z wykonania budżetów powiatów za   ",$C$90," ",$B$91," roku    ",$B$93,"")</f>
        <v xml:space="preserve">Informacja z wykonania budżetów powiatów za   III Kwartały 2025 roku    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41" t="s">
        <v>60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5" spans="1:17" ht="13.5" customHeight="1" x14ac:dyDescent="0.2">
      <c r="B5" s="12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11"/>
      <c r="O5" s="11"/>
      <c r="P5" s="11"/>
      <c r="Q5" s="11"/>
    </row>
    <row r="6" spans="1:17" ht="13.5" customHeight="1" x14ac:dyDescent="0.2">
      <c r="A6" s="72" t="s">
        <v>0</v>
      </c>
      <c r="B6" s="32" t="s">
        <v>61</v>
      </c>
      <c r="C6" s="27" t="s">
        <v>65</v>
      </c>
      <c r="D6" s="28"/>
      <c r="E6" s="28"/>
      <c r="F6" s="28"/>
      <c r="G6" s="28"/>
      <c r="H6" s="28"/>
      <c r="I6" s="28"/>
      <c r="J6" s="28"/>
      <c r="K6" s="28"/>
      <c r="L6" s="28"/>
      <c r="M6" s="28"/>
      <c r="N6" s="29"/>
      <c r="O6" s="27" t="s">
        <v>64</v>
      </c>
      <c r="P6" s="28"/>
      <c r="Q6" s="29"/>
    </row>
    <row r="7" spans="1:17" ht="13.5" customHeight="1" x14ac:dyDescent="0.2">
      <c r="A7" s="73"/>
      <c r="B7" s="33"/>
      <c r="C7" s="34" t="s">
        <v>62</v>
      </c>
      <c r="D7" s="34" t="s">
        <v>73</v>
      </c>
      <c r="E7" s="34" t="s">
        <v>66</v>
      </c>
      <c r="F7" s="34" t="s">
        <v>67</v>
      </c>
      <c r="G7" s="34" t="s">
        <v>27</v>
      </c>
      <c r="H7" s="34" t="s">
        <v>28</v>
      </c>
      <c r="I7" s="78" t="s">
        <v>63</v>
      </c>
      <c r="J7" s="34" t="s">
        <v>16</v>
      </c>
      <c r="K7" s="34" t="s">
        <v>17</v>
      </c>
      <c r="L7" s="34" t="s">
        <v>18</v>
      </c>
      <c r="M7" s="34" t="s">
        <v>19</v>
      </c>
      <c r="N7" s="33" t="s">
        <v>20</v>
      </c>
      <c r="O7" s="30" t="s">
        <v>21</v>
      </c>
      <c r="P7" s="30" t="s">
        <v>22</v>
      </c>
      <c r="Q7" s="30" t="s">
        <v>23</v>
      </c>
    </row>
    <row r="8" spans="1:17" ht="13.5" customHeight="1" x14ac:dyDescent="0.2">
      <c r="A8" s="73"/>
      <c r="B8" s="33"/>
      <c r="C8" s="30"/>
      <c r="D8" s="30"/>
      <c r="E8" s="30"/>
      <c r="F8" s="30"/>
      <c r="G8" s="30"/>
      <c r="H8" s="30"/>
      <c r="I8" s="78"/>
      <c r="J8" s="30"/>
      <c r="K8" s="30"/>
      <c r="L8" s="30"/>
      <c r="M8" s="30"/>
      <c r="N8" s="33"/>
      <c r="O8" s="30"/>
      <c r="P8" s="30"/>
      <c r="Q8" s="30"/>
    </row>
    <row r="9" spans="1:17" ht="11.25" customHeight="1" x14ac:dyDescent="0.2">
      <c r="A9" s="73"/>
      <c r="B9" s="33"/>
      <c r="C9" s="30"/>
      <c r="D9" s="30"/>
      <c r="E9" s="30"/>
      <c r="F9" s="30"/>
      <c r="G9" s="30"/>
      <c r="H9" s="30"/>
      <c r="I9" s="78"/>
      <c r="J9" s="30"/>
      <c r="K9" s="30"/>
      <c r="L9" s="30"/>
      <c r="M9" s="30"/>
      <c r="N9" s="33"/>
      <c r="O9" s="30"/>
      <c r="P9" s="30"/>
      <c r="Q9" s="30"/>
    </row>
    <row r="10" spans="1:17" ht="33.75" customHeight="1" x14ac:dyDescent="0.2">
      <c r="A10" s="74"/>
      <c r="B10" s="34"/>
      <c r="C10" s="30"/>
      <c r="D10" s="30"/>
      <c r="E10" s="30"/>
      <c r="F10" s="30"/>
      <c r="G10" s="30"/>
      <c r="H10" s="30"/>
      <c r="I10" s="79"/>
      <c r="J10" s="30"/>
      <c r="K10" s="30"/>
      <c r="L10" s="30"/>
      <c r="M10" s="30"/>
      <c r="N10" s="34"/>
      <c r="O10" s="30"/>
      <c r="P10" s="30"/>
      <c r="Q10" s="30"/>
    </row>
    <row r="11" spans="1:17" ht="15.75" customHeight="1" x14ac:dyDescent="0.2">
      <c r="A11" s="13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13">
        <v>11</v>
      </c>
      <c r="L11" s="13">
        <v>12</v>
      </c>
      <c r="M11" s="13">
        <v>13</v>
      </c>
      <c r="N11" s="13">
        <v>14</v>
      </c>
      <c r="O11" s="13">
        <v>15</v>
      </c>
      <c r="P11" s="13">
        <v>16</v>
      </c>
      <c r="Q11" s="13">
        <v>17</v>
      </c>
    </row>
    <row r="12" spans="1:17" ht="12" customHeight="1" x14ac:dyDescent="0.2">
      <c r="A12" s="13"/>
      <c r="B12" s="80" t="s">
        <v>76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2"/>
    </row>
    <row r="13" spans="1:17" ht="39.75" customHeight="1" x14ac:dyDescent="0.2">
      <c r="A13" s="20" t="s">
        <v>45</v>
      </c>
      <c r="B13" s="21">
        <f>6898525570</f>
        <v>6898525570</v>
      </c>
      <c r="C13" s="21">
        <f>6898525570</f>
        <v>6898525570</v>
      </c>
      <c r="D13" s="21">
        <f>232733517.44</f>
        <v>232733517.44</v>
      </c>
      <c r="E13" s="21">
        <f>189584882.86</f>
        <v>189584882.86000001</v>
      </c>
      <c r="F13" s="21">
        <f>5416432.09</f>
        <v>5416432.0899999999</v>
      </c>
      <c r="G13" s="21">
        <f>37732202.46</f>
        <v>37732202.460000001</v>
      </c>
      <c r="H13" s="21">
        <f>0.03</f>
        <v>0.03</v>
      </c>
      <c r="I13" s="21">
        <f>0</f>
        <v>0</v>
      </c>
      <c r="J13" s="21">
        <f>6297060745.82</f>
        <v>6297060745.8199997</v>
      </c>
      <c r="K13" s="21">
        <f>364745348.38</f>
        <v>364745348.38</v>
      </c>
      <c r="L13" s="21">
        <f>2188271.15</f>
        <v>2188271.15</v>
      </c>
      <c r="M13" s="21">
        <f>103552.11</f>
        <v>103552.11</v>
      </c>
      <c r="N13" s="21">
        <f>1694135.1</f>
        <v>1694135.1</v>
      </c>
      <c r="O13" s="21">
        <f>0</f>
        <v>0</v>
      </c>
      <c r="P13" s="21">
        <f>0</f>
        <v>0</v>
      </c>
      <c r="Q13" s="21">
        <f>0</f>
        <v>0</v>
      </c>
    </row>
    <row r="14" spans="1:17" ht="24.75" customHeight="1" x14ac:dyDescent="0.2">
      <c r="A14" s="19" t="s">
        <v>77</v>
      </c>
      <c r="B14" s="21">
        <f>52850000</f>
        <v>52850000</v>
      </c>
      <c r="C14" s="21">
        <f>52850000</f>
        <v>52850000</v>
      </c>
      <c r="D14" s="21">
        <f>0</f>
        <v>0</v>
      </c>
      <c r="E14" s="21">
        <f>0</f>
        <v>0</v>
      </c>
      <c r="F14" s="21">
        <f>0</f>
        <v>0</v>
      </c>
      <c r="G14" s="21">
        <f>0</f>
        <v>0</v>
      </c>
      <c r="H14" s="21">
        <f>0</f>
        <v>0</v>
      </c>
      <c r="I14" s="21">
        <f>0</f>
        <v>0</v>
      </c>
      <c r="J14" s="21">
        <f>52850000</f>
        <v>52850000</v>
      </c>
      <c r="K14" s="21">
        <f>0</f>
        <v>0</v>
      </c>
      <c r="L14" s="21">
        <f>0</f>
        <v>0</v>
      </c>
      <c r="M14" s="21">
        <f>0</f>
        <v>0</v>
      </c>
      <c r="N14" s="21">
        <f>0</f>
        <v>0</v>
      </c>
      <c r="O14" s="21">
        <f>0</f>
        <v>0</v>
      </c>
      <c r="P14" s="21">
        <f>0</f>
        <v>0</v>
      </c>
      <c r="Q14" s="21">
        <f>0</f>
        <v>0</v>
      </c>
    </row>
    <row r="15" spans="1:17" ht="21" customHeight="1" x14ac:dyDescent="0.2">
      <c r="A15" s="17" t="s">
        <v>46</v>
      </c>
      <c r="B15" s="22">
        <f>0</f>
        <v>0</v>
      </c>
      <c r="C15" s="22">
        <f>0</f>
        <v>0</v>
      </c>
      <c r="D15" s="22">
        <f>0</f>
        <v>0</v>
      </c>
      <c r="E15" s="22">
        <f>0</f>
        <v>0</v>
      </c>
      <c r="F15" s="22">
        <f>0</f>
        <v>0</v>
      </c>
      <c r="G15" s="22">
        <f>0</f>
        <v>0</v>
      </c>
      <c r="H15" s="22">
        <f>0</f>
        <v>0</v>
      </c>
      <c r="I15" s="22">
        <f>0</f>
        <v>0</v>
      </c>
      <c r="J15" s="22">
        <f>0</f>
        <v>0</v>
      </c>
      <c r="K15" s="22">
        <f>0</f>
        <v>0</v>
      </c>
      <c r="L15" s="22">
        <f>0</f>
        <v>0</v>
      </c>
      <c r="M15" s="22">
        <f>0</f>
        <v>0</v>
      </c>
      <c r="N15" s="22">
        <f>0</f>
        <v>0</v>
      </c>
      <c r="O15" s="22">
        <f>0</f>
        <v>0</v>
      </c>
      <c r="P15" s="22">
        <f>0</f>
        <v>0</v>
      </c>
      <c r="Q15" s="22">
        <f>0</f>
        <v>0</v>
      </c>
    </row>
    <row r="16" spans="1:17" ht="20.25" customHeight="1" x14ac:dyDescent="0.2">
      <c r="A16" s="17" t="s">
        <v>47</v>
      </c>
      <c r="B16" s="22">
        <f>52850000</f>
        <v>52850000</v>
      </c>
      <c r="C16" s="22">
        <f>52850000</f>
        <v>52850000</v>
      </c>
      <c r="D16" s="22">
        <f>0</f>
        <v>0</v>
      </c>
      <c r="E16" s="22">
        <f>0</f>
        <v>0</v>
      </c>
      <c r="F16" s="22">
        <f>0</f>
        <v>0</v>
      </c>
      <c r="G16" s="22">
        <f>0</f>
        <v>0</v>
      </c>
      <c r="H16" s="22">
        <f>0</f>
        <v>0</v>
      </c>
      <c r="I16" s="22">
        <f>0</f>
        <v>0</v>
      </c>
      <c r="J16" s="22">
        <f>52850000</f>
        <v>52850000</v>
      </c>
      <c r="K16" s="22">
        <f>0</f>
        <v>0</v>
      </c>
      <c r="L16" s="22">
        <f>0</f>
        <v>0</v>
      </c>
      <c r="M16" s="22">
        <f>0</f>
        <v>0</v>
      </c>
      <c r="N16" s="22">
        <f>0</f>
        <v>0</v>
      </c>
      <c r="O16" s="22">
        <f>0</f>
        <v>0</v>
      </c>
      <c r="P16" s="22">
        <f>0</f>
        <v>0</v>
      </c>
      <c r="Q16" s="22">
        <f>0</f>
        <v>0</v>
      </c>
    </row>
    <row r="17" spans="1:17" ht="24" customHeight="1" x14ac:dyDescent="0.2">
      <c r="A17" s="20" t="s">
        <v>78</v>
      </c>
      <c r="B17" s="21">
        <f>6839530223</f>
        <v>6839530223</v>
      </c>
      <c r="C17" s="21">
        <f>6839530223</f>
        <v>6839530223</v>
      </c>
      <c r="D17" s="21">
        <f>227637797.54</f>
        <v>227637797.53999999</v>
      </c>
      <c r="E17" s="21">
        <f>189495310.4</f>
        <v>189495310.40000001</v>
      </c>
      <c r="F17" s="21">
        <f>5416432.09</f>
        <v>5416432.0899999999</v>
      </c>
      <c r="G17" s="21">
        <f>32726055.05</f>
        <v>32726055.050000001</v>
      </c>
      <c r="H17" s="21">
        <f>0</f>
        <v>0</v>
      </c>
      <c r="I17" s="21">
        <f>0</f>
        <v>0</v>
      </c>
      <c r="J17" s="21">
        <f>6244210745.81</f>
        <v>6244210745.8100004</v>
      </c>
      <c r="K17" s="21">
        <f>364745348.38</f>
        <v>364745348.38</v>
      </c>
      <c r="L17" s="21">
        <f>1743293.97</f>
        <v>1743293.97</v>
      </c>
      <c r="M17" s="21">
        <f>0</f>
        <v>0</v>
      </c>
      <c r="N17" s="21">
        <f>1193037.3</f>
        <v>1193037.3</v>
      </c>
      <c r="O17" s="21">
        <f>0</f>
        <v>0</v>
      </c>
      <c r="P17" s="21">
        <f>0</f>
        <v>0</v>
      </c>
      <c r="Q17" s="21">
        <f>0</f>
        <v>0</v>
      </c>
    </row>
    <row r="18" spans="1:17" ht="23.25" customHeight="1" x14ac:dyDescent="0.2">
      <c r="A18" s="17" t="s">
        <v>48</v>
      </c>
      <c r="B18" s="22">
        <f>19278385.68</f>
        <v>19278385.68</v>
      </c>
      <c r="C18" s="22">
        <f>19278385.68</f>
        <v>19278385.68</v>
      </c>
      <c r="D18" s="22">
        <f>0</f>
        <v>0</v>
      </c>
      <c r="E18" s="22">
        <f>0</f>
        <v>0</v>
      </c>
      <c r="F18" s="22">
        <f>0</f>
        <v>0</v>
      </c>
      <c r="G18" s="22">
        <f>0</f>
        <v>0</v>
      </c>
      <c r="H18" s="22">
        <f>0</f>
        <v>0</v>
      </c>
      <c r="I18" s="22">
        <f>0</f>
        <v>0</v>
      </c>
      <c r="J18" s="22">
        <f>18768752.94</f>
        <v>18768752.940000001</v>
      </c>
      <c r="K18" s="22">
        <f>296794.74</f>
        <v>296794.74</v>
      </c>
      <c r="L18" s="22">
        <f>212838</f>
        <v>212838</v>
      </c>
      <c r="M18" s="22">
        <f>0</f>
        <v>0</v>
      </c>
      <c r="N18" s="22">
        <f>0</f>
        <v>0</v>
      </c>
      <c r="O18" s="22">
        <f>0</f>
        <v>0</v>
      </c>
      <c r="P18" s="22">
        <f>0</f>
        <v>0</v>
      </c>
      <c r="Q18" s="22">
        <f>0</f>
        <v>0</v>
      </c>
    </row>
    <row r="19" spans="1:17" ht="21.75" customHeight="1" x14ac:dyDescent="0.2">
      <c r="A19" s="17" t="s">
        <v>49</v>
      </c>
      <c r="B19" s="22">
        <f>6820251837.32</f>
        <v>6820251837.3199997</v>
      </c>
      <c r="C19" s="22">
        <f>6820251837.32</f>
        <v>6820251837.3199997</v>
      </c>
      <c r="D19" s="22">
        <f>227637797.54</f>
        <v>227637797.53999999</v>
      </c>
      <c r="E19" s="22">
        <f>189495310.4</f>
        <v>189495310.40000001</v>
      </c>
      <c r="F19" s="22">
        <f>5416432.09</f>
        <v>5416432.0899999999</v>
      </c>
      <c r="G19" s="22">
        <f>32726055.05</f>
        <v>32726055.050000001</v>
      </c>
      <c r="H19" s="22">
        <f>0</f>
        <v>0</v>
      </c>
      <c r="I19" s="22">
        <f>0</f>
        <v>0</v>
      </c>
      <c r="J19" s="22">
        <f>6225441992.87</f>
        <v>6225441992.8699999</v>
      </c>
      <c r="K19" s="22">
        <f>364448553.64</f>
        <v>364448553.63999999</v>
      </c>
      <c r="L19" s="22">
        <f>1530455.97</f>
        <v>1530455.97</v>
      </c>
      <c r="M19" s="22">
        <f>0</f>
        <v>0</v>
      </c>
      <c r="N19" s="22">
        <f>1193037.3</f>
        <v>1193037.3</v>
      </c>
      <c r="O19" s="22">
        <f>0</f>
        <v>0</v>
      </c>
      <c r="P19" s="22">
        <f>0</f>
        <v>0</v>
      </c>
      <c r="Q19" s="22">
        <f>0</f>
        <v>0</v>
      </c>
    </row>
    <row r="20" spans="1:17" ht="21.75" customHeight="1" x14ac:dyDescent="0.2">
      <c r="A20" s="17" t="s">
        <v>50</v>
      </c>
      <c r="B20" s="22">
        <f>5000000</f>
        <v>5000000</v>
      </c>
      <c r="C20" s="22">
        <f>5000000</f>
        <v>5000000</v>
      </c>
      <c r="D20" s="22">
        <f>5000000</f>
        <v>5000000</v>
      </c>
      <c r="E20" s="22">
        <f>0</f>
        <v>0</v>
      </c>
      <c r="F20" s="22">
        <f>0</f>
        <v>0</v>
      </c>
      <c r="G20" s="22">
        <f>5000000</f>
        <v>5000000</v>
      </c>
      <c r="H20" s="22">
        <f>0</f>
        <v>0</v>
      </c>
      <c r="I20" s="22">
        <f>0</f>
        <v>0</v>
      </c>
      <c r="J20" s="22">
        <f>0</f>
        <v>0</v>
      </c>
      <c r="K20" s="22">
        <f>0</f>
        <v>0</v>
      </c>
      <c r="L20" s="22">
        <f>0</f>
        <v>0</v>
      </c>
      <c r="M20" s="22">
        <f>0</f>
        <v>0</v>
      </c>
      <c r="N20" s="22">
        <f>0</f>
        <v>0</v>
      </c>
      <c r="O20" s="22">
        <f>0</f>
        <v>0</v>
      </c>
      <c r="P20" s="22">
        <f>0</f>
        <v>0</v>
      </c>
      <c r="Q20" s="22">
        <f>0</f>
        <v>0</v>
      </c>
    </row>
    <row r="21" spans="1:17" ht="24.75" customHeight="1" x14ac:dyDescent="0.2">
      <c r="A21" s="20" t="s">
        <v>79</v>
      </c>
      <c r="B21" s="21">
        <f>1145347</f>
        <v>1145347</v>
      </c>
      <c r="C21" s="21">
        <f>1145347</f>
        <v>1145347</v>
      </c>
      <c r="D21" s="21">
        <f>95719.9</f>
        <v>95719.9</v>
      </c>
      <c r="E21" s="21">
        <f>89572.46</f>
        <v>89572.46</v>
      </c>
      <c r="F21" s="21">
        <f>0</f>
        <v>0</v>
      </c>
      <c r="G21" s="21">
        <f>6147.41</f>
        <v>6147.41</v>
      </c>
      <c r="H21" s="21">
        <f>0.03</f>
        <v>0.03</v>
      </c>
      <c r="I21" s="21">
        <f>0</f>
        <v>0</v>
      </c>
      <c r="J21" s="21">
        <f>0.01</f>
        <v>0.01</v>
      </c>
      <c r="K21" s="21">
        <f>0</f>
        <v>0</v>
      </c>
      <c r="L21" s="21">
        <f>444977.18</f>
        <v>444977.18</v>
      </c>
      <c r="M21" s="21">
        <f>103552.11</f>
        <v>103552.11</v>
      </c>
      <c r="N21" s="21">
        <f>501097.8</f>
        <v>501097.8</v>
      </c>
      <c r="O21" s="21">
        <f>0</f>
        <v>0</v>
      </c>
      <c r="P21" s="21">
        <f>0</f>
        <v>0</v>
      </c>
      <c r="Q21" s="21">
        <f>0</f>
        <v>0</v>
      </c>
    </row>
    <row r="22" spans="1:17" ht="22.5" x14ac:dyDescent="0.2">
      <c r="A22" s="17" t="s">
        <v>51</v>
      </c>
      <c r="B22" s="22">
        <f>818956.57</f>
        <v>818956.57</v>
      </c>
      <c r="C22" s="22">
        <f>818956.57</f>
        <v>818956.57</v>
      </c>
      <c r="D22" s="22">
        <f>6147.41</f>
        <v>6147.41</v>
      </c>
      <c r="E22" s="22">
        <f>0</f>
        <v>0</v>
      </c>
      <c r="F22" s="22">
        <f>0</f>
        <v>0</v>
      </c>
      <c r="G22" s="22">
        <f>6147.41</f>
        <v>6147.41</v>
      </c>
      <c r="H22" s="22">
        <f>0</f>
        <v>0</v>
      </c>
      <c r="I22" s="22">
        <f>0</f>
        <v>0</v>
      </c>
      <c r="J22" s="22">
        <f>0.01</f>
        <v>0.01</v>
      </c>
      <c r="K22" s="22">
        <f>0</f>
        <v>0</v>
      </c>
      <c r="L22" s="22">
        <f>281663.21</f>
        <v>281663.21000000002</v>
      </c>
      <c r="M22" s="22">
        <f>44034.14</f>
        <v>44034.14</v>
      </c>
      <c r="N22" s="22">
        <f>487111.8</f>
        <v>487111.8</v>
      </c>
      <c r="O22" s="22">
        <f>0</f>
        <v>0</v>
      </c>
      <c r="P22" s="22">
        <f>0</f>
        <v>0</v>
      </c>
      <c r="Q22" s="22">
        <f>0</f>
        <v>0</v>
      </c>
    </row>
    <row r="23" spans="1:17" ht="23.25" customHeight="1" x14ac:dyDescent="0.2">
      <c r="A23" s="17" t="s">
        <v>52</v>
      </c>
      <c r="B23" s="22">
        <f>326390.43</f>
        <v>326390.43</v>
      </c>
      <c r="C23" s="22">
        <f>326390.43</f>
        <v>326390.43</v>
      </c>
      <c r="D23" s="22">
        <f>89572.49</f>
        <v>89572.49</v>
      </c>
      <c r="E23" s="22">
        <f>89572.46</f>
        <v>89572.46</v>
      </c>
      <c r="F23" s="22">
        <f>0</f>
        <v>0</v>
      </c>
      <c r="G23" s="22">
        <f>0</f>
        <v>0</v>
      </c>
      <c r="H23" s="22">
        <f>0.03</f>
        <v>0.03</v>
      </c>
      <c r="I23" s="22">
        <f>0</f>
        <v>0</v>
      </c>
      <c r="J23" s="22">
        <f>0</f>
        <v>0</v>
      </c>
      <c r="K23" s="22">
        <f>0</f>
        <v>0</v>
      </c>
      <c r="L23" s="22">
        <f>163313.97</f>
        <v>163313.97</v>
      </c>
      <c r="M23" s="22">
        <f>59517.97</f>
        <v>59517.97</v>
      </c>
      <c r="N23" s="22">
        <f>13986</f>
        <v>13986</v>
      </c>
      <c r="O23" s="22">
        <f>0</f>
        <v>0</v>
      </c>
      <c r="P23" s="22">
        <f>0</f>
        <v>0</v>
      </c>
      <c r="Q23" s="22">
        <f>0</f>
        <v>0</v>
      </c>
    </row>
    <row r="24" spans="1:17" ht="19.5" customHeight="1" x14ac:dyDescent="0.2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 ht="19.5" customHeight="1" x14ac:dyDescent="0.2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9.5" customHeight="1" x14ac:dyDescent="0.2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ht="45.75" customHeight="1" x14ac:dyDescent="0.2">
      <c r="A27" s="31" t="str">
        <f>CONCATENATE("Informacja z wykonania budżetów powiatów za   ",$C$90," ",$B$91," roku    ",$B$93,"")</f>
        <v xml:space="preserve">Informacja z wykonania budżetów powiatów za   III Kwartały 2025 roku    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</row>
    <row r="29" spans="1:17" ht="13.5" customHeight="1" x14ac:dyDescent="0.2">
      <c r="A29" s="41" t="s">
        <v>11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</row>
    <row r="31" spans="1:17" ht="13.5" customHeight="1" x14ac:dyDescent="0.2">
      <c r="A31" s="72" t="s">
        <v>0</v>
      </c>
      <c r="B31" s="32" t="s">
        <v>12</v>
      </c>
      <c r="C31" s="75" t="s">
        <v>14</v>
      </c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7"/>
      <c r="O31" s="75" t="s">
        <v>24</v>
      </c>
      <c r="P31" s="76"/>
      <c r="Q31" s="77"/>
    </row>
    <row r="32" spans="1:17" ht="13.5" customHeight="1" x14ac:dyDescent="0.2">
      <c r="A32" s="73"/>
      <c r="B32" s="33"/>
      <c r="C32" s="33" t="s">
        <v>13</v>
      </c>
      <c r="D32" s="30" t="s">
        <v>15</v>
      </c>
      <c r="E32" s="30" t="s">
        <v>25</v>
      </c>
      <c r="F32" s="30" t="s">
        <v>26</v>
      </c>
      <c r="G32" s="30" t="s">
        <v>70</v>
      </c>
      <c r="H32" s="30" t="s">
        <v>28</v>
      </c>
      <c r="I32" s="30" t="s">
        <v>1</v>
      </c>
      <c r="J32" s="30" t="s">
        <v>16</v>
      </c>
      <c r="K32" s="30" t="s">
        <v>17</v>
      </c>
      <c r="L32" s="30" t="s">
        <v>18</v>
      </c>
      <c r="M32" s="30" t="s">
        <v>19</v>
      </c>
      <c r="N32" s="35" t="s">
        <v>20</v>
      </c>
      <c r="O32" s="30" t="s">
        <v>21</v>
      </c>
      <c r="P32" s="30" t="s">
        <v>22</v>
      </c>
      <c r="Q32" s="32" t="s">
        <v>23</v>
      </c>
    </row>
    <row r="33" spans="1:17" ht="13.5" customHeight="1" x14ac:dyDescent="0.2">
      <c r="A33" s="73"/>
      <c r="B33" s="33"/>
      <c r="C33" s="33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5"/>
      <c r="O33" s="30"/>
      <c r="P33" s="30"/>
      <c r="Q33" s="33"/>
    </row>
    <row r="34" spans="1:17" ht="11.25" customHeight="1" x14ac:dyDescent="0.2">
      <c r="A34" s="73"/>
      <c r="B34" s="33"/>
      <c r="C34" s="33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5"/>
      <c r="O34" s="30"/>
      <c r="P34" s="30"/>
      <c r="Q34" s="33"/>
    </row>
    <row r="35" spans="1:17" ht="41.25" customHeight="1" x14ac:dyDescent="0.2">
      <c r="A35" s="74"/>
      <c r="B35" s="34"/>
      <c r="C35" s="34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5"/>
      <c r="O35" s="30"/>
      <c r="P35" s="30"/>
      <c r="Q35" s="34"/>
    </row>
    <row r="36" spans="1:17" ht="15.75" customHeight="1" x14ac:dyDescent="0.2">
      <c r="A36" s="13">
        <v>1</v>
      </c>
      <c r="B36" s="13">
        <v>2</v>
      </c>
      <c r="C36" s="13">
        <v>3</v>
      </c>
      <c r="D36" s="13">
        <v>4</v>
      </c>
      <c r="E36" s="13">
        <v>5</v>
      </c>
      <c r="F36" s="13">
        <v>6</v>
      </c>
      <c r="G36" s="13">
        <v>7</v>
      </c>
      <c r="H36" s="13">
        <v>8</v>
      </c>
      <c r="I36" s="13">
        <v>9</v>
      </c>
      <c r="J36" s="13">
        <v>10</v>
      </c>
      <c r="K36" s="13">
        <v>11</v>
      </c>
      <c r="L36" s="13">
        <v>12</v>
      </c>
      <c r="M36" s="13">
        <v>13</v>
      </c>
      <c r="N36" s="13">
        <v>14</v>
      </c>
      <c r="O36" s="13">
        <v>15</v>
      </c>
      <c r="P36" s="13">
        <v>16</v>
      </c>
      <c r="Q36" s="13">
        <v>17</v>
      </c>
    </row>
    <row r="37" spans="1:17" ht="12" customHeight="1" x14ac:dyDescent="0.2">
      <c r="A37" s="13"/>
      <c r="B37" s="80" t="s">
        <v>76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9"/>
    </row>
    <row r="38" spans="1:17" ht="30" customHeight="1" x14ac:dyDescent="0.2">
      <c r="A38" s="25" t="s">
        <v>40</v>
      </c>
      <c r="B38" s="23">
        <f>20086321.36</f>
        <v>20086321.359999999</v>
      </c>
      <c r="C38" s="23">
        <f>20086321.36</f>
        <v>20086321.359999999</v>
      </c>
      <c r="D38" s="23">
        <f>0</f>
        <v>0</v>
      </c>
      <c r="E38" s="23">
        <f>0</f>
        <v>0</v>
      </c>
      <c r="F38" s="23">
        <f>0</f>
        <v>0</v>
      </c>
      <c r="G38" s="23">
        <f>0</f>
        <v>0</v>
      </c>
      <c r="H38" s="23">
        <f>0</f>
        <v>0</v>
      </c>
      <c r="I38" s="23">
        <f>0</f>
        <v>0</v>
      </c>
      <c r="J38" s="23">
        <f>0</f>
        <v>0</v>
      </c>
      <c r="K38" s="23">
        <f>20086321.36</f>
        <v>20086321.359999999</v>
      </c>
      <c r="L38" s="23">
        <f>0</f>
        <v>0</v>
      </c>
      <c r="M38" s="23">
        <f>0</f>
        <v>0</v>
      </c>
      <c r="N38" s="23">
        <f>0</f>
        <v>0</v>
      </c>
      <c r="O38" s="23">
        <f>0</f>
        <v>0</v>
      </c>
      <c r="P38" s="23">
        <f>0</f>
        <v>0</v>
      </c>
      <c r="Q38" s="23">
        <f>0</f>
        <v>0</v>
      </c>
    </row>
    <row r="39" spans="1:17" ht="25.5" customHeight="1" x14ac:dyDescent="0.2">
      <c r="A39" s="18" t="s">
        <v>29</v>
      </c>
      <c r="B39" s="24">
        <f>20086321.36</f>
        <v>20086321.359999999</v>
      </c>
      <c r="C39" s="24">
        <f>20086321.36</f>
        <v>20086321.359999999</v>
      </c>
      <c r="D39" s="24">
        <f>0</f>
        <v>0</v>
      </c>
      <c r="E39" s="24">
        <f>0</f>
        <v>0</v>
      </c>
      <c r="F39" s="24">
        <f>0</f>
        <v>0</v>
      </c>
      <c r="G39" s="24">
        <f>0</f>
        <v>0</v>
      </c>
      <c r="H39" s="24">
        <f>0</f>
        <v>0</v>
      </c>
      <c r="I39" s="24">
        <f>0</f>
        <v>0</v>
      </c>
      <c r="J39" s="24">
        <f>0</f>
        <v>0</v>
      </c>
      <c r="K39" s="24">
        <f>20086321.36</f>
        <v>20086321.359999999</v>
      </c>
      <c r="L39" s="24">
        <f>0</f>
        <v>0</v>
      </c>
      <c r="M39" s="24">
        <f>0</f>
        <v>0</v>
      </c>
      <c r="N39" s="24">
        <f>0</f>
        <v>0</v>
      </c>
      <c r="O39" s="24">
        <f>0</f>
        <v>0</v>
      </c>
      <c r="P39" s="24">
        <f>0</f>
        <v>0</v>
      </c>
      <c r="Q39" s="24">
        <f>0</f>
        <v>0</v>
      </c>
    </row>
    <row r="40" spans="1:17" ht="25.5" customHeight="1" x14ac:dyDescent="0.2">
      <c r="A40" s="18" t="s">
        <v>30</v>
      </c>
      <c r="B40" s="24">
        <f>0</f>
        <v>0</v>
      </c>
      <c r="C40" s="24">
        <f>0</f>
        <v>0</v>
      </c>
      <c r="D40" s="24">
        <f>0</f>
        <v>0</v>
      </c>
      <c r="E40" s="24">
        <f>0</f>
        <v>0</v>
      </c>
      <c r="F40" s="24">
        <f>0</f>
        <v>0</v>
      </c>
      <c r="G40" s="24">
        <f>0</f>
        <v>0</v>
      </c>
      <c r="H40" s="24">
        <f>0</f>
        <v>0</v>
      </c>
      <c r="I40" s="24">
        <f>0</f>
        <v>0</v>
      </c>
      <c r="J40" s="24">
        <f>0</f>
        <v>0</v>
      </c>
      <c r="K40" s="24">
        <f>0</f>
        <v>0</v>
      </c>
      <c r="L40" s="24">
        <f>0</f>
        <v>0</v>
      </c>
      <c r="M40" s="24">
        <f>0</f>
        <v>0</v>
      </c>
      <c r="N40" s="24">
        <f>0</f>
        <v>0</v>
      </c>
      <c r="O40" s="24">
        <f>0</f>
        <v>0</v>
      </c>
      <c r="P40" s="24">
        <f>0</f>
        <v>0</v>
      </c>
      <c r="Q40" s="24">
        <f>0</f>
        <v>0</v>
      </c>
    </row>
    <row r="41" spans="1:17" ht="30" customHeight="1" x14ac:dyDescent="0.2">
      <c r="A41" s="25" t="s">
        <v>41</v>
      </c>
      <c r="B41" s="23">
        <f>326477476.47</f>
        <v>326477476.47000003</v>
      </c>
      <c r="C41" s="23">
        <f>326477476.47</f>
        <v>326477476.47000003</v>
      </c>
      <c r="D41" s="23">
        <f>243056759.33</f>
        <v>243056759.33000001</v>
      </c>
      <c r="E41" s="23">
        <f>15450</f>
        <v>15450</v>
      </c>
      <c r="F41" s="23">
        <f>3302403.2</f>
        <v>3302403.2</v>
      </c>
      <c r="G41" s="23">
        <f>239738906.13</f>
        <v>239738906.13</v>
      </c>
      <c r="H41" s="23">
        <f>0</f>
        <v>0</v>
      </c>
      <c r="I41" s="23">
        <f>0</f>
        <v>0</v>
      </c>
      <c r="J41" s="23">
        <f>2600640</f>
        <v>2600640</v>
      </c>
      <c r="K41" s="23">
        <f>0</f>
        <v>0</v>
      </c>
      <c r="L41" s="23">
        <f>66541175.51</f>
        <v>66541175.509999998</v>
      </c>
      <c r="M41" s="23">
        <f>12437386</f>
        <v>12437386</v>
      </c>
      <c r="N41" s="23">
        <f>1841515.63</f>
        <v>1841515.63</v>
      </c>
      <c r="O41" s="23">
        <f>0</f>
        <v>0</v>
      </c>
      <c r="P41" s="23">
        <f>0</f>
        <v>0</v>
      </c>
      <c r="Q41" s="23">
        <f>0</f>
        <v>0</v>
      </c>
    </row>
    <row r="42" spans="1:17" ht="25.5" customHeight="1" x14ac:dyDescent="0.2">
      <c r="A42" s="18" t="s">
        <v>31</v>
      </c>
      <c r="B42" s="24">
        <f>68981598.74</f>
        <v>68981598.739999995</v>
      </c>
      <c r="C42" s="24">
        <f>68981598.74</f>
        <v>68981598.739999995</v>
      </c>
      <c r="D42" s="24">
        <f>56039585.97</f>
        <v>56039585.969999999</v>
      </c>
      <c r="E42" s="24">
        <f>0</f>
        <v>0</v>
      </c>
      <c r="F42" s="24">
        <f>3300000</f>
        <v>3300000</v>
      </c>
      <c r="G42" s="24">
        <f>52739585.97</f>
        <v>52739585.969999999</v>
      </c>
      <c r="H42" s="24">
        <f>0</f>
        <v>0</v>
      </c>
      <c r="I42" s="24">
        <f>0</f>
        <v>0</v>
      </c>
      <c r="J42" s="24">
        <f>0</f>
        <v>0</v>
      </c>
      <c r="K42" s="24">
        <f>0</f>
        <v>0</v>
      </c>
      <c r="L42" s="24">
        <f>10450304.08</f>
        <v>10450304.08</v>
      </c>
      <c r="M42" s="24">
        <f>1421708.69</f>
        <v>1421708.69</v>
      </c>
      <c r="N42" s="24">
        <f>1070000</f>
        <v>1070000</v>
      </c>
      <c r="O42" s="24">
        <f>0</f>
        <v>0</v>
      </c>
      <c r="P42" s="24">
        <f>0</f>
        <v>0</v>
      </c>
      <c r="Q42" s="24">
        <f>0</f>
        <v>0</v>
      </c>
    </row>
    <row r="43" spans="1:17" ht="25.5" customHeight="1" x14ac:dyDescent="0.2">
      <c r="A43" s="18" t="s">
        <v>32</v>
      </c>
      <c r="B43" s="24">
        <f>257495877.73</f>
        <v>257495877.72999999</v>
      </c>
      <c r="C43" s="24">
        <f>257495877.73</f>
        <v>257495877.72999999</v>
      </c>
      <c r="D43" s="24">
        <f>187017173.36</f>
        <v>187017173.36000001</v>
      </c>
      <c r="E43" s="24">
        <f>15450</f>
        <v>15450</v>
      </c>
      <c r="F43" s="24">
        <f>2403.2</f>
        <v>2403.1999999999998</v>
      </c>
      <c r="G43" s="24">
        <f>186999320.16</f>
        <v>186999320.16</v>
      </c>
      <c r="H43" s="24">
        <f>0</f>
        <v>0</v>
      </c>
      <c r="I43" s="24">
        <f>0</f>
        <v>0</v>
      </c>
      <c r="J43" s="24">
        <f>2600640</f>
        <v>2600640</v>
      </c>
      <c r="K43" s="24">
        <f>0</f>
        <v>0</v>
      </c>
      <c r="L43" s="24">
        <f>56090871.43</f>
        <v>56090871.43</v>
      </c>
      <c r="M43" s="24">
        <f>11015677.31</f>
        <v>11015677.310000001</v>
      </c>
      <c r="N43" s="24">
        <f>771515.63</f>
        <v>771515.63</v>
      </c>
      <c r="O43" s="24">
        <f>0</f>
        <v>0</v>
      </c>
      <c r="P43" s="24">
        <f>0</f>
        <v>0</v>
      </c>
      <c r="Q43" s="24">
        <f>0</f>
        <v>0</v>
      </c>
    </row>
    <row r="44" spans="1:17" ht="30" customHeight="1" x14ac:dyDescent="0.2">
      <c r="A44" s="25" t="s">
        <v>42</v>
      </c>
      <c r="B44" s="23">
        <f>12833053266.64</f>
        <v>12833053266.639999</v>
      </c>
      <c r="C44" s="23">
        <f>12833053266.64</f>
        <v>12833053266.639999</v>
      </c>
      <c r="D44" s="23">
        <f>2693677.65</f>
        <v>2693677.65</v>
      </c>
      <c r="E44" s="23">
        <f>2240.24</f>
        <v>2240.2399999999998</v>
      </c>
      <c r="F44" s="23">
        <f>2640</f>
        <v>2640</v>
      </c>
      <c r="G44" s="23">
        <f>2688797.41</f>
        <v>2688797.41</v>
      </c>
      <c r="H44" s="23">
        <f>0</f>
        <v>0</v>
      </c>
      <c r="I44" s="23">
        <f>8020904.92</f>
        <v>8020904.9199999999</v>
      </c>
      <c r="J44" s="23">
        <f>12822051480.6</f>
        <v>12822051480.6</v>
      </c>
      <c r="K44" s="23">
        <f>66158.95</f>
        <v>66158.95</v>
      </c>
      <c r="L44" s="23">
        <f>124761.4</f>
        <v>124761.4</v>
      </c>
      <c r="M44" s="23">
        <f>2000</f>
        <v>2000</v>
      </c>
      <c r="N44" s="23">
        <f>94283.12</f>
        <v>94283.12</v>
      </c>
      <c r="O44" s="23">
        <f>0</f>
        <v>0</v>
      </c>
      <c r="P44" s="23">
        <f>0</f>
        <v>0</v>
      </c>
      <c r="Q44" s="23">
        <f>0</f>
        <v>0</v>
      </c>
    </row>
    <row r="45" spans="1:17" ht="25.5" customHeight="1" x14ac:dyDescent="0.2">
      <c r="A45" s="18" t="s">
        <v>33</v>
      </c>
      <c r="B45" s="24">
        <f>2659032.24</f>
        <v>2659032.2400000002</v>
      </c>
      <c r="C45" s="24">
        <f>2659032.24</f>
        <v>2659032.2400000002</v>
      </c>
      <c r="D45" s="24">
        <f>2659032.24</f>
        <v>2659032.2400000002</v>
      </c>
      <c r="E45" s="24">
        <f>0</f>
        <v>0</v>
      </c>
      <c r="F45" s="24">
        <f>0</f>
        <v>0</v>
      </c>
      <c r="G45" s="24">
        <f>2659032.24</f>
        <v>2659032.2400000002</v>
      </c>
      <c r="H45" s="24">
        <f>0</f>
        <v>0</v>
      </c>
      <c r="I45" s="24">
        <f>0</f>
        <v>0</v>
      </c>
      <c r="J45" s="24">
        <f>0</f>
        <v>0</v>
      </c>
      <c r="K45" s="24">
        <f>0</f>
        <v>0</v>
      </c>
      <c r="L45" s="24">
        <f>0</f>
        <v>0</v>
      </c>
      <c r="M45" s="24">
        <f>0</f>
        <v>0</v>
      </c>
      <c r="N45" s="24">
        <f>0</f>
        <v>0</v>
      </c>
      <c r="O45" s="24">
        <f>0</f>
        <v>0</v>
      </c>
      <c r="P45" s="24">
        <f>0</f>
        <v>0</v>
      </c>
      <c r="Q45" s="24">
        <f>0</f>
        <v>0</v>
      </c>
    </row>
    <row r="46" spans="1:17" ht="25.5" customHeight="1" x14ac:dyDescent="0.2">
      <c r="A46" s="18" t="s">
        <v>34</v>
      </c>
      <c r="B46" s="24">
        <f>10179306149.07</f>
        <v>10179306149.07</v>
      </c>
      <c r="C46" s="24">
        <f>10179306149.07</f>
        <v>10179306149.07</v>
      </c>
      <c r="D46" s="24">
        <f>26455.66</f>
        <v>26455.66</v>
      </c>
      <c r="E46" s="24">
        <f>710.71</f>
        <v>710.71</v>
      </c>
      <c r="F46" s="24">
        <f>0</f>
        <v>0</v>
      </c>
      <c r="G46" s="24">
        <f>25744.95</f>
        <v>25744.95</v>
      </c>
      <c r="H46" s="24">
        <f>0</f>
        <v>0</v>
      </c>
      <c r="I46" s="24">
        <f>8020904.92</f>
        <v>8020904.9199999999</v>
      </c>
      <c r="J46" s="24">
        <f>10171095945.08</f>
        <v>10171095945.08</v>
      </c>
      <c r="K46" s="24">
        <f>54394.43</f>
        <v>54394.43</v>
      </c>
      <c r="L46" s="24">
        <f>14165.86</f>
        <v>14165.86</v>
      </c>
      <c r="M46" s="24">
        <f>0</f>
        <v>0</v>
      </c>
      <c r="N46" s="24">
        <f>94283.12</f>
        <v>94283.12</v>
      </c>
      <c r="O46" s="24">
        <f>0</f>
        <v>0</v>
      </c>
      <c r="P46" s="24">
        <f>0</f>
        <v>0</v>
      </c>
      <c r="Q46" s="24">
        <f>0</f>
        <v>0</v>
      </c>
    </row>
    <row r="47" spans="1:17" ht="25.5" customHeight="1" x14ac:dyDescent="0.2">
      <c r="A47" s="18" t="s">
        <v>35</v>
      </c>
      <c r="B47" s="24">
        <f>2651088085.33</f>
        <v>2651088085.3299999</v>
      </c>
      <c r="C47" s="24">
        <f>2651088085.33</f>
        <v>2651088085.3299999</v>
      </c>
      <c r="D47" s="24">
        <f>8189.75</f>
        <v>8189.75</v>
      </c>
      <c r="E47" s="24">
        <f>1529.53</f>
        <v>1529.53</v>
      </c>
      <c r="F47" s="24">
        <f>2640</f>
        <v>2640</v>
      </c>
      <c r="G47" s="24">
        <f>4020.22</f>
        <v>4020.22</v>
      </c>
      <c r="H47" s="24">
        <f>0</f>
        <v>0</v>
      </c>
      <c r="I47" s="24">
        <f>0</f>
        <v>0</v>
      </c>
      <c r="J47" s="24">
        <f>2650955535.52</f>
        <v>2650955535.52</v>
      </c>
      <c r="K47" s="24">
        <f>11764.52</f>
        <v>11764.52</v>
      </c>
      <c r="L47" s="24">
        <f>110595.54</f>
        <v>110595.54</v>
      </c>
      <c r="M47" s="24">
        <f>2000</f>
        <v>2000</v>
      </c>
      <c r="N47" s="24">
        <f>0</f>
        <v>0</v>
      </c>
      <c r="O47" s="24">
        <f>0</f>
        <v>0</v>
      </c>
      <c r="P47" s="24">
        <f>0</f>
        <v>0</v>
      </c>
      <c r="Q47" s="24">
        <f>0</f>
        <v>0</v>
      </c>
    </row>
    <row r="48" spans="1:17" ht="30" customHeight="1" x14ac:dyDescent="0.2">
      <c r="A48" s="25" t="s">
        <v>43</v>
      </c>
      <c r="B48" s="23">
        <f>919899507.47</f>
        <v>919899507.47000003</v>
      </c>
      <c r="C48" s="23">
        <f>918845651.98</f>
        <v>918845651.98000002</v>
      </c>
      <c r="D48" s="23">
        <f>37417093.05</f>
        <v>37417093.049999997</v>
      </c>
      <c r="E48" s="23">
        <f>10256691.64</f>
        <v>10256691.640000001</v>
      </c>
      <c r="F48" s="23">
        <f>1308136.36</f>
        <v>1308136.3600000001</v>
      </c>
      <c r="G48" s="23">
        <f>25800470.1</f>
        <v>25800470.100000001</v>
      </c>
      <c r="H48" s="23">
        <f>51794.95</f>
        <v>51794.95</v>
      </c>
      <c r="I48" s="23">
        <f>0</f>
        <v>0</v>
      </c>
      <c r="J48" s="23">
        <f>3818710.19</f>
        <v>3818710.19</v>
      </c>
      <c r="K48" s="23">
        <f>545320.51</f>
        <v>545320.51</v>
      </c>
      <c r="L48" s="23">
        <f>225968199.51</f>
        <v>225968199.50999999</v>
      </c>
      <c r="M48" s="23">
        <f>647024011.35</f>
        <v>647024011.35000002</v>
      </c>
      <c r="N48" s="23">
        <f>4072317.37</f>
        <v>4072317.37</v>
      </c>
      <c r="O48" s="23">
        <f>1053855.49</f>
        <v>1053855.49</v>
      </c>
      <c r="P48" s="23">
        <f>445627.15</f>
        <v>445627.15</v>
      </c>
      <c r="Q48" s="23">
        <f>608228.34</f>
        <v>608228.34</v>
      </c>
    </row>
    <row r="49" spans="1:17" ht="25.5" customHeight="1" x14ac:dyDescent="0.2">
      <c r="A49" s="18" t="s">
        <v>36</v>
      </c>
      <c r="B49" s="24">
        <f>164078510.73</f>
        <v>164078510.72999999</v>
      </c>
      <c r="C49" s="24">
        <f>164044575.42</f>
        <v>164044575.41999999</v>
      </c>
      <c r="D49" s="24">
        <f>6065991.55</f>
        <v>6065991.5499999998</v>
      </c>
      <c r="E49" s="24">
        <f>1416841.99</f>
        <v>1416841.99</v>
      </c>
      <c r="F49" s="24">
        <f>492919.54</f>
        <v>492919.54</v>
      </c>
      <c r="G49" s="24">
        <f>4114938.05</f>
        <v>4114938.05</v>
      </c>
      <c r="H49" s="24">
        <f>41291.97</f>
        <v>41291.97</v>
      </c>
      <c r="I49" s="24">
        <f>0</f>
        <v>0</v>
      </c>
      <c r="J49" s="24">
        <f>851273.43</f>
        <v>851273.43</v>
      </c>
      <c r="K49" s="24">
        <f>222401.57</f>
        <v>222401.57</v>
      </c>
      <c r="L49" s="24">
        <f>50273437.7</f>
        <v>50273437.700000003</v>
      </c>
      <c r="M49" s="24">
        <f>105208144.28</f>
        <v>105208144.28</v>
      </c>
      <c r="N49" s="24">
        <f>1423326.89</f>
        <v>1423326.89</v>
      </c>
      <c r="O49" s="24">
        <f>33935.31</f>
        <v>33935.31</v>
      </c>
      <c r="P49" s="24">
        <f>24700.24</f>
        <v>24700.240000000002</v>
      </c>
      <c r="Q49" s="24">
        <f>9235.07</f>
        <v>9235.07</v>
      </c>
    </row>
    <row r="50" spans="1:17" ht="25.5" customHeight="1" x14ac:dyDescent="0.2">
      <c r="A50" s="18" t="s">
        <v>37</v>
      </c>
      <c r="B50" s="24">
        <f>755820996.74</f>
        <v>755820996.74000001</v>
      </c>
      <c r="C50" s="24">
        <f>754801076.56</f>
        <v>754801076.55999994</v>
      </c>
      <c r="D50" s="24">
        <f>31351101.5</f>
        <v>31351101.5</v>
      </c>
      <c r="E50" s="24">
        <f>8839849.65</f>
        <v>8839849.6500000004</v>
      </c>
      <c r="F50" s="24">
        <f>815216.82</f>
        <v>815216.82</v>
      </c>
      <c r="G50" s="24">
        <f>21685532.05</f>
        <v>21685532.050000001</v>
      </c>
      <c r="H50" s="24">
        <f>10502.98</f>
        <v>10502.98</v>
      </c>
      <c r="I50" s="24">
        <f>0</f>
        <v>0</v>
      </c>
      <c r="J50" s="24">
        <f>2967436.76</f>
        <v>2967436.76</v>
      </c>
      <c r="K50" s="24">
        <f>322918.94</f>
        <v>322918.94</v>
      </c>
      <c r="L50" s="24">
        <f>175694761.81</f>
        <v>175694761.81</v>
      </c>
      <c r="M50" s="24">
        <f>541815867.07</f>
        <v>541815867.07000005</v>
      </c>
      <c r="N50" s="24">
        <f>2648990.48</f>
        <v>2648990.48</v>
      </c>
      <c r="O50" s="24">
        <f>1019920.18</f>
        <v>1019920.18</v>
      </c>
      <c r="P50" s="24">
        <f>420926.91</f>
        <v>420926.91</v>
      </c>
      <c r="Q50" s="24">
        <f>598993.27</f>
        <v>598993.27</v>
      </c>
    </row>
    <row r="51" spans="1:17" ht="30" customHeight="1" x14ac:dyDescent="0.2">
      <c r="A51" s="25" t="s">
        <v>44</v>
      </c>
      <c r="B51" s="23">
        <f>827392032.99</f>
        <v>827392032.99000001</v>
      </c>
      <c r="C51" s="23">
        <f>827013337.52</f>
        <v>827013337.51999998</v>
      </c>
      <c r="D51" s="23">
        <f>248271971.1</f>
        <v>248271971.09999999</v>
      </c>
      <c r="E51" s="23">
        <f>28676390.51</f>
        <v>28676390.510000002</v>
      </c>
      <c r="F51" s="23">
        <f>4945823.65</f>
        <v>4945823.6500000004</v>
      </c>
      <c r="G51" s="23">
        <f>209115495.28</f>
        <v>209115495.28</v>
      </c>
      <c r="H51" s="23">
        <f>5534261.66</f>
        <v>5534261.6600000001</v>
      </c>
      <c r="I51" s="23">
        <f>0</f>
        <v>0</v>
      </c>
      <c r="J51" s="23">
        <f>184041.39</f>
        <v>184041.39</v>
      </c>
      <c r="K51" s="23">
        <f>16120959.12</f>
        <v>16120959.119999999</v>
      </c>
      <c r="L51" s="23">
        <f>449804095.55</f>
        <v>449804095.55000001</v>
      </c>
      <c r="M51" s="23">
        <f>108191501.12</f>
        <v>108191501.12</v>
      </c>
      <c r="N51" s="23">
        <f>4440769.24</f>
        <v>4440769.24</v>
      </c>
      <c r="O51" s="23">
        <f>378695.47</f>
        <v>378695.47</v>
      </c>
      <c r="P51" s="23">
        <f>343326.48</f>
        <v>343326.48</v>
      </c>
      <c r="Q51" s="23">
        <f>35368.99</f>
        <v>35368.99</v>
      </c>
    </row>
    <row r="52" spans="1:17" ht="31.5" customHeight="1" x14ac:dyDescent="0.2">
      <c r="A52" s="18" t="s">
        <v>38</v>
      </c>
      <c r="B52" s="24">
        <f>85481100.8</f>
        <v>85481100.799999997</v>
      </c>
      <c r="C52" s="24">
        <f>85137774.32</f>
        <v>85137774.319999993</v>
      </c>
      <c r="D52" s="24">
        <f>35221258.99</f>
        <v>35221258.990000002</v>
      </c>
      <c r="E52" s="24">
        <f>4605258.6</f>
        <v>4605258.5999999996</v>
      </c>
      <c r="F52" s="24">
        <f>550176.93</f>
        <v>550176.93000000005</v>
      </c>
      <c r="G52" s="24">
        <f>26566590.77</f>
        <v>26566590.77</v>
      </c>
      <c r="H52" s="24">
        <f>3499232.69</f>
        <v>3499232.69</v>
      </c>
      <c r="I52" s="24">
        <f>0</f>
        <v>0</v>
      </c>
      <c r="J52" s="24">
        <f>127700.81</f>
        <v>127700.81</v>
      </c>
      <c r="K52" s="24">
        <f>302497.78</f>
        <v>302497.78000000003</v>
      </c>
      <c r="L52" s="24">
        <f>22832011.59</f>
        <v>22832011.59</v>
      </c>
      <c r="M52" s="24">
        <f>25130388.4</f>
        <v>25130388.399999999</v>
      </c>
      <c r="N52" s="24">
        <f>1523916.75</f>
        <v>1523916.75</v>
      </c>
      <c r="O52" s="24">
        <f>343326.48</f>
        <v>343326.48</v>
      </c>
      <c r="P52" s="24">
        <f>343326.48</f>
        <v>343326.48</v>
      </c>
      <c r="Q52" s="24">
        <f>0</f>
        <v>0</v>
      </c>
    </row>
    <row r="53" spans="1:17" ht="35.25" customHeight="1" x14ac:dyDescent="0.2">
      <c r="A53" s="18" t="s">
        <v>80</v>
      </c>
      <c r="B53" s="24">
        <f>698406.18</f>
        <v>698406.18</v>
      </c>
      <c r="C53" s="24">
        <f>698406.18</f>
        <v>698406.18</v>
      </c>
      <c r="D53" s="24">
        <f>348549.18</f>
        <v>348549.18</v>
      </c>
      <c r="E53" s="24">
        <f>36016.74</f>
        <v>36016.74</v>
      </c>
      <c r="F53" s="24">
        <f>0</f>
        <v>0</v>
      </c>
      <c r="G53" s="24">
        <f>181836.27</f>
        <v>181836.27</v>
      </c>
      <c r="H53" s="24">
        <f>130696.17</f>
        <v>130696.17</v>
      </c>
      <c r="I53" s="24">
        <f>0</f>
        <v>0</v>
      </c>
      <c r="J53" s="24">
        <f>0</f>
        <v>0</v>
      </c>
      <c r="K53" s="24">
        <f>921.77</f>
        <v>921.77</v>
      </c>
      <c r="L53" s="24">
        <f>11367.16</f>
        <v>11367.16</v>
      </c>
      <c r="M53" s="24">
        <f>337231.17</f>
        <v>337231.17</v>
      </c>
      <c r="N53" s="24">
        <f>336.9</f>
        <v>336.9</v>
      </c>
      <c r="O53" s="24">
        <f>0</f>
        <v>0</v>
      </c>
      <c r="P53" s="24">
        <f>0</f>
        <v>0</v>
      </c>
      <c r="Q53" s="24">
        <f>0</f>
        <v>0</v>
      </c>
    </row>
    <row r="54" spans="1:17" ht="31.5" customHeight="1" x14ac:dyDescent="0.2">
      <c r="A54" s="18" t="s">
        <v>39</v>
      </c>
      <c r="B54" s="24">
        <f>741212526.01</f>
        <v>741212526.00999999</v>
      </c>
      <c r="C54" s="24">
        <f>741177157.02</f>
        <v>741177157.01999998</v>
      </c>
      <c r="D54" s="24">
        <f>212702162.93</f>
        <v>212702162.93000001</v>
      </c>
      <c r="E54" s="24">
        <f>24035115.17</f>
        <v>24035115.170000002</v>
      </c>
      <c r="F54" s="24">
        <f>4395646.72</f>
        <v>4395646.72</v>
      </c>
      <c r="G54" s="24">
        <f>182367068.24</f>
        <v>182367068.24000001</v>
      </c>
      <c r="H54" s="24">
        <f>1904332.8</f>
        <v>1904332.8</v>
      </c>
      <c r="I54" s="24">
        <f>0</f>
        <v>0</v>
      </c>
      <c r="J54" s="24">
        <f>56340.58</f>
        <v>56340.58</v>
      </c>
      <c r="K54" s="24">
        <f>15817539.57</f>
        <v>15817539.57</v>
      </c>
      <c r="L54" s="24">
        <f>426960716.8</f>
        <v>426960716.80000001</v>
      </c>
      <c r="M54" s="24">
        <f>82723881.55</f>
        <v>82723881.549999997</v>
      </c>
      <c r="N54" s="24">
        <f>2916515.59</f>
        <v>2916515.59</v>
      </c>
      <c r="O54" s="24">
        <f>35368.99</f>
        <v>35368.99</v>
      </c>
      <c r="P54" s="24">
        <f>0</f>
        <v>0</v>
      </c>
      <c r="Q54" s="24">
        <f>35368.99</f>
        <v>35368.99</v>
      </c>
    </row>
    <row r="63" spans="1:17" ht="66" customHeight="1" x14ac:dyDescent="0.2">
      <c r="A63" s="31" t="str">
        <f>CONCATENATE("Informacja z wykonania budżetów powiatów za   ",$C$90," ",$B$91," roku    ",$B$93,"")</f>
        <v xml:space="preserve">Informacja z wykonania budżetów powiatów za   III Kwartały 2025 roku    </v>
      </c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</row>
    <row r="64" spans="1:17" ht="13.5" customHeight="1" x14ac:dyDescent="0.2">
      <c r="B64" s="41" t="s">
        <v>2</v>
      </c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</row>
    <row r="66" spans="2:12" ht="13.5" customHeight="1" x14ac:dyDescent="0.2">
      <c r="B66" s="45" t="s">
        <v>0</v>
      </c>
      <c r="C66" s="46"/>
      <c r="D66" s="46"/>
      <c r="E66" s="47"/>
      <c r="F66" s="67" t="s">
        <v>68</v>
      </c>
      <c r="G66" s="42" t="s">
        <v>74</v>
      </c>
      <c r="H66" s="56"/>
      <c r="I66" s="56"/>
      <c r="J66" s="56"/>
      <c r="K66" s="56"/>
      <c r="L66" s="43"/>
    </row>
    <row r="67" spans="2:12" ht="13.5" customHeight="1" x14ac:dyDescent="0.2">
      <c r="B67" s="48"/>
      <c r="C67" s="49"/>
      <c r="D67" s="49"/>
      <c r="E67" s="50"/>
      <c r="F67" s="68"/>
      <c r="G67" s="70" t="s">
        <v>69</v>
      </c>
      <c r="H67" s="44" t="s">
        <v>66</v>
      </c>
      <c r="I67" s="44" t="s">
        <v>67</v>
      </c>
      <c r="J67" s="44" t="s">
        <v>70</v>
      </c>
      <c r="K67" s="44" t="s">
        <v>71</v>
      </c>
      <c r="L67" s="85" t="s">
        <v>72</v>
      </c>
    </row>
    <row r="68" spans="2:12" ht="13.5" customHeight="1" x14ac:dyDescent="0.2">
      <c r="B68" s="48"/>
      <c r="C68" s="49"/>
      <c r="D68" s="49"/>
      <c r="E68" s="50"/>
      <c r="F68" s="68"/>
      <c r="G68" s="70"/>
      <c r="H68" s="44"/>
      <c r="I68" s="44"/>
      <c r="J68" s="44"/>
      <c r="K68" s="44"/>
      <c r="L68" s="85"/>
    </row>
    <row r="69" spans="2:12" ht="11.25" customHeight="1" x14ac:dyDescent="0.2">
      <c r="B69" s="48"/>
      <c r="C69" s="49"/>
      <c r="D69" s="49"/>
      <c r="E69" s="50"/>
      <c r="F69" s="68"/>
      <c r="G69" s="70"/>
      <c r="H69" s="44"/>
      <c r="I69" s="44"/>
      <c r="J69" s="44"/>
      <c r="K69" s="44"/>
      <c r="L69" s="85"/>
    </row>
    <row r="70" spans="2:12" ht="11.25" customHeight="1" x14ac:dyDescent="0.2">
      <c r="B70" s="51"/>
      <c r="C70" s="52"/>
      <c r="D70" s="52"/>
      <c r="E70" s="53"/>
      <c r="F70" s="69"/>
      <c r="G70" s="70"/>
      <c r="H70" s="44"/>
      <c r="I70" s="44"/>
      <c r="J70" s="44"/>
      <c r="K70" s="44"/>
      <c r="L70" s="85"/>
    </row>
    <row r="71" spans="2:12" ht="11.25" customHeight="1" x14ac:dyDescent="0.2">
      <c r="B71" s="44">
        <v>1</v>
      </c>
      <c r="C71" s="44"/>
      <c r="D71" s="44"/>
      <c r="E71" s="44"/>
      <c r="F71" s="3">
        <v>2</v>
      </c>
      <c r="G71" s="3">
        <v>3</v>
      </c>
      <c r="H71" s="3">
        <v>4</v>
      </c>
      <c r="I71" s="3">
        <v>5</v>
      </c>
      <c r="J71" s="3">
        <v>6</v>
      </c>
      <c r="K71" s="3">
        <v>7</v>
      </c>
      <c r="L71" s="3">
        <v>8</v>
      </c>
    </row>
    <row r="72" spans="2:12" ht="12.75" customHeight="1" x14ac:dyDescent="0.2">
      <c r="B72" s="44"/>
      <c r="C72" s="44"/>
      <c r="D72" s="44"/>
      <c r="E72" s="44"/>
      <c r="F72" s="42" t="s">
        <v>76</v>
      </c>
      <c r="G72" s="83"/>
      <c r="H72" s="83"/>
      <c r="I72" s="83"/>
      <c r="J72" s="83"/>
      <c r="K72" s="83"/>
      <c r="L72" s="84"/>
    </row>
    <row r="73" spans="2:12" ht="33.75" customHeight="1" x14ac:dyDescent="0.2">
      <c r="B73" s="36" t="s">
        <v>53</v>
      </c>
      <c r="C73" s="37"/>
      <c r="D73" s="37"/>
      <c r="E73" s="38"/>
      <c r="F73" s="26">
        <f>515682540.22</f>
        <v>515682540.22000003</v>
      </c>
      <c r="G73" s="26">
        <f>254653529.39</f>
        <v>254653529.38999999</v>
      </c>
      <c r="H73" s="26">
        <f>28120503.11</f>
        <v>28120503.109999999</v>
      </c>
      <c r="I73" s="26">
        <f>7883413.71</f>
        <v>7883413.71</v>
      </c>
      <c r="J73" s="26">
        <f>212095237.55</f>
        <v>212095237.55000001</v>
      </c>
      <c r="K73" s="26">
        <f>6554375.02</f>
        <v>6554375.0199999996</v>
      </c>
      <c r="L73" s="26">
        <f>261029010.83</f>
        <v>261029010.83000001</v>
      </c>
    </row>
    <row r="74" spans="2:12" ht="33.75" customHeight="1" x14ac:dyDescent="0.2">
      <c r="B74" s="36" t="s">
        <v>54</v>
      </c>
      <c r="C74" s="37"/>
      <c r="D74" s="37"/>
      <c r="E74" s="38"/>
      <c r="F74" s="26">
        <f>0</f>
        <v>0</v>
      </c>
      <c r="G74" s="26">
        <f>0</f>
        <v>0</v>
      </c>
      <c r="H74" s="26">
        <f>0</f>
        <v>0</v>
      </c>
      <c r="I74" s="26">
        <f>0</f>
        <v>0</v>
      </c>
      <c r="J74" s="26">
        <f>0</f>
        <v>0</v>
      </c>
      <c r="K74" s="26">
        <f>0</f>
        <v>0</v>
      </c>
      <c r="L74" s="26">
        <f>0</f>
        <v>0</v>
      </c>
    </row>
    <row r="75" spans="2:12" ht="33.75" customHeight="1" x14ac:dyDescent="0.2">
      <c r="B75" s="36" t="s">
        <v>55</v>
      </c>
      <c r="C75" s="37"/>
      <c r="D75" s="37"/>
      <c r="E75" s="38"/>
      <c r="F75" s="26">
        <f>65438789.42</f>
        <v>65438789.420000002</v>
      </c>
      <c r="G75" s="26">
        <f>26060000</f>
        <v>26060000</v>
      </c>
      <c r="H75" s="26">
        <f>0</f>
        <v>0</v>
      </c>
      <c r="I75" s="26">
        <f>0</f>
        <v>0</v>
      </c>
      <c r="J75" s="26">
        <f>26060000</f>
        <v>26060000</v>
      </c>
      <c r="K75" s="26">
        <f>0</f>
        <v>0</v>
      </c>
      <c r="L75" s="26">
        <f>39378789.42</f>
        <v>39378789.420000002</v>
      </c>
    </row>
    <row r="76" spans="2:12" ht="22.5" customHeight="1" x14ac:dyDescent="0.2">
      <c r="B76" s="36" t="s">
        <v>56</v>
      </c>
      <c r="C76" s="37"/>
      <c r="D76" s="37"/>
      <c r="E76" s="38"/>
      <c r="F76" s="26">
        <f>49320092.98</f>
        <v>49320092.979999997</v>
      </c>
      <c r="G76" s="26">
        <f>21227490.12</f>
        <v>21227490.120000001</v>
      </c>
      <c r="H76" s="26">
        <f>0</f>
        <v>0</v>
      </c>
      <c r="I76" s="26">
        <f>0</f>
        <v>0</v>
      </c>
      <c r="J76" s="26">
        <f>21227490.12</f>
        <v>21227490.120000001</v>
      </c>
      <c r="K76" s="26">
        <f>0</f>
        <v>0</v>
      </c>
      <c r="L76" s="26">
        <f>28092602.86</f>
        <v>28092602.859999999</v>
      </c>
    </row>
    <row r="77" spans="2:12" ht="33.75" customHeight="1" x14ac:dyDescent="0.2">
      <c r="B77" s="36" t="s">
        <v>57</v>
      </c>
      <c r="C77" s="37"/>
      <c r="D77" s="37"/>
      <c r="E77" s="38"/>
      <c r="F77" s="26">
        <f>13480303.68</f>
        <v>13480303.68</v>
      </c>
      <c r="G77" s="26">
        <f>13480303.68</f>
        <v>13480303.68</v>
      </c>
      <c r="H77" s="26">
        <f>0</f>
        <v>0</v>
      </c>
      <c r="I77" s="26">
        <f>0</f>
        <v>0</v>
      </c>
      <c r="J77" s="26">
        <f>13480303.68</f>
        <v>13480303.68</v>
      </c>
      <c r="K77" s="26">
        <f>0</f>
        <v>0</v>
      </c>
      <c r="L77" s="26">
        <f>0</f>
        <v>0</v>
      </c>
    </row>
    <row r="78" spans="2:12" ht="33.75" customHeight="1" x14ac:dyDescent="0.2">
      <c r="B78" s="36" t="s">
        <v>58</v>
      </c>
      <c r="C78" s="37"/>
      <c r="D78" s="37"/>
      <c r="E78" s="38"/>
      <c r="F78" s="26">
        <f>4701416.27</f>
        <v>4701416.2699999996</v>
      </c>
      <c r="G78" s="26">
        <f>1335325.51</f>
        <v>1335325.51</v>
      </c>
      <c r="H78" s="26">
        <f>0</f>
        <v>0</v>
      </c>
      <c r="I78" s="26">
        <f>0</f>
        <v>0</v>
      </c>
      <c r="J78" s="26">
        <f>1335325.51</f>
        <v>1335325.51</v>
      </c>
      <c r="K78" s="26">
        <f>0</f>
        <v>0</v>
      </c>
      <c r="L78" s="26">
        <f>3366090.76</f>
        <v>3366090.76</v>
      </c>
    </row>
    <row r="79" spans="2:12" ht="22.5" customHeight="1" x14ac:dyDescent="0.2">
      <c r="B79" s="36" t="s">
        <v>59</v>
      </c>
      <c r="C79" s="37"/>
      <c r="D79" s="37"/>
      <c r="E79" s="38"/>
      <c r="F79" s="26">
        <f>374570.74</f>
        <v>374570.74</v>
      </c>
      <c r="G79" s="26">
        <f>228.56</f>
        <v>228.56</v>
      </c>
      <c r="H79" s="26">
        <f>0</f>
        <v>0</v>
      </c>
      <c r="I79" s="26">
        <f>0</f>
        <v>0</v>
      </c>
      <c r="J79" s="26">
        <f>228.56</f>
        <v>228.56</v>
      </c>
      <c r="K79" s="26">
        <f>0</f>
        <v>0</v>
      </c>
      <c r="L79" s="26">
        <f>374342.18</f>
        <v>374342.18</v>
      </c>
    </row>
    <row r="82" spans="1:13" ht="75" customHeight="1" x14ac:dyDescent="0.2">
      <c r="A82" s="31" t="str">
        <f>CONCATENATE("Informacja z wykonania budżetów powiatów za   ",$C$90," ",$B$91," roku    ",$B$93,"")</f>
        <v xml:space="preserve">Informacja z wykonania budżetów powiatów za   III Kwartały 2025 roku    </v>
      </c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</row>
    <row r="83" spans="1:13" ht="13.5" customHeight="1" x14ac:dyDescent="0.2">
      <c r="B83" s="4"/>
    </row>
    <row r="84" spans="1:13" ht="13.5" customHeight="1" x14ac:dyDescent="0.2">
      <c r="B84" s="5"/>
      <c r="C84" s="42"/>
      <c r="D84" s="56"/>
      <c r="E84" s="56"/>
      <c r="F84" s="43"/>
      <c r="G84" s="42" t="s">
        <v>3</v>
      </c>
      <c r="H84" s="43"/>
      <c r="I84" s="42" t="s">
        <v>4</v>
      </c>
      <c r="J84" s="43"/>
      <c r="K84" s="5"/>
    </row>
    <row r="85" spans="1:13" ht="13.5" customHeight="1" x14ac:dyDescent="0.2">
      <c r="B85" s="6"/>
      <c r="C85" s="57" t="s">
        <v>5</v>
      </c>
      <c r="D85" s="58"/>
      <c r="E85" s="58"/>
      <c r="F85" s="59"/>
      <c r="G85" s="54">
        <f>306</f>
        <v>306</v>
      </c>
      <c r="H85" s="55"/>
      <c r="I85" s="39">
        <f>6910069842.26</f>
        <v>6910069842.2600002</v>
      </c>
      <c r="J85" s="40"/>
      <c r="K85" s="7"/>
    </row>
    <row r="86" spans="1:13" ht="13.5" customHeight="1" x14ac:dyDescent="0.2">
      <c r="B86" s="6"/>
      <c r="C86" s="60" t="s">
        <v>6</v>
      </c>
      <c r="D86" s="61"/>
      <c r="E86" s="61"/>
      <c r="F86" s="62"/>
      <c r="G86" s="63">
        <f>8</f>
        <v>8</v>
      </c>
      <c r="H86" s="64"/>
      <c r="I86" s="65">
        <f>-31130050.88</f>
        <v>-31130050.879999999</v>
      </c>
      <c r="J86" s="66"/>
      <c r="K86" s="7"/>
    </row>
    <row r="87" spans="1:13" ht="13.5" customHeight="1" x14ac:dyDescent="0.2">
      <c r="B87" s="6"/>
      <c r="C87" s="57" t="s">
        <v>7</v>
      </c>
      <c r="D87" s="58"/>
      <c r="E87" s="58"/>
      <c r="F87" s="59"/>
      <c r="G87" s="54">
        <f>0</f>
        <v>0</v>
      </c>
      <c r="H87" s="55"/>
      <c r="I87" s="39">
        <f>0</f>
        <v>0</v>
      </c>
      <c r="J87" s="40"/>
      <c r="K87" s="7"/>
    </row>
    <row r="90" spans="1:13" ht="13.5" customHeight="1" x14ac:dyDescent="0.2">
      <c r="A90" s="8" t="s">
        <v>8</v>
      </c>
      <c r="B90" s="8">
        <f>3</f>
        <v>3</v>
      </c>
      <c r="C90" s="8" t="str">
        <f>IF(B90=1,"I Kwartał",IF(B90=2,"II Kwartały",IF(B90=3,"III Kwartały",IF(B90=4,"IV Kwartały","-"))))</f>
        <v>III Kwartały</v>
      </c>
    </row>
    <row r="91" spans="1:13" ht="13.5" customHeight="1" x14ac:dyDescent="0.2">
      <c r="A91" s="8" t="s">
        <v>9</v>
      </c>
      <c r="B91" s="8">
        <f>2025</f>
        <v>2025</v>
      </c>
      <c r="C91" s="9"/>
    </row>
    <row r="92" spans="1:13" ht="13.5" customHeight="1" x14ac:dyDescent="0.2">
      <c r="A92" s="8" t="s">
        <v>10</v>
      </c>
      <c r="B92" s="10" t="str">
        <f>"Nov 14 2025 12:00AM"</f>
        <v>Nov 14 2025 12:00AM</v>
      </c>
      <c r="C92" s="9"/>
    </row>
    <row r="93" spans="1:13" ht="13.5" customHeight="1" x14ac:dyDescent="0.2">
      <c r="A93" s="14" t="s">
        <v>75</v>
      </c>
      <c r="B93" s="10" t="str">
        <f>""</f>
        <v/>
      </c>
    </row>
  </sheetData>
  <mergeCells count="79">
    <mergeCell ref="B71:E71"/>
    <mergeCell ref="F72:L72"/>
    <mergeCell ref="L67:L70"/>
    <mergeCell ref="F32:F35"/>
    <mergeCell ref="G32:G35"/>
    <mergeCell ref="H32:H35"/>
    <mergeCell ref="K32:K35"/>
    <mergeCell ref="I32:I35"/>
    <mergeCell ref="J32:J35"/>
    <mergeCell ref="A31:A35"/>
    <mergeCell ref="C32:C35"/>
    <mergeCell ref="E32:E35"/>
    <mergeCell ref="B31:B35"/>
    <mergeCell ref="K67:K70"/>
    <mergeCell ref="H67:H70"/>
    <mergeCell ref="I67:I70"/>
    <mergeCell ref="J67:J70"/>
    <mergeCell ref="B37:Q37"/>
    <mergeCell ref="A29:M29"/>
    <mergeCell ref="G7:G10"/>
    <mergeCell ref="F7:F10"/>
    <mergeCell ref="I7:I10"/>
    <mergeCell ref="J7:J10"/>
    <mergeCell ref="B12:Q12"/>
    <mergeCell ref="A1:M1"/>
    <mergeCell ref="C5:M5"/>
    <mergeCell ref="A3:M3"/>
    <mergeCell ref="K7:K10"/>
    <mergeCell ref="C7:C10"/>
    <mergeCell ref="B6:B10"/>
    <mergeCell ref="A6:A10"/>
    <mergeCell ref="C6:N6"/>
    <mergeCell ref="D7:D10"/>
    <mergeCell ref="E7:E10"/>
    <mergeCell ref="L7:L10"/>
    <mergeCell ref="M7:M10"/>
    <mergeCell ref="N7:N10"/>
    <mergeCell ref="G87:H87"/>
    <mergeCell ref="I87:J87"/>
    <mergeCell ref="C84:F84"/>
    <mergeCell ref="C85:F85"/>
    <mergeCell ref="C86:F86"/>
    <mergeCell ref="C87:F87"/>
    <mergeCell ref="G85:H85"/>
    <mergeCell ref="G84:H84"/>
    <mergeCell ref="G86:H86"/>
    <mergeCell ref="I86:J86"/>
    <mergeCell ref="B78:E78"/>
    <mergeCell ref="I85:J85"/>
    <mergeCell ref="B64:M64"/>
    <mergeCell ref="I84:J84"/>
    <mergeCell ref="B72:E72"/>
    <mergeCell ref="B66:E70"/>
    <mergeCell ref="B79:E79"/>
    <mergeCell ref="A82:M82"/>
    <mergeCell ref="B75:E75"/>
    <mergeCell ref="B76:E76"/>
    <mergeCell ref="B77:E77"/>
    <mergeCell ref="B74:E74"/>
    <mergeCell ref="B73:E73"/>
    <mergeCell ref="F66:F70"/>
    <mergeCell ref="G67:G70"/>
    <mergeCell ref="G66:L66"/>
    <mergeCell ref="O6:Q6"/>
    <mergeCell ref="O7:O10"/>
    <mergeCell ref="A63:M63"/>
    <mergeCell ref="L32:L35"/>
    <mergeCell ref="P32:P35"/>
    <mergeCell ref="Q32:Q35"/>
    <mergeCell ref="N32:N35"/>
    <mergeCell ref="O32:O35"/>
    <mergeCell ref="D32:D35"/>
    <mergeCell ref="H7:H10"/>
    <mergeCell ref="M32:M35"/>
    <mergeCell ref="Q7:Q10"/>
    <mergeCell ref="C31:N31"/>
    <mergeCell ref="P7:P10"/>
    <mergeCell ref="A27:M27"/>
    <mergeCell ref="O31:Q31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6" max="16383" man="1"/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2009-11-20T13:10:55Z</cp:lastPrinted>
  <dcterms:created xsi:type="dcterms:W3CDTF">2001-05-17T08:58:03Z</dcterms:created>
  <dcterms:modified xsi:type="dcterms:W3CDTF">2025-11-20T08:22:55Z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2025-11-19T09:58:59.2173604+01:00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GRN-08784a52-7dab-4f0b-b3de-e3faa3ae65d5</vt:lpwstr>
  </property>
  <property fmtid="{D5CDD505-2E9C-101B-9397-08002B2CF9AE}" pid="7" name="MFHash">
    <vt:lpwstr>T50+9SBcOpELhQc2/pPfNBEUDzNUmMlSsIsDyrz+9ok=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