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HHCY\Documents\```ST7\Besti@\2025\II kwartał\2025.08.15 Dane ostateczne\Zbiorówki_2025_k2_2025.08.15\Publikacja\"/>
    </mc:Choice>
  </mc:AlternateContent>
  <xr:revisionPtr revIDLastSave="0" documentId="13_ncr:1_{D9B97C44-5633-4A5B-9EA9-57442B0868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definedNames>
    <definedName name="_xlnm.Print_Area" localSheetId="0">doch_wyd!$B$1:$L$116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7" i="4" l="1"/>
  <c r="C116" i="4"/>
  <c r="C115" i="4"/>
  <c r="C114" i="4"/>
  <c r="D112" i="4"/>
  <c r="C112" i="4"/>
  <c r="D111" i="4"/>
  <c r="C111" i="4"/>
  <c r="D110" i="4"/>
  <c r="C110" i="4"/>
  <c r="D109" i="4"/>
  <c r="C109" i="4"/>
  <c r="D108" i="4"/>
  <c r="C108" i="4"/>
  <c r="D107" i="4"/>
  <c r="C107" i="4"/>
  <c r="D106" i="4"/>
  <c r="C106" i="4"/>
  <c r="D105" i="4"/>
  <c r="C105" i="4"/>
  <c r="D104" i="4"/>
  <c r="C104" i="4"/>
  <c r="D99" i="4"/>
  <c r="C99" i="4"/>
  <c r="D98" i="4"/>
  <c r="C98" i="4"/>
  <c r="D97" i="4"/>
  <c r="C97" i="4"/>
  <c r="D96" i="4"/>
  <c r="C96" i="4"/>
  <c r="D95" i="4"/>
  <c r="C95" i="4"/>
  <c r="D94" i="4"/>
  <c r="J99" i="4" s="1"/>
  <c r="C94" i="4"/>
  <c r="D93" i="4"/>
  <c r="C93" i="4"/>
  <c r="D92" i="4"/>
  <c r="C92" i="4"/>
  <c r="D91" i="4"/>
  <c r="C91" i="4"/>
  <c r="D90" i="4"/>
  <c r="C90" i="4"/>
  <c r="D89" i="4"/>
  <c r="C89" i="4"/>
  <c r="D88" i="4"/>
  <c r="C88" i="4"/>
  <c r="D87" i="4"/>
  <c r="C87" i="4"/>
  <c r="D86" i="4"/>
  <c r="C86" i="4"/>
  <c r="D85" i="4"/>
  <c r="C85" i="4"/>
  <c r="D84" i="4"/>
  <c r="C84" i="4"/>
  <c r="K84" i="4" s="1"/>
  <c r="D83" i="4"/>
  <c r="C83" i="4"/>
  <c r="I77" i="4"/>
  <c r="H77" i="4"/>
  <c r="H78" i="4" s="1"/>
  <c r="G77" i="4"/>
  <c r="F77" i="4"/>
  <c r="E77" i="4"/>
  <c r="D77" i="4"/>
  <c r="C77" i="4"/>
  <c r="I76" i="4"/>
  <c r="H76" i="4"/>
  <c r="G76" i="4"/>
  <c r="F76" i="4"/>
  <c r="E76" i="4"/>
  <c r="D76" i="4"/>
  <c r="C76" i="4"/>
  <c r="G72" i="4"/>
  <c r="F72" i="4"/>
  <c r="E72" i="4"/>
  <c r="D72" i="4"/>
  <c r="C72" i="4"/>
  <c r="G71" i="4"/>
  <c r="F71" i="4"/>
  <c r="E71" i="4"/>
  <c r="D71" i="4"/>
  <c r="C71" i="4"/>
  <c r="G67" i="4"/>
  <c r="F67" i="4"/>
  <c r="E67" i="4"/>
  <c r="D67" i="4"/>
  <c r="C67" i="4"/>
  <c r="G66" i="4"/>
  <c r="F66" i="4"/>
  <c r="E66" i="4"/>
  <c r="D66" i="4"/>
  <c r="C66" i="4"/>
  <c r="I58" i="4"/>
  <c r="H58" i="4"/>
  <c r="G58" i="4"/>
  <c r="F58" i="4"/>
  <c r="E58" i="4"/>
  <c r="D58" i="4"/>
  <c r="C58" i="4"/>
  <c r="I57" i="4"/>
  <c r="H57" i="4"/>
  <c r="G57" i="4"/>
  <c r="F57" i="4"/>
  <c r="E57" i="4"/>
  <c r="D57" i="4"/>
  <c r="C57" i="4"/>
  <c r="I56" i="4"/>
  <c r="H56" i="4"/>
  <c r="G56" i="4"/>
  <c r="F56" i="4"/>
  <c r="E56" i="4"/>
  <c r="D56" i="4"/>
  <c r="C56" i="4"/>
  <c r="I55" i="4"/>
  <c r="H55" i="4"/>
  <c r="G55" i="4"/>
  <c r="F55" i="4"/>
  <c r="E55" i="4"/>
  <c r="D55" i="4"/>
  <c r="C55" i="4"/>
  <c r="I54" i="4"/>
  <c r="H54" i="4"/>
  <c r="G54" i="4"/>
  <c r="F54" i="4"/>
  <c r="E54" i="4"/>
  <c r="D54" i="4"/>
  <c r="C54" i="4"/>
  <c r="I52" i="4"/>
  <c r="H52" i="4"/>
  <c r="G52" i="4"/>
  <c r="F52" i="4"/>
  <c r="E52" i="4"/>
  <c r="D52" i="4"/>
  <c r="C52" i="4"/>
  <c r="I51" i="4"/>
  <c r="H51" i="4"/>
  <c r="G51" i="4"/>
  <c r="F51" i="4"/>
  <c r="E51" i="4"/>
  <c r="D51" i="4"/>
  <c r="C51" i="4"/>
  <c r="I50" i="4"/>
  <c r="H50" i="4"/>
  <c r="G50" i="4"/>
  <c r="F50" i="4"/>
  <c r="E50" i="4"/>
  <c r="D50" i="4"/>
  <c r="C50" i="4"/>
  <c r="D40" i="4"/>
  <c r="C40" i="4"/>
  <c r="D38" i="4"/>
  <c r="C38" i="4"/>
  <c r="D37" i="4"/>
  <c r="J37" i="4" s="1"/>
  <c r="C37" i="4"/>
  <c r="D36" i="4"/>
  <c r="C36" i="4"/>
  <c r="D35" i="4"/>
  <c r="C35" i="4"/>
  <c r="D34" i="4"/>
  <c r="C34" i="4"/>
  <c r="D33" i="4"/>
  <c r="C33" i="4"/>
  <c r="D32" i="4"/>
  <c r="C32" i="4"/>
  <c r="D31" i="4"/>
  <c r="C31" i="4"/>
  <c r="D30" i="4"/>
  <c r="J30" i="4" s="1"/>
  <c r="C30" i="4"/>
  <c r="D29" i="4"/>
  <c r="J29" i="4" s="1"/>
  <c r="C29" i="4"/>
  <c r="D28" i="4"/>
  <c r="C28" i="4"/>
  <c r="D27" i="4"/>
  <c r="C27" i="4"/>
  <c r="D26" i="4"/>
  <c r="C26" i="4"/>
  <c r="D25" i="4"/>
  <c r="C25" i="4"/>
  <c r="K25" i="4" s="1"/>
  <c r="D24" i="4"/>
  <c r="C24" i="4"/>
  <c r="D23" i="4"/>
  <c r="K23" i="4" s="1"/>
  <c r="C23" i="4"/>
  <c r="D22" i="4"/>
  <c r="C22" i="4"/>
  <c r="D21" i="4"/>
  <c r="C21" i="4"/>
  <c r="D20" i="4"/>
  <c r="C20" i="4"/>
  <c r="D19" i="4"/>
  <c r="C19" i="4"/>
  <c r="D18" i="4"/>
  <c r="J18" i="4" s="1"/>
  <c r="C18" i="4"/>
  <c r="D17" i="4"/>
  <c r="C17" i="4"/>
  <c r="D16" i="4"/>
  <c r="J16" i="4" s="1"/>
  <c r="C16" i="4"/>
  <c r="D15" i="4"/>
  <c r="J15" i="4" s="1"/>
  <c r="C15" i="4"/>
  <c r="D14" i="4"/>
  <c r="C14" i="4"/>
  <c r="D13" i="4"/>
  <c r="C13" i="4"/>
  <c r="D9" i="4"/>
  <c r="J9" i="4" s="1"/>
  <c r="C9" i="4"/>
  <c r="D8" i="4"/>
  <c r="C8" i="4"/>
  <c r="D7" i="4"/>
  <c r="C7" i="4"/>
  <c r="D5" i="4"/>
  <c r="C5" i="4"/>
  <c r="K5" i="4" s="1"/>
  <c r="K20" i="4"/>
  <c r="I78" i="4"/>
  <c r="K77" i="4"/>
  <c r="K38" i="4"/>
  <c r="K97" i="4"/>
  <c r="K13" i="4"/>
  <c r="K40" i="4"/>
  <c r="K85" i="4"/>
  <c r="I53" i="4"/>
  <c r="I59" i="4" s="1"/>
  <c r="K27" i="4"/>
  <c r="K99" i="4"/>
  <c r="K31" i="4"/>
  <c r="K15" i="4"/>
  <c r="K57" i="4"/>
  <c r="K87" i="4"/>
  <c r="K33" i="4"/>
  <c r="K92" i="4"/>
  <c r="K21" i="4"/>
  <c r="K54" i="4"/>
  <c r="K93" i="4"/>
  <c r="K26" i="4"/>
  <c r="K98" i="4"/>
  <c r="K14" i="4"/>
  <c r="K51" i="4"/>
  <c r="K86" i="4"/>
  <c r="K19" i="4"/>
  <c r="K32" i="4"/>
  <c r="K91" i="4"/>
  <c r="J38" i="4"/>
  <c r="J31" i="4"/>
  <c r="J13" i="4"/>
  <c r="J22" i="4"/>
  <c r="J35" i="4"/>
  <c r="J17" i="4"/>
  <c r="J28" i="4"/>
  <c r="J32" i="4"/>
  <c r="J20" i="4"/>
  <c r="J5" i="4"/>
  <c r="D39" i="4"/>
  <c r="J40" i="4" s="1"/>
  <c r="D41" i="4"/>
  <c r="J26" i="4"/>
  <c r="D60" i="4"/>
  <c r="J34" i="4"/>
  <c r="J27" i="4"/>
  <c r="J33" i="4"/>
  <c r="J25" i="4"/>
  <c r="J8" i="4"/>
  <c r="J24" i="4"/>
  <c r="J19" i="4"/>
  <c r="J14" i="4"/>
  <c r="J21" i="4"/>
  <c r="J36" i="4"/>
  <c r="J7" i="4"/>
  <c r="K28" i="4"/>
  <c r="K76" i="4"/>
  <c r="C78" i="4"/>
  <c r="K78" i="4"/>
  <c r="K88" i="4"/>
  <c r="K35" i="4"/>
  <c r="K52" i="4"/>
  <c r="E78" i="4"/>
  <c r="K83" i="4"/>
  <c r="K89" i="4"/>
  <c r="K95" i="4"/>
  <c r="F53" i="4"/>
  <c r="F59" i="4"/>
  <c r="F78" i="4"/>
  <c r="J93" i="4"/>
  <c r="J89" i="4"/>
  <c r="J86" i="4"/>
  <c r="J85" i="4"/>
  <c r="J84" i="4"/>
  <c r="J91" i="4"/>
  <c r="J92" i="4"/>
  <c r="J83" i="4"/>
  <c r="J87" i="4"/>
  <c r="J88" i="4"/>
  <c r="J90" i="4"/>
  <c r="K56" i="4"/>
  <c r="K50" i="4"/>
  <c r="C53" i="4"/>
  <c r="J52" i="4"/>
  <c r="J54" i="4"/>
  <c r="J56" i="4"/>
  <c r="D53" i="4"/>
  <c r="J53" i="4" s="1"/>
  <c r="D59" i="4"/>
  <c r="J59" i="4" s="1"/>
  <c r="J51" i="4"/>
  <c r="J55" i="4"/>
  <c r="J57" i="4"/>
  <c r="J50" i="4"/>
  <c r="J58" i="4"/>
  <c r="D114" i="4"/>
  <c r="B43" i="4" s="1"/>
  <c r="K24" i="4"/>
  <c r="K30" i="4"/>
  <c r="K36" i="4"/>
  <c r="G53" i="4"/>
  <c r="G59" i="4" s="1"/>
  <c r="K55" i="4"/>
  <c r="G78" i="4"/>
  <c r="K90" i="4"/>
  <c r="K96" i="4"/>
  <c r="K22" i="4"/>
  <c r="K34" i="4"/>
  <c r="K58" i="4"/>
  <c r="J77" i="4"/>
  <c r="J76" i="4"/>
  <c r="D78" i="4"/>
  <c r="J78" i="4" s="1"/>
  <c r="K8" i="4"/>
  <c r="E53" i="4"/>
  <c r="E59" i="4" s="1"/>
  <c r="H53" i="4"/>
  <c r="H59" i="4"/>
  <c r="J39" i="4"/>
  <c r="J41" i="4"/>
  <c r="B1" i="4"/>
  <c r="B79" i="4"/>
  <c r="C59" i="4"/>
  <c r="J96" i="4" l="1"/>
  <c r="J95" i="4"/>
  <c r="J94" i="4"/>
  <c r="J97" i="4"/>
  <c r="J98" i="4"/>
  <c r="K94" i="4"/>
  <c r="K53" i="4"/>
  <c r="K59" i="4"/>
  <c r="D61" i="4"/>
  <c r="K37" i="4"/>
  <c r="K29" i="4"/>
  <c r="C12" i="4"/>
  <c r="C11" i="4" s="1"/>
  <c r="C6" i="4" s="1"/>
  <c r="D12" i="4"/>
  <c r="J12" i="4" s="1"/>
  <c r="J23" i="4"/>
  <c r="K18" i="4"/>
  <c r="K17" i="4"/>
  <c r="K16" i="4"/>
  <c r="K9" i="4"/>
  <c r="K7" i="4"/>
  <c r="C39" i="4"/>
  <c r="C60" i="4"/>
  <c r="D11" i="4" l="1"/>
  <c r="J11" i="4" s="1"/>
  <c r="K12" i="4"/>
  <c r="C10" i="4"/>
  <c r="K39" i="4"/>
  <c r="C41" i="4"/>
  <c r="K11" i="4" l="1"/>
  <c r="D6" i="4"/>
  <c r="L7" i="4" s="1"/>
  <c r="K6" i="4"/>
  <c r="J6" i="4"/>
  <c r="L6" i="4"/>
  <c r="L8" i="4"/>
  <c r="L9" i="4"/>
  <c r="D10" i="4"/>
  <c r="J10" i="4" s="1"/>
  <c r="K41" i="4"/>
  <c r="C61" i="4"/>
  <c r="L10" i="4" l="1"/>
  <c r="K10" i="4"/>
</calcChain>
</file>

<file path=xl/sharedStrings.xml><?xml version="1.0" encoding="utf-8"?>
<sst xmlns="http://schemas.openxmlformats.org/spreadsheetml/2006/main" count="416" uniqueCount="111">
  <si>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</si>
  <si>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</si>
  <si>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</si>
  <si>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</si>
  <si>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</si>
  <si>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</si>
  <si>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</si>
  <si>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</si>
  <si>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</si>
  <si>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</si>
  <si>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</si>
  <si>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</si>
  <si>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</si>
  <si>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</si>
  <si>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</si>
  <si>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</si>
  <si>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</si>
  <si>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</si>
  <si>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</si>
  <si>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>dochody z majątku</t>
  </si>
  <si>
    <t xml:space="preserve">pozostałe dochody </t>
  </si>
  <si>
    <t>Struktura</t>
  </si>
  <si>
    <t>Wskaźnik</t>
  </si>
  <si>
    <t>w tym wymagalne: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</si>
  <si>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</si>
  <si>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</si>
  <si>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</si>
  <si>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</si>
  <si>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</si>
  <si>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</si>
  <si>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</si>
  <si>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</si>
  <si>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</si>
  <si>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</si>
  <si>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</si>
  <si>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Razem dochody własne 
z tego:</t>
  </si>
  <si>
    <t>Dotacje celowe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</si>
  <si>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</si>
  <si>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</si>
  <si>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</si>
  <si>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</si>
  <si>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</si>
  <si>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</si>
  <si>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</si>
  <si>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</si>
  <si>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</si>
  <si>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w tym: inwestycyjne § 620</t>
  </si>
  <si>
    <t>tytul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</si>
  <si>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</si>
  <si>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</si>
  <si>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</si>
  <si>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</si>
  <si>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</si>
  <si>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</si>
  <si>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</si>
  <si>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</si>
  <si>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</si>
  <si>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</si>
  <si>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w tym: inwestycyjne § 625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</si>
  <si>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</si>
  <si>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Dotacje §§ 200 i 620</t>
  </si>
  <si>
    <t>Dotacje §§ 205 i 625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</si>
  <si>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</si>
  <si>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</si>
  <si>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</si>
  <si>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</si>
  <si>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wolne środki, o których mowa w art. 217 ust. 2 pkt 6 ustawy o finansach publicznych</t>
  </si>
  <si>
    <t>wykup papierów wartościowych</t>
  </si>
  <si>
    <t>otrzymane ze środków z Funduszu Przeciwdziałania COVID-19 (m.in. z Rządowego Funduszu Inwestycji Lokalnych)</t>
  </si>
  <si>
    <t>na finansowanie lub dofinansowanie zadań inwestycyjnych obiektów zabytkowych oraz prac remontowych i konserwatorskich przy zabytkach</t>
  </si>
  <si>
    <t>w tym: inwestycyjne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</si>
  <si>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</si>
  <si>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</si>
  <si>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nadwyżka budżetu jednostki samorządu terytorialnego z lat ubiegłych, pomniejszona o środki określone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</si>
  <si>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</si>
  <si>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</si>
  <si>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udzielone pożyczki</t>
  </si>
  <si>
    <t>wynagrodzenia i składki od nich naliczane</t>
  </si>
  <si>
    <t>#</t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</si>
  <si>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</si>
  <si>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</si>
  <si>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</si>
  <si>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</si>
  <si>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</si>
  <si>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Dotacje ogółem 
z tego:</t>
  </si>
  <si>
    <t>Wydatki ogółem UE 
z tego: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</si>
  <si>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</si>
  <si>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</si>
  <si>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</si>
  <si>
    <t>inne źródła, w tym:</t>
  </si>
  <si>
    <t>środki z lokat dokonanych w latach ubiegłych</t>
  </si>
  <si>
    <t>inne cele, w tym:</t>
  </si>
  <si>
    <t>lokaty na okres wykraczający poza rok budżetowy</t>
  </si>
  <si>
    <t>stan niespłaconych na koniec okresu sprawozdawczego zobowiązań przeznaczonych na cel , o którym mowa w art. 89 ust. 1 pkt 1 ustawy o finansach publicznych</t>
  </si>
  <si>
    <t>spłaty kredytów i  pożyczek, wykup papierów wartościowych 
w tym:</t>
  </si>
  <si>
    <t>FINANSOWANIE DEFICYTU (E1+E2+E3+E4+E5+E6+E7+E8) 
z tego:</t>
  </si>
  <si>
    <t>podatek dochodowy od osób fizycznych</t>
  </si>
  <si>
    <t>podatek dochodowy od osób prawnych</t>
  </si>
  <si>
    <t>Subwencja ogólna, w tym:</t>
  </si>
  <si>
    <t>część rekompensująca</t>
  </si>
  <si>
    <t>środki na uzupełnienie dochodów jednostek samorządu terytorialnego</t>
  </si>
  <si>
    <t>dodatni (nadwyżka)</t>
  </si>
  <si>
    <t>ujemny (deficyt)</t>
  </si>
  <si>
    <t>liczba JST</t>
  </si>
  <si>
    <t>kwota</t>
  </si>
  <si>
    <t>Wynik budżetu</t>
  </si>
  <si>
    <t>Planowany</t>
  </si>
  <si>
    <t>Wykonany</t>
  </si>
  <si>
    <t>Wynik operacyjny (Db-Wb)</t>
  </si>
  <si>
    <t>Dochody bieżące 
minus  wydatki bieżące (Db-Wb)</t>
  </si>
  <si>
    <t>zrównoważony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</si>
</sst>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#,##0.0"/>
    <numFmt numFmtId="166" formatCode="dd/mm/yy\ h:mm;@"/>
    <numFmt numFmtId="167" formatCode="#,##0.00_ ;[Red]\-#,##0.00\ "/>
  </numFmts>
  <fonts count="41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charset val="238"/>
    </font>
    <font>
      <sz val="10"/>
      <name val="Arial CE"/>
      <charset val="238"/>
    </font>
    <font>
      <sz val="14"/>
      <name val="Arial"/>
      <family val="2"/>
      <charset val="238"/>
    </font>
    <font>
      <b/>
      <sz val="7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1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3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0" fontId="14" fillId="13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5" fillId="18" borderId="0" applyNumberFormat="0" applyBorder="0" applyAlignment="0" applyProtection="0"/>
    <xf numFmtId="0" fontId="16" fillId="7" borderId="1" applyNumberFormat="0" applyAlignment="0" applyProtection="0"/>
    <xf numFmtId="0" fontId="17" fillId="17" borderId="2" applyNumberFormat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1" applyNumberFormat="0" applyAlignment="0" applyProtection="0"/>
    <xf numFmtId="0" fontId="24" fillId="0" borderId="7" applyNumberFormat="0" applyFill="0" applyAlignment="0" applyProtection="0"/>
    <xf numFmtId="0" fontId="25" fillId="10" borderId="0" applyNumberFormat="0" applyBorder="0" applyAlignment="0" applyProtection="0"/>
    <xf numFmtId="0" fontId="38" fillId="0" borderId="0"/>
    <xf numFmtId="0" fontId="38" fillId="0" borderId="0"/>
    <xf numFmtId="0" fontId="1" fillId="4" borderId="8" applyNumberFormat="0" applyFont="0" applyAlignment="0" applyProtection="0"/>
    <xf numFmtId="0" fontId="26" fillId="7" borderId="3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71">
    <xf numFmtId="0" fontId="0" fillId="0" borderId="0" xfId="0"/>
    <xf numFmtId="0" fontId="2" fillId="0" borderId="0" xfId="0" applyFont="1"/>
    <xf numFmtId="0" fontId="6" fillId="0" borderId="0" xfId="0" applyFont="1" applyFill="1" applyAlignment="1">
      <alignment horizontal="left" vertical="center"/>
    </xf>
    <xf numFmtId="165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indent="1"/>
    </xf>
    <xf numFmtId="165" fontId="6" fillId="0" borderId="0" xfId="0" applyNumberFormat="1" applyFont="1" applyAlignment="1">
      <alignment horizontal="right" vertical="center"/>
    </xf>
    <xf numFmtId="165" fontId="6" fillId="0" borderId="0" xfId="0" applyNumberFormat="1" applyFont="1" applyFill="1" applyAlignment="1">
      <alignment horizontal="right" vertical="center"/>
    </xf>
    <xf numFmtId="0" fontId="4" fillId="0" borderId="10" xfId="0" applyFont="1" applyFill="1" applyBorder="1" applyAlignment="1">
      <alignment horizontal="left" vertical="center" wrapText="1" indent="1"/>
    </xf>
    <xf numFmtId="0" fontId="6" fillId="0" borderId="10" xfId="0" applyFont="1" applyBorder="1"/>
    <xf numFmtId="0" fontId="6" fillId="0" borderId="0" xfId="0" applyFont="1"/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0" fontId="6" fillId="19" borderId="12" xfId="0" applyFont="1" applyFill="1" applyBorder="1" applyAlignment="1">
      <alignment horizontal="center"/>
    </xf>
    <xf numFmtId="4" fontId="33" fillId="20" borderId="10" xfId="0" applyNumberFormat="1" applyFont="1" applyFill="1" applyBorder="1" applyAlignment="1">
      <alignment horizontal="right" vertical="center"/>
    </xf>
    <xf numFmtId="165" fontId="33" fillId="20" borderId="10" xfId="0" applyNumberFormat="1" applyFont="1" applyFill="1" applyBorder="1" applyAlignment="1">
      <alignment horizontal="right" vertical="center"/>
    </xf>
    <xf numFmtId="4" fontId="34" fillId="0" borderId="10" xfId="0" applyNumberFormat="1" applyFont="1" applyFill="1" applyBorder="1" applyAlignment="1">
      <alignment horizontal="right" vertical="center"/>
    </xf>
    <xf numFmtId="165" fontId="34" fillId="0" borderId="10" xfId="0" applyNumberFormat="1" applyFont="1" applyFill="1" applyBorder="1" applyAlignment="1">
      <alignment horizontal="right" vertical="center"/>
    </xf>
    <xf numFmtId="165" fontId="34" fillId="20" borderId="10" xfId="0" applyNumberFormat="1" applyFont="1" applyFill="1" applyBorder="1" applyAlignment="1">
      <alignment horizontal="right" vertical="center"/>
    </xf>
    <xf numFmtId="4" fontId="34" fillId="0" borderId="10" xfId="0" applyNumberFormat="1" applyFont="1" applyBorder="1" applyAlignment="1">
      <alignment horizontal="right" vertical="center"/>
    </xf>
    <xf numFmtId="165" fontId="35" fillId="0" borderId="0" xfId="0" applyNumberFormat="1" applyFont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4" fontId="33" fillId="20" borderId="10" xfId="0" applyNumberFormat="1" applyFont="1" applyFill="1" applyBorder="1" applyAlignment="1">
      <alignment horizontal="right" vertical="center" wrapText="1"/>
    </xf>
    <xf numFmtId="165" fontId="36" fillId="20" borderId="10" xfId="0" applyNumberFormat="1" applyFont="1" applyFill="1" applyBorder="1" applyAlignment="1">
      <alignment horizontal="right" vertical="center"/>
    </xf>
    <xf numFmtId="0" fontId="35" fillId="0" borderId="0" xfId="0" applyFont="1"/>
    <xf numFmtId="0" fontId="35" fillId="0" borderId="0" xfId="0" applyFont="1" applyBorder="1"/>
    <xf numFmtId="3" fontId="33" fillId="0" borderId="0" xfId="0" applyNumberFormat="1" applyFont="1" applyBorder="1" applyAlignment="1">
      <alignment horizontal="right" vertical="center"/>
    </xf>
    <xf numFmtId="165" fontId="35" fillId="0" borderId="0" xfId="0" applyNumberFormat="1" applyFont="1"/>
    <xf numFmtId="4" fontId="36" fillId="20" borderId="12" xfId="0" applyNumberFormat="1" applyFont="1" applyFill="1" applyBorder="1" applyAlignment="1">
      <alignment horizontal="right" vertical="center"/>
    </xf>
    <xf numFmtId="165" fontId="36" fillId="20" borderId="10" xfId="28" applyNumberFormat="1" applyFont="1" applyFill="1" applyBorder="1" applyAlignment="1">
      <alignment horizontal="right" vertical="center"/>
    </xf>
    <xf numFmtId="4" fontId="35" fillId="0" borderId="12" xfId="0" applyNumberFormat="1" applyFont="1" applyBorder="1" applyAlignment="1">
      <alignment horizontal="right" vertical="center"/>
    </xf>
    <xf numFmtId="165" fontId="36" fillId="21" borderId="10" xfId="28" applyNumberFormat="1" applyFont="1" applyFill="1" applyBorder="1" applyAlignment="1">
      <alignment horizontal="right" vertical="center"/>
    </xf>
    <xf numFmtId="165" fontId="36" fillId="21" borderId="10" xfId="0" applyNumberFormat="1" applyFont="1" applyFill="1" applyBorder="1" applyAlignment="1">
      <alignment horizontal="right" vertical="center"/>
    </xf>
    <xf numFmtId="4" fontId="35" fillId="22" borderId="12" xfId="0" applyNumberFormat="1" applyFont="1" applyFill="1" applyBorder="1" applyAlignment="1">
      <alignment horizontal="right" vertical="center"/>
    </xf>
    <xf numFmtId="165" fontId="36" fillId="22" borderId="10" xfId="0" applyNumberFormat="1" applyFont="1" applyFill="1" applyBorder="1" applyAlignment="1">
      <alignment horizontal="right" vertical="center"/>
    </xf>
    <xf numFmtId="4" fontId="36" fillId="22" borderId="12" xfId="0" applyNumberFormat="1" applyFont="1" applyFill="1" applyBorder="1" applyAlignment="1">
      <alignment horizontal="right" vertical="center"/>
    </xf>
    <xf numFmtId="0" fontId="11" fillId="19" borderId="10" xfId="0" applyFont="1" applyFill="1" applyBorder="1" applyAlignment="1">
      <alignment horizontal="center" vertical="center" wrapText="1"/>
    </xf>
    <xf numFmtId="0" fontId="39" fillId="22" borderId="10" xfId="44" applyFont="1" applyFill="1" applyBorder="1" applyAlignment="1">
      <alignment horizontal="left" vertical="top" wrapText="1"/>
    </xf>
    <xf numFmtId="4" fontId="33" fillId="22" borderId="10" xfId="0" applyNumberFormat="1" applyFont="1" applyFill="1" applyBorder="1" applyAlignment="1">
      <alignment horizontal="right" vertical="center"/>
    </xf>
    <xf numFmtId="165" fontId="33" fillId="22" borderId="10" xfId="0" applyNumberFormat="1" applyFont="1" applyFill="1" applyBorder="1" applyAlignment="1">
      <alignment horizontal="right" vertical="center"/>
    </xf>
    <xf numFmtId="4" fontId="35" fillId="0" borderId="10" xfId="0" applyNumberFormat="1" applyFont="1" applyFill="1" applyBorder="1" applyAlignment="1">
      <alignment horizontal="right" vertical="center"/>
    </xf>
    <xf numFmtId="165" fontId="34" fillId="0" borderId="0" xfId="0" applyNumberFormat="1" applyFont="1" applyFill="1" applyBorder="1" applyAlignment="1">
      <alignment horizontal="right" vertical="center"/>
    </xf>
    <xf numFmtId="4" fontId="34" fillId="22" borderId="10" xfId="0" applyNumberFormat="1" applyFont="1" applyFill="1" applyBorder="1" applyAlignment="1">
      <alignment horizontal="right" vertical="center"/>
    </xf>
    <xf numFmtId="165" fontId="34" fillId="22" borderId="10" xfId="0" applyNumberFormat="1" applyFont="1" applyFill="1" applyBorder="1" applyAlignment="1">
      <alignment horizontal="right" vertical="center"/>
    </xf>
    <xf numFmtId="4" fontId="36" fillId="22" borderId="10" xfId="0" applyNumberFormat="1" applyFont="1" applyFill="1" applyBorder="1" applyAlignment="1">
      <alignment horizontal="right" vertical="center"/>
    </xf>
    <xf numFmtId="4" fontId="34" fillId="0" borderId="10" xfId="0" applyNumberFormat="1" applyFont="1" applyFill="1" applyBorder="1" applyAlignment="1">
      <alignment horizontal="right" vertical="center" wrapText="1"/>
    </xf>
    <xf numFmtId="4" fontId="34" fillId="22" borderId="10" xfId="0" applyNumberFormat="1" applyFont="1" applyFill="1" applyBorder="1" applyAlignment="1">
      <alignment horizontal="right" vertical="center" wrapText="1"/>
    </xf>
    <xf numFmtId="165" fontId="35" fillId="22" borderId="10" xfId="0" applyNumberFormat="1" applyFont="1" applyFill="1" applyBorder="1" applyAlignment="1">
      <alignment horizontal="right" vertical="center"/>
    </xf>
    <xf numFmtId="4" fontId="33" fillId="22" borderId="10" xfId="0" applyNumberFormat="1" applyFont="1" applyFill="1" applyBorder="1" applyAlignment="1">
      <alignment horizontal="right" vertical="center" wrapText="1"/>
    </xf>
    <xf numFmtId="4" fontId="33" fillId="20" borderId="11" xfId="0" applyNumberFormat="1" applyFont="1" applyFill="1" applyBorder="1" applyAlignment="1">
      <alignment horizontal="right" vertical="center" wrapText="1"/>
    </xf>
    <xf numFmtId="4" fontId="35" fillId="0" borderId="12" xfId="0" applyNumberFormat="1" applyFont="1" applyFill="1" applyBorder="1" applyAlignment="1">
      <alignment horizontal="right" vertical="center"/>
    </xf>
    <xf numFmtId="165" fontId="36" fillId="0" borderId="10" xfId="28" applyNumberFormat="1" applyFont="1" applyFill="1" applyBorder="1" applyAlignment="1">
      <alignment horizontal="right" vertical="center"/>
    </xf>
    <xf numFmtId="165" fontId="36" fillId="0" borderId="10" xfId="0" applyNumberFormat="1" applyFont="1" applyFill="1" applyBorder="1" applyAlignment="1">
      <alignment horizontal="right" vertical="center"/>
    </xf>
    <xf numFmtId="4" fontId="34" fillId="21" borderId="10" xfId="0" applyNumberFormat="1" applyFont="1" applyFill="1" applyBorder="1" applyAlignment="1">
      <alignment horizontal="right" vertical="center"/>
    </xf>
    <xf numFmtId="165" fontId="34" fillId="21" borderId="10" xfId="0" applyNumberFormat="1" applyFont="1" applyFill="1" applyBorder="1" applyAlignment="1">
      <alignment horizontal="right" vertical="center"/>
    </xf>
    <xf numFmtId="0" fontId="6" fillId="19" borderId="12" xfId="0" applyFont="1" applyFill="1" applyBorder="1" applyAlignment="1">
      <alignment horizontal="center" vertical="center"/>
    </xf>
    <xf numFmtId="4" fontId="36" fillId="22" borderId="1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4" fontId="34" fillId="0" borderId="0" xfId="0" applyNumberFormat="1" applyFont="1" applyFill="1" applyBorder="1" applyAlignment="1">
      <alignment horizontal="right" vertical="center" wrapText="1"/>
    </xf>
    <xf numFmtId="4" fontId="34" fillId="0" borderId="0" xfId="0" applyNumberFormat="1" applyFont="1" applyFill="1" applyBorder="1" applyAlignment="1">
      <alignment horizontal="right" vertical="center"/>
    </xf>
    <xf numFmtId="4" fontId="36" fillId="0" borderId="0" xfId="0" applyNumberFormat="1" applyFont="1" applyFill="1" applyBorder="1" applyAlignment="1">
      <alignment horizontal="right" vertical="center"/>
    </xf>
    <xf numFmtId="4" fontId="33" fillId="0" borderId="0" xfId="0" applyNumberFormat="1" applyFont="1" applyFill="1" applyBorder="1" applyAlignment="1">
      <alignment horizontal="right" vertical="center" wrapText="1"/>
    </xf>
    <xf numFmtId="0" fontId="6" fillId="19" borderId="10" xfId="0" applyFont="1" applyFill="1" applyBorder="1" applyAlignment="1">
      <alignment vertical="center"/>
    </xf>
    <xf numFmtId="4" fontId="36" fillId="22" borderId="10" xfId="0" applyNumberFormat="1" applyFont="1" applyFill="1" applyBorder="1" applyAlignment="1">
      <alignment vertical="center"/>
    </xf>
    <xf numFmtId="4" fontId="33" fillId="22" borderId="10" xfId="0" applyNumberFormat="1" applyFont="1" applyFill="1" applyBorder="1" applyAlignment="1">
      <alignment vertical="center" wrapText="1"/>
    </xf>
    <xf numFmtId="4" fontId="34" fillId="0" borderId="10" xfId="0" applyNumberFormat="1" applyFont="1" applyBorder="1" applyAlignment="1">
      <alignment vertical="center"/>
    </xf>
    <xf numFmtId="4" fontId="34" fillId="0" borderId="10" xfId="0" applyNumberFormat="1" applyFont="1" applyFill="1" applyBorder="1" applyAlignment="1">
      <alignment vertical="center" wrapText="1"/>
    </xf>
    <xf numFmtId="4" fontId="34" fillId="0" borderId="10" xfId="0" applyNumberFormat="1" applyFont="1" applyFill="1" applyBorder="1" applyAlignment="1">
      <alignment vertical="center"/>
    </xf>
    <xf numFmtId="4" fontId="34" fillId="0" borderId="12" xfId="0" applyNumberFormat="1" applyFont="1" applyFill="1" applyBorder="1" applyAlignment="1">
      <alignment vertical="center" wrapText="1"/>
    </xf>
    <xf numFmtId="4" fontId="34" fillId="0" borderId="13" xfId="0" applyNumberFormat="1" applyFont="1" applyBorder="1" applyAlignment="1">
      <alignment horizontal="right" vertical="center"/>
    </xf>
    <xf numFmtId="4" fontId="34" fillId="0" borderId="14" xfId="0" applyNumberFormat="1" applyFont="1" applyBorder="1" applyAlignment="1">
      <alignment vertical="center" wrapText="1"/>
    </xf>
    <xf numFmtId="4" fontId="35" fillId="0" borderId="0" xfId="0" applyNumberFormat="1" applyFont="1" applyFill="1" applyBorder="1" applyAlignment="1">
      <alignment horizontal="right" vertical="center"/>
    </xf>
    <xf numFmtId="0" fontId="33" fillId="0" borderId="0" xfId="0" applyFont="1" applyFill="1" applyBorder="1" applyAlignment="1">
      <alignment horizontal="left" vertical="center"/>
    </xf>
    <xf numFmtId="0" fontId="35" fillId="0" borderId="0" xfId="0" applyFont="1" applyFill="1" applyBorder="1"/>
    <xf numFmtId="4" fontId="33" fillId="0" borderId="15" xfId="0" applyNumberFormat="1" applyFont="1" applyFill="1" applyBorder="1" applyAlignment="1">
      <alignment horizontal="right" vertical="center" wrapText="1"/>
    </xf>
    <xf numFmtId="4" fontId="33" fillId="0" borderId="14" xfId="0" applyNumberFormat="1" applyFont="1" applyFill="1" applyBorder="1" applyAlignment="1">
      <alignment horizontal="right" vertical="center" wrapText="1"/>
    </xf>
    <xf numFmtId="4" fontId="33" fillId="0" borderId="16" xfId="0" applyNumberFormat="1" applyFont="1" applyFill="1" applyBorder="1" applyAlignment="1">
      <alignment horizontal="right" vertical="center" wrapText="1"/>
    </xf>
    <xf numFmtId="4" fontId="35" fillId="0" borderId="16" xfId="0" applyNumberFormat="1" applyFont="1" applyFill="1" applyBorder="1" applyAlignment="1">
      <alignment horizontal="right" vertical="center"/>
    </xf>
    <xf numFmtId="0" fontId="6" fillId="19" borderId="12" xfId="0" applyFont="1" applyFill="1" applyBorder="1" applyAlignment="1">
      <alignment vertical="center"/>
    </xf>
    <xf numFmtId="4" fontId="35" fillId="22" borderId="10" xfId="0" applyNumberFormat="1" applyFont="1" applyFill="1" applyBorder="1" applyAlignment="1">
      <alignment horizontal="right" vertical="center"/>
    </xf>
    <xf numFmtId="4" fontId="33" fillId="22" borderId="10" xfId="0" applyNumberFormat="1" applyFont="1" applyFill="1" applyBorder="1" applyAlignment="1">
      <alignment horizontal="center" vertical="center"/>
    </xf>
    <xf numFmtId="4" fontId="35" fillId="0" borderId="10" xfId="0" applyNumberFormat="1" applyFont="1" applyBorder="1" applyAlignment="1">
      <alignment horizontal="right" vertical="center"/>
    </xf>
    <xf numFmtId="4" fontId="35" fillId="21" borderId="10" xfId="0" applyNumberFormat="1" applyFont="1" applyFill="1" applyBorder="1" applyAlignment="1">
      <alignment horizontal="right" vertical="center"/>
    </xf>
    <xf numFmtId="0" fontId="6" fillId="0" borderId="13" xfId="0" applyFont="1" applyBorder="1"/>
    <xf numFmtId="166" fontId="6" fillId="0" borderId="11" xfId="0" applyNumberFormat="1" applyFont="1" applyBorder="1"/>
    <xf numFmtId="4" fontId="36" fillId="20" borderId="10" xfId="0" applyNumberFormat="1" applyFont="1" applyFill="1" applyBorder="1" applyAlignment="1">
      <alignment horizontal="center" vertical="center"/>
    </xf>
    <xf numFmtId="0" fontId="7" fillId="22" borderId="10" xfId="0" applyFont="1" applyFill="1" applyBorder="1" applyAlignment="1">
      <alignment horizontal="left" vertical="center" wrapText="1"/>
    </xf>
    <xf numFmtId="0" fontId="10" fillId="20" borderId="10" xfId="0" applyFont="1" applyFill="1" applyBorder="1" applyAlignment="1">
      <alignment horizontal="left" vertical="top" wrapText="1"/>
    </xf>
    <xf numFmtId="0" fontId="7" fillId="22" borderId="10" xfId="0" applyFont="1" applyFill="1" applyBorder="1" applyAlignment="1">
      <alignment vertical="center" wrapText="1"/>
    </xf>
    <xf numFmtId="0" fontId="7" fillId="20" borderId="10" xfId="0" applyFont="1" applyFill="1" applyBorder="1" applyAlignment="1">
      <alignment horizontal="left" vertical="center" wrapText="1" indent="1"/>
    </xf>
    <xf numFmtId="0" fontId="7" fillId="22" borderId="10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horizontal="left" vertical="center" wrapText="1" indent="2"/>
    </xf>
    <xf numFmtId="0" fontId="7" fillId="22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3"/>
    </xf>
    <xf numFmtId="0" fontId="4" fillId="21" borderId="10" xfId="0" applyFont="1" applyFill="1" applyBorder="1" applyAlignment="1">
      <alignment horizontal="left" vertical="center" wrapText="1" indent="3"/>
    </xf>
    <xf numFmtId="0" fontId="7" fillId="22" borderId="10" xfId="0" applyFont="1" applyFill="1" applyBorder="1" applyAlignment="1">
      <alignment horizontal="left" vertical="center" wrapText="1" indent="3"/>
    </xf>
    <xf numFmtId="0" fontId="4" fillId="0" borderId="10" xfId="0" applyFont="1" applyFill="1" applyBorder="1" applyAlignment="1">
      <alignment horizontal="left" vertical="center" wrapText="1" indent="4"/>
    </xf>
    <xf numFmtId="0" fontId="4" fillId="0" borderId="10" xfId="0" applyFont="1" applyBorder="1" applyAlignment="1">
      <alignment horizontal="left" vertical="center" wrapText="1" indent="4"/>
    </xf>
    <xf numFmtId="0" fontId="7" fillId="0" borderId="10" xfId="0" applyFont="1" applyFill="1" applyBorder="1" applyAlignment="1">
      <alignment horizontal="right" vertical="center" wrapText="1"/>
    </xf>
    <xf numFmtId="0" fontId="32" fillId="0" borderId="0" xfId="0" applyFont="1" applyAlignment="1">
      <alignment vertical="center"/>
    </xf>
    <xf numFmtId="0" fontId="6" fillId="0" borderId="10" xfId="0" applyFont="1" applyFill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6" fillId="0" borderId="10" xfId="44" applyFont="1" applyFill="1" applyBorder="1" applyAlignment="1">
      <alignment horizontal="left" vertical="center" wrapText="1" indent="1"/>
    </xf>
    <xf numFmtId="4" fontId="34" fillId="22" borderId="17" xfId="0" applyNumberFormat="1" applyFont="1" applyFill="1" applyBorder="1" applyAlignment="1">
      <alignment horizontal="right" vertical="center" wrapText="1"/>
    </xf>
    <xf numFmtId="4" fontId="34" fillId="0" borderId="17" xfId="0" applyNumberFormat="1" applyFont="1" applyFill="1" applyBorder="1" applyAlignment="1">
      <alignment horizontal="right" vertical="center" wrapText="1"/>
    </xf>
    <xf numFmtId="0" fontId="7" fillId="22" borderId="10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right"/>
    </xf>
    <xf numFmtId="0" fontId="10" fillId="0" borderId="0" xfId="44" applyFont="1" applyFill="1" applyBorder="1" applyAlignment="1">
      <alignment horizontal="left" vertical="center"/>
    </xf>
    <xf numFmtId="4" fontId="33" fillId="22" borderId="0" xfId="0" applyNumberFormat="1" applyFont="1" applyFill="1" applyBorder="1" applyAlignment="1">
      <alignment horizontal="center" vertical="center"/>
    </xf>
    <xf numFmtId="0" fontId="40" fillId="0" borderId="0" xfId="0" applyFont="1"/>
    <xf numFmtId="0" fontId="39" fillId="0" borderId="10" xfId="45" applyFont="1" applyBorder="1" applyAlignment="1">
      <alignment horizontal="left" vertical="center" wrapText="1" indent="1"/>
    </xf>
    <xf numFmtId="0" fontId="7" fillId="20" borderId="10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3" fontId="30" fillId="0" borderId="10" xfId="0" applyNumberFormat="1" applyFont="1" applyBorder="1" applyAlignment="1">
      <alignment vertical="center" wrapText="1"/>
    </xf>
    <xf numFmtId="0" fontId="30" fillId="0" borderId="10" xfId="0" applyFont="1" applyBorder="1" applyAlignment="1">
      <alignment horizontal="right" vertical="center" wrapText="1"/>
    </xf>
    <xf numFmtId="167" fontId="30" fillId="0" borderId="10" xfId="0" applyNumberFormat="1" applyFont="1" applyBorder="1" applyAlignment="1">
      <alignment vertical="center" wrapText="1"/>
    </xf>
    <xf numFmtId="0" fontId="6" fillId="19" borderId="12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6" fillId="19" borderId="12" xfId="0" applyFont="1" applyFill="1" applyBorder="1" applyAlignment="1">
      <alignment horizontal="center" vertical="center" wrapText="1"/>
    </xf>
    <xf numFmtId="4" fontId="33" fillId="0" borderId="16" xfId="0" applyNumberFormat="1" applyFont="1" applyFill="1" applyBorder="1" applyAlignment="1">
      <alignment horizontal="right" vertical="center" wrapText="1"/>
    </xf>
    <xf numFmtId="0" fontId="4" fillId="19" borderId="10" xfId="0" applyFont="1" applyFill="1" applyBorder="1" applyAlignment="1">
      <alignment horizontal="center" vertical="center" wrapText="1"/>
    </xf>
    <xf numFmtId="166" fontId="6" fillId="0" borderId="12" xfId="0" applyNumberFormat="1" applyFont="1" applyBorder="1" applyAlignment="1">
      <alignment horizontal="center"/>
    </xf>
    <xf numFmtId="166" fontId="6" fillId="0" borderId="17" xfId="0" applyNumberFormat="1" applyFont="1" applyBorder="1" applyAlignment="1">
      <alignment horizontal="center"/>
    </xf>
    <xf numFmtId="0" fontId="6" fillId="19" borderId="14" xfId="0" applyFont="1" applyFill="1" applyBorder="1" applyAlignment="1">
      <alignment horizontal="center" vertical="center"/>
    </xf>
    <xf numFmtId="0" fontId="6" fillId="19" borderId="16" xfId="0" applyFont="1" applyFill="1" applyBorder="1" applyAlignment="1">
      <alignment horizontal="center" vertical="center"/>
    </xf>
    <xf numFmtId="0" fontId="6" fillId="19" borderId="19" xfId="0" applyFont="1" applyFill="1" applyBorder="1" applyAlignment="1">
      <alignment horizontal="center" vertical="center"/>
    </xf>
    <xf numFmtId="0" fontId="6" fillId="19" borderId="15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20" xfId="0" applyFont="1" applyFill="1" applyBorder="1" applyAlignment="1">
      <alignment horizontal="center" vertical="center"/>
    </xf>
    <xf numFmtId="0" fontId="6" fillId="19" borderId="21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23" xfId="0" applyFont="1" applyFill="1" applyBorder="1" applyAlignment="1">
      <alignment horizontal="center" vertical="center"/>
    </xf>
    <xf numFmtId="0" fontId="6" fillId="19" borderId="17" xfId="0" applyFont="1" applyFill="1" applyBorder="1" applyAlignment="1">
      <alignment horizontal="center" vertical="center"/>
    </xf>
    <xf numFmtId="0" fontId="6" fillId="19" borderId="17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/>
    </xf>
    <xf numFmtId="0" fontId="6" fillId="19" borderId="13" xfId="0" applyFont="1" applyFill="1" applyBorder="1" applyAlignment="1">
      <alignment horizontal="center" vertical="center" wrapText="1"/>
    </xf>
    <xf numFmtId="0" fontId="6" fillId="19" borderId="24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0" fontId="4" fillId="19" borderId="12" xfId="0" applyFont="1" applyFill="1" applyBorder="1" applyAlignment="1">
      <alignment horizontal="center" vertical="center"/>
    </xf>
    <xf numFmtId="0" fontId="4" fillId="19" borderId="18" xfId="0" applyFont="1" applyFill="1" applyBorder="1" applyAlignment="1">
      <alignment horizontal="center" vertical="center"/>
    </xf>
    <xf numFmtId="0" fontId="4" fillId="19" borderId="17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4" fillId="19" borderId="14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21" xfId="0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  <xf numFmtId="0" fontId="4" fillId="19" borderId="23" xfId="0" applyFont="1" applyFill="1" applyBorder="1" applyAlignment="1">
      <alignment horizontal="center" vertical="center"/>
    </xf>
    <xf numFmtId="0" fontId="7" fillId="22" borderId="10" xfId="0" applyFont="1" applyFill="1" applyBorder="1" applyAlignment="1">
      <alignment horizontal="left" vertical="center" wrapText="1"/>
    </xf>
    <xf numFmtId="0" fontId="37" fillId="0" borderId="10" xfId="0" applyFont="1" applyBorder="1" applyAlignment="1">
      <alignment horizontal="center" vertical="center" wrapText="1"/>
    </xf>
  </cellXfs>
  <cellStyles count="51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ziesiętny 2" xfId="28" xr:uid="{00000000-0005-0000-0000-00001B000000}"/>
    <cellStyle name="Dziesiętny 3" xfId="29" xr:uid="{00000000-0005-0000-0000-00001C000000}"/>
    <cellStyle name="Dziesiętny 3 2" xfId="30" xr:uid="{00000000-0005-0000-0000-00001D000000}"/>
    <cellStyle name="Dziesiętny 3 3" xfId="31" xr:uid="{00000000-0005-0000-0000-00001E000000}"/>
    <cellStyle name="Dziesiętny 3 4" xfId="32" xr:uid="{00000000-0005-0000-0000-00001F000000}"/>
    <cellStyle name="Dziesiętny 4" xfId="33" xr:uid="{00000000-0005-0000-0000-000020000000}"/>
    <cellStyle name="Dziesiętny 5" xfId="34" xr:uid="{00000000-0005-0000-0000-000021000000}"/>
    <cellStyle name="Explanatory Text" xfId="35" xr:uid="{00000000-0005-0000-0000-000022000000}"/>
    <cellStyle name="Good" xfId="36" xr:uid="{00000000-0005-0000-0000-000023000000}"/>
    <cellStyle name="Heading 1" xfId="37" xr:uid="{00000000-0005-0000-0000-000024000000}"/>
    <cellStyle name="Heading 2" xfId="38" xr:uid="{00000000-0005-0000-0000-000025000000}"/>
    <cellStyle name="Heading 3" xfId="39" xr:uid="{00000000-0005-0000-0000-000026000000}"/>
    <cellStyle name="Heading 4" xfId="40" xr:uid="{00000000-0005-0000-0000-000027000000}"/>
    <cellStyle name="Input" xfId="41" xr:uid="{00000000-0005-0000-0000-000028000000}"/>
    <cellStyle name="Linked Cell" xfId="42" xr:uid="{00000000-0005-0000-0000-000029000000}"/>
    <cellStyle name="Neutral" xfId="43" xr:uid="{00000000-0005-0000-0000-00002A000000}"/>
    <cellStyle name="Normalny" xfId="0" builtinId="0"/>
    <cellStyle name="Normalny 2" xfId="44" xr:uid="{00000000-0005-0000-0000-00002C000000}"/>
    <cellStyle name="Normalny 2 2" xfId="45" xr:uid="{00000000-0005-0000-0000-00002D000000}"/>
    <cellStyle name="Note" xfId="46" xr:uid="{00000000-0005-0000-0000-00002E000000}"/>
    <cellStyle name="Output" xfId="47" xr:uid="{00000000-0005-0000-0000-00002F000000}"/>
    <cellStyle name="Title" xfId="48" xr:uid="{00000000-0005-0000-0000-000030000000}"/>
    <cellStyle name="Total" xfId="49" xr:uid="{00000000-0005-0000-0000-000031000000}"/>
    <cellStyle name="Warning Text" xfId="50" xr:uid="{00000000-0005-0000-0000-00003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17"/>
  <sheetViews>
    <sheetView tabSelected="1" topLeftCell="B1" zoomScaleNormal="100" workbookViewId="0">
      <selection activeCell="B1" sqref="B1"/>
    </sheetView>
  </sheetViews>
  <sheetFormatPr defaultRowHeight="12.75" outlineLevelRow="1" outlineLevelCol="1" x14ac:dyDescent="0.2"/>
  <cols>
    <col min="1" max="1" width="5.7109375" style="1" hidden="1" customWidth="1"/>
    <col min="2" max="2" width="30.7109375" style="1" customWidth="1"/>
    <col min="3" max="3" width="14.7109375" style="1" customWidth="1"/>
    <col min="4" max="4" width="15.7109375" style="1" customWidth="1"/>
    <col min="5" max="5" width="14.7109375" style="1" customWidth="1" outlineLevel="1"/>
    <col min="6" max="6" width="15.7109375" style="1" customWidth="1" outlineLevel="1"/>
    <col min="7" max="9" width="14.7109375" style="1" customWidth="1" outlineLevel="1"/>
    <col min="10" max="10" width="7.7109375" style="1" bestFit="1" customWidth="1"/>
    <col min="11" max="11" width="7.5703125" style="1" bestFit="1" customWidth="1"/>
    <col min="12" max="12" width="8.42578125" style="1" bestFit="1" customWidth="1"/>
    <col min="13" max="13" width="9.85546875" style="1" customWidth="1"/>
    <col min="14" max="16384" width="9.140625" style="1"/>
  </cols>
  <sheetData>
    <row r="1" spans="2:13" ht="20.100000000000001" customHeight="1" x14ac:dyDescent="0.2">
      <c r="B1" s="116" t="str">
        <f>CONCATENATE("Informacja z wykonania budżetów powiatów za ",$D$114," ",$C$115," rok     ",$C$117,"")</f>
        <v xml:space="preserve">Informacja z wykonania budżetów powiatów za II Kwartały 2025 rok     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2:13" ht="57.75" customHeight="1" x14ac:dyDescent="0.2">
      <c r="B2" s="155" t="s">
        <v>0</v>
      </c>
      <c r="C2" s="14" t="s">
        <v>24</v>
      </c>
      <c r="D2" s="14" t="s">
        <v>25</v>
      </c>
      <c r="E2" s="14" t="s">
        <v>79</v>
      </c>
      <c r="F2" s="14" t="s">
        <v>80</v>
      </c>
      <c r="G2" s="14" t="s">
        <v>81</v>
      </c>
      <c r="H2" s="14" t="s">
        <v>82</v>
      </c>
      <c r="I2" s="14" t="s">
        <v>83</v>
      </c>
      <c r="J2" s="16" t="s">
        <v>2</v>
      </c>
      <c r="K2" s="14" t="s">
        <v>18</v>
      </c>
      <c r="L2" s="14" t="s">
        <v>3</v>
      </c>
    </row>
    <row r="3" spans="2:13" x14ac:dyDescent="0.2">
      <c r="B3" s="155"/>
      <c r="C3" s="159" t="s">
        <v>52</v>
      </c>
      <c r="D3" s="161"/>
      <c r="E3" s="163" t="s">
        <v>78</v>
      </c>
      <c r="F3" s="164"/>
      <c r="G3" s="164"/>
      <c r="H3" s="164"/>
      <c r="I3" s="165"/>
      <c r="J3" s="159" t="s">
        <v>4</v>
      </c>
      <c r="K3" s="160"/>
      <c r="L3" s="161"/>
    </row>
    <row r="4" spans="2:13" ht="9" customHeight="1" x14ac:dyDescent="0.2">
      <c r="B4" s="16">
        <v>1</v>
      </c>
      <c r="C4" s="18">
        <v>2</v>
      </c>
      <c r="D4" s="18">
        <v>3</v>
      </c>
      <c r="E4" s="166"/>
      <c r="F4" s="167"/>
      <c r="G4" s="167"/>
      <c r="H4" s="167"/>
      <c r="I4" s="168"/>
      <c r="J4" s="18">
        <v>4</v>
      </c>
      <c r="K4" s="18">
        <v>5</v>
      </c>
      <c r="L4" s="18">
        <v>6</v>
      </c>
    </row>
    <row r="5" spans="2:13" ht="12.95" customHeight="1" x14ac:dyDescent="0.2">
      <c r="B5" s="105" t="s">
        <v>5</v>
      </c>
      <c r="C5" s="54">
        <f>59201956028.93</f>
        <v>59201956028.93</v>
      </c>
      <c r="D5" s="54">
        <f>31934825746.12</f>
        <v>31934825746.119999</v>
      </c>
      <c r="E5" s="97" t="s">
        <v>78</v>
      </c>
      <c r="F5" s="97" t="s">
        <v>78</v>
      </c>
      <c r="G5" s="97" t="s">
        <v>78</v>
      </c>
      <c r="H5" s="97" t="s">
        <v>78</v>
      </c>
      <c r="I5" s="97" t="s">
        <v>78</v>
      </c>
      <c r="J5" s="55">
        <f t="shared" ref="J5:J38" si="0">IF($D$5=0,"",100*$D5/$D$5)</f>
        <v>100</v>
      </c>
      <c r="K5" s="55">
        <f t="shared" ref="K5:K41" si="1">IF(C5=0,"",100*D5/C5)</f>
        <v>53.942180103837323</v>
      </c>
      <c r="L5" s="55"/>
    </row>
    <row r="6" spans="2:13" ht="26.85" customHeight="1" x14ac:dyDescent="0.2">
      <c r="B6" s="106" t="s">
        <v>35</v>
      </c>
      <c r="C6" s="30">
        <f>C5-C11-C35</f>
        <v>34024733580.279999</v>
      </c>
      <c r="D6" s="30">
        <f>D5-D11-D35</f>
        <v>19522325686.669998</v>
      </c>
      <c r="E6" s="97" t="s">
        <v>78</v>
      </c>
      <c r="F6" s="97" t="s">
        <v>78</v>
      </c>
      <c r="G6" s="97" t="s">
        <v>78</v>
      </c>
      <c r="H6" s="97" t="s">
        <v>78</v>
      </c>
      <c r="I6" s="97" t="s">
        <v>78</v>
      </c>
      <c r="J6" s="31">
        <f t="shared" si="0"/>
        <v>61.131774576981719</v>
      </c>
      <c r="K6" s="31">
        <f t="shared" si="1"/>
        <v>57.376865686862324</v>
      </c>
      <c r="L6" s="31">
        <f>IF($D$6=0,"",100*$D6/$D$6)</f>
        <v>100</v>
      </c>
    </row>
    <row r="7" spans="2:13" ht="22.5" outlineLevel="1" x14ac:dyDescent="0.2">
      <c r="B7" s="108" t="s">
        <v>96</v>
      </c>
      <c r="C7" s="32">
        <f>21454258164</f>
        <v>21454258164</v>
      </c>
      <c r="D7" s="32">
        <f>13207091888</f>
        <v>13207091888</v>
      </c>
      <c r="E7" s="97" t="s">
        <v>78</v>
      </c>
      <c r="F7" s="97" t="s">
        <v>78</v>
      </c>
      <c r="G7" s="97" t="s">
        <v>78</v>
      </c>
      <c r="H7" s="97" t="s">
        <v>78</v>
      </c>
      <c r="I7" s="97" t="s">
        <v>78</v>
      </c>
      <c r="J7" s="33">
        <f t="shared" si="0"/>
        <v>41.356392525813696</v>
      </c>
      <c r="K7" s="33">
        <f t="shared" si="1"/>
        <v>61.559303458748104</v>
      </c>
      <c r="L7" s="33">
        <f>IF($D$6=0,"",100*$D7/$D$6)</f>
        <v>67.651221990512681</v>
      </c>
    </row>
    <row r="8" spans="2:13" ht="22.5" outlineLevel="1" x14ac:dyDescent="0.2">
      <c r="B8" s="108" t="s">
        <v>97</v>
      </c>
      <c r="C8" s="32">
        <f>3463770103.79</f>
        <v>3463770103.79</v>
      </c>
      <c r="D8" s="32">
        <f>1731987149</f>
        <v>1731987149</v>
      </c>
      <c r="E8" s="97" t="s">
        <v>78</v>
      </c>
      <c r="F8" s="97" t="s">
        <v>78</v>
      </c>
      <c r="G8" s="97" t="s">
        <v>78</v>
      </c>
      <c r="H8" s="97" t="s">
        <v>78</v>
      </c>
      <c r="I8" s="97" t="s">
        <v>78</v>
      </c>
      <c r="J8" s="33">
        <f t="shared" si="0"/>
        <v>5.4235058702658874</v>
      </c>
      <c r="K8" s="33">
        <f t="shared" si="1"/>
        <v>50.002947571632667</v>
      </c>
      <c r="L8" s="33">
        <f>IF($D$6=0,"",100*$D8/$D$6)</f>
        <v>8.871827961473949</v>
      </c>
    </row>
    <row r="9" spans="2:13" ht="12.95" customHeight="1" outlineLevel="1" x14ac:dyDescent="0.2">
      <c r="B9" s="108" t="s">
        <v>19</v>
      </c>
      <c r="C9" s="32">
        <f>431863896.65</f>
        <v>431863896.64999998</v>
      </c>
      <c r="D9" s="56">
        <f>168795941.44</f>
        <v>168795941.44</v>
      </c>
      <c r="E9" s="97" t="s">
        <v>78</v>
      </c>
      <c r="F9" s="97" t="s">
        <v>78</v>
      </c>
      <c r="G9" s="97" t="s">
        <v>78</v>
      </c>
      <c r="H9" s="97" t="s">
        <v>78</v>
      </c>
      <c r="I9" s="97" t="s">
        <v>78</v>
      </c>
      <c r="J9" s="33">
        <f t="shared" si="0"/>
        <v>0.52856384056051497</v>
      </c>
      <c r="K9" s="33">
        <f t="shared" si="1"/>
        <v>39.085448621513059</v>
      </c>
      <c r="L9" s="33">
        <f>IF($D$6=0,"",100*$D9/$D$6)</f>
        <v>0.86463029123243873</v>
      </c>
    </row>
    <row r="10" spans="2:13" ht="12.95" customHeight="1" outlineLevel="1" x14ac:dyDescent="0.2">
      <c r="B10" s="108" t="s">
        <v>20</v>
      </c>
      <c r="C10" s="32">
        <f>C6-C8-C7-C9</f>
        <v>8674841415.8399982</v>
      </c>
      <c r="D10" s="32">
        <f>D6-D8-D7-D9</f>
        <v>4414450708.2299986</v>
      </c>
      <c r="E10" s="97" t="s">
        <v>78</v>
      </c>
      <c r="F10" s="97" t="s">
        <v>78</v>
      </c>
      <c r="G10" s="97" t="s">
        <v>78</v>
      </c>
      <c r="H10" s="97" t="s">
        <v>78</v>
      </c>
      <c r="I10" s="97" t="s">
        <v>78</v>
      </c>
      <c r="J10" s="33">
        <f t="shared" si="0"/>
        <v>13.823312340341621</v>
      </c>
      <c r="K10" s="33">
        <f t="shared" si="1"/>
        <v>50.887970126685488</v>
      </c>
      <c r="L10" s="33">
        <f>IF($D$6=0,"",100*$D10/$D$6)</f>
        <v>22.612319756780931</v>
      </c>
    </row>
    <row r="11" spans="2:13" ht="26.85" customHeight="1" x14ac:dyDescent="0.2">
      <c r="B11" s="107" t="s">
        <v>84</v>
      </c>
      <c r="C11" s="54">
        <f>C12+C31+C33</f>
        <v>14432686212.83</v>
      </c>
      <c r="D11" s="54">
        <f>D12+D31+D33</f>
        <v>5903851616.9300003</v>
      </c>
      <c r="E11" s="97" t="s">
        <v>78</v>
      </c>
      <c r="F11" s="97" t="s">
        <v>78</v>
      </c>
      <c r="G11" s="97" t="s">
        <v>78</v>
      </c>
      <c r="H11" s="97" t="s">
        <v>78</v>
      </c>
      <c r="I11" s="97" t="s">
        <v>78</v>
      </c>
      <c r="J11" s="55">
        <f t="shared" si="0"/>
        <v>18.487189076481194</v>
      </c>
      <c r="K11" s="55">
        <f t="shared" si="1"/>
        <v>40.906117751536407</v>
      </c>
      <c r="L11" s="57"/>
    </row>
    <row r="12" spans="2:13" ht="26.85" customHeight="1" outlineLevel="1" x14ac:dyDescent="0.2">
      <c r="B12" s="109" t="s">
        <v>36</v>
      </c>
      <c r="C12" s="54">
        <f>C13+C15+C17+C19+C21+C23+C25+C27+C29</f>
        <v>11759804350.450001</v>
      </c>
      <c r="D12" s="54">
        <f>D13+D15+D17+D19+D21+D23+D25+D27+D29</f>
        <v>5176405485.9000006</v>
      </c>
      <c r="E12" s="97" t="s">
        <v>78</v>
      </c>
      <c r="F12" s="97" t="s">
        <v>78</v>
      </c>
      <c r="G12" s="97" t="s">
        <v>78</v>
      </c>
      <c r="H12" s="97" t="s">
        <v>78</v>
      </c>
      <c r="I12" s="97" t="s">
        <v>78</v>
      </c>
      <c r="J12" s="55">
        <f t="shared" si="0"/>
        <v>16.209280511038706</v>
      </c>
      <c r="K12" s="55">
        <f t="shared" si="1"/>
        <v>44.017785769555935</v>
      </c>
      <c r="L12" s="36"/>
    </row>
    <row r="13" spans="2:13" ht="22.5" outlineLevel="1" x14ac:dyDescent="0.2">
      <c r="B13" s="110" t="s">
        <v>9</v>
      </c>
      <c r="C13" s="32">
        <f>3969754729.53</f>
        <v>3969754729.5300002</v>
      </c>
      <c r="D13" s="32">
        <f>2293095177.49</f>
        <v>2293095177.4899998</v>
      </c>
      <c r="E13" s="97" t="s">
        <v>78</v>
      </c>
      <c r="F13" s="97" t="s">
        <v>78</v>
      </c>
      <c r="G13" s="97" t="s">
        <v>78</v>
      </c>
      <c r="H13" s="97" t="s">
        <v>78</v>
      </c>
      <c r="I13" s="97" t="s">
        <v>78</v>
      </c>
      <c r="J13" s="33">
        <f t="shared" si="0"/>
        <v>7.1805470169775543</v>
      </c>
      <c r="K13" s="33">
        <f t="shared" si="1"/>
        <v>57.764152541522158</v>
      </c>
      <c r="L13" s="36"/>
    </row>
    <row r="14" spans="2:13" ht="12.95" customHeight="1" outlineLevel="1" x14ac:dyDescent="0.2">
      <c r="B14" s="113" t="s">
        <v>6</v>
      </c>
      <c r="C14" s="32">
        <f>184714297.08</f>
        <v>184714297.08000001</v>
      </c>
      <c r="D14" s="32">
        <f>58580284.19</f>
        <v>58580284.189999998</v>
      </c>
      <c r="E14" s="97" t="s">
        <v>78</v>
      </c>
      <c r="F14" s="97" t="s">
        <v>78</v>
      </c>
      <c r="G14" s="97" t="s">
        <v>78</v>
      </c>
      <c r="H14" s="97" t="s">
        <v>78</v>
      </c>
      <c r="I14" s="97" t="s">
        <v>78</v>
      </c>
      <c r="J14" s="33">
        <f t="shared" si="0"/>
        <v>0.183436993380549</v>
      </c>
      <c r="K14" s="33">
        <f t="shared" si="1"/>
        <v>31.713995676592809</v>
      </c>
      <c r="L14" s="36"/>
    </row>
    <row r="15" spans="2:13" ht="12.95" customHeight="1" outlineLevel="1" x14ac:dyDescent="0.2">
      <c r="B15" s="110" t="s">
        <v>7</v>
      </c>
      <c r="C15" s="32">
        <f>1885139481.36</f>
        <v>1885139481.3599999</v>
      </c>
      <c r="D15" s="32">
        <f>779969505.44</f>
        <v>779969505.44000006</v>
      </c>
      <c r="E15" s="97" t="s">
        <v>78</v>
      </c>
      <c r="F15" s="97" t="s">
        <v>78</v>
      </c>
      <c r="G15" s="97" t="s">
        <v>78</v>
      </c>
      <c r="H15" s="97" t="s">
        <v>78</v>
      </c>
      <c r="I15" s="97" t="s">
        <v>78</v>
      </c>
      <c r="J15" s="33">
        <f t="shared" si="0"/>
        <v>2.4423790868336406</v>
      </c>
      <c r="K15" s="33">
        <f t="shared" si="1"/>
        <v>41.374631063230666</v>
      </c>
      <c r="L15" s="36"/>
    </row>
    <row r="16" spans="2:13" ht="12.95" customHeight="1" outlineLevel="1" x14ac:dyDescent="0.2">
      <c r="B16" s="113" t="s">
        <v>6</v>
      </c>
      <c r="C16" s="32">
        <f>305504281.7</f>
        <v>305504281.69999999</v>
      </c>
      <c r="D16" s="32">
        <f>53518443.32</f>
        <v>53518443.32</v>
      </c>
      <c r="E16" s="97" t="s">
        <v>78</v>
      </c>
      <c r="F16" s="97" t="s">
        <v>78</v>
      </c>
      <c r="G16" s="97" t="s">
        <v>78</v>
      </c>
      <c r="H16" s="97" t="s">
        <v>78</v>
      </c>
      <c r="I16" s="97" t="s">
        <v>78</v>
      </c>
      <c r="J16" s="33">
        <f t="shared" si="0"/>
        <v>0.16758645794866239</v>
      </c>
      <c r="K16" s="33">
        <f t="shared" si="1"/>
        <v>17.518066529933023</v>
      </c>
      <c r="L16" s="36"/>
    </row>
    <row r="17" spans="2:12" ht="33.75" outlineLevel="1" x14ac:dyDescent="0.2">
      <c r="B17" s="110" t="s">
        <v>10</v>
      </c>
      <c r="C17" s="32">
        <f>96771526.68</f>
        <v>96771526.680000007</v>
      </c>
      <c r="D17" s="32">
        <f>85506764.39</f>
        <v>85506764.390000001</v>
      </c>
      <c r="E17" s="97" t="s">
        <v>78</v>
      </c>
      <c r="F17" s="97" t="s">
        <v>78</v>
      </c>
      <c r="G17" s="97" t="s">
        <v>78</v>
      </c>
      <c r="H17" s="97" t="s">
        <v>78</v>
      </c>
      <c r="I17" s="97" t="s">
        <v>78</v>
      </c>
      <c r="J17" s="33">
        <f t="shared" si="0"/>
        <v>0.26775397201091305</v>
      </c>
      <c r="K17" s="33">
        <f t="shared" si="1"/>
        <v>88.359424846887194</v>
      </c>
      <c r="L17" s="36"/>
    </row>
    <row r="18" spans="2:12" ht="12.95" customHeight="1" outlineLevel="1" x14ac:dyDescent="0.2">
      <c r="B18" s="113" t="s">
        <v>6</v>
      </c>
      <c r="C18" s="32">
        <f>5077370</f>
        <v>5077370</v>
      </c>
      <c r="D18" s="32">
        <f>0</f>
        <v>0</v>
      </c>
      <c r="E18" s="97" t="s">
        <v>78</v>
      </c>
      <c r="F18" s="97" t="s">
        <v>78</v>
      </c>
      <c r="G18" s="97" t="s">
        <v>78</v>
      </c>
      <c r="H18" s="97" t="s">
        <v>78</v>
      </c>
      <c r="I18" s="97" t="s">
        <v>78</v>
      </c>
      <c r="J18" s="33">
        <f t="shared" si="0"/>
        <v>0</v>
      </c>
      <c r="K18" s="33">
        <f t="shared" si="1"/>
        <v>0</v>
      </c>
      <c r="L18" s="36"/>
    </row>
    <row r="19" spans="2:12" ht="25.5" customHeight="1" outlineLevel="1" x14ac:dyDescent="0.2">
      <c r="B19" s="110" t="s">
        <v>11</v>
      </c>
      <c r="C19" s="32">
        <f>535005002.72</f>
        <v>535005002.72000003</v>
      </c>
      <c r="D19" s="32">
        <f>226188751.21</f>
        <v>226188751.21000001</v>
      </c>
      <c r="E19" s="97" t="s">
        <v>78</v>
      </c>
      <c r="F19" s="97" t="s">
        <v>78</v>
      </c>
      <c r="G19" s="97" t="s">
        <v>78</v>
      </c>
      <c r="H19" s="97" t="s">
        <v>78</v>
      </c>
      <c r="I19" s="97" t="s">
        <v>78</v>
      </c>
      <c r="J19" s="33">
        <f t="shared" si="0"/>
        <v>0.70828240306738288</v>
      </c>
      <c r="K19" s="33">
        <f t="shared" si="1"/>
        <v>42.277875918924451</v>
      </c>
      <c r="L19" s="36"/>
    </row>
    <row r="20" spans="2:12" ht="12.95" customHeight="1" outlineLevel="1" x14ac:dyDescent="0.2">
      <c r="B20" s="113" t="s">
        <v>6</v>
      </c>
      <c r="C20" s="32">
        <f>110234050.91</f>
        <v>110234050.91</v>
      </c>
      <c r="D20" s="32">
        <f>16936988.63</f>
        <v>16936988.629999999</v>
      </c>
      <c r="E20" s="97" t="s">
        <v>78</v>
      </c>
      <c r="F20" s="97" t="s">
        <v>78</v>
      </c>
      <c r="G20" s="97" t="s">
        <v>78</v>
      </c>
      <c r="H20" s="97" t="s">
        <v>78</v>
      </c>
      <c r="I20" s="97" t="s">
        <v>78</v>
      </c>
      <c r="J20" s="33">
        <f t="shared" si="0"/>
        <v>5.3036107867467548E-2</v>
      </c>
      <c r="K20" s="33">
        <f t="shared" si="1"/>
        <v>15.364570647801118</v>
      </c>
      <c r="L20" s="36"/>
    </row>
    <row r="21" spans="2:12" ht="35.25" customHeight="1" outlineLevel="1" x14ac:dyDescent="0.2">
      <c r="B21" s="110" t="s">
        <v>53</v>
      </c>
      <c r="C21" s="32">
        <f>1077025441.33</f>
        <v>1077025441.3299999</v>
      </c>
      <c r="D21" s="32">
        <f>311055028.55</f>
        <v>311055028.55000001</v>
      </c>
      <c r="E21" s="97" t="s">
        <v>78</v>
      </c>
      <c r="F21" s="97" t="s">
        <v>78</v>
      </c>
      <c r="G21" s="97" t="s">
        <v>78</v>
      </c>
      <c r="H21" s="97" t="s">
        <v>78</v>
      </c>
      <c r="I21" s="97" t="s">
        <v>78</v>
      </c>
      <c r="J21" s="33">
        <f t="shared" si="0"/>
        <v>0.97403076823674983</v>
      </c>
      <c r="K21" s="33">
        <f t="shared" si="1"/>
        <v>28.880936012605567</v>
      </c>
      <c r="L21" s="36"/>
    </row>
    <row r="22" spans="2:12" ht="12.95" customHeight="1" outlineLevel="1" x14ac:dyDescent="0.2">
      <c r="B22" s="113" t="s">
        <v>6</v>
      </c>
      <c r="C22" s="32">
        <f>860683788.74</f>
        <v>860683788.74000001</v>
      </c>
      <c r="D22" s="32">
        <f>209040476.93</f>
        <v>209040476.93000001</v>
      </c>
      <c r="E22" s="97" t="s">
        <v>78</v>
      </c>
      <c r="F22" s="97" t="s">
        <v>78</v>
      </c>
      <c r="G22" s="97" t="s">
        <v>78</v>
      </c>
      <c r="H22" s="97" t="s">
        <v>78</v>
      </c>
      <c r="I22" s="97" t="s">
        <v>78</v>
      </c>
      <c r="J22" s="33">
        <f t="shared" si="0"/>
        <v>0.65458468003508019</v>
      </c>
      <c r="K22" s="33">
        <f t="shared" si="1"/>
        <v>24.28772095684819</v>
      </c>
      <c r="L22" s="36"/>
    </row>
    <row r="23" spans="2:12" ht="12.95" customHeight="1" outlineLevel="1" x14ac:dyDescent="0.2">
      <c r="B23" s="110" t="s">
        <v>8</v>
      </c>
      <c r="C23" s="32">
        <f>92347359.57</f>
        <v>92347359.569999993</v>
      </c>
      <c r="D23" s="32">
        <f>24265819.8</f>
        <v>24265819.800000001</v>
      </c>
      <c r="E23" s="97" t="s">
        <v>78</v>
      </c>
      <c r="F23" s="97" t="s">
        <v>78</v>
      </c>
      <c r="G23" s="97" t="s">
        <v>78</v>
      </c>
      <c r="H23" s="97" t="s">
        <v>78</v>
      </c>
      <c r="I23" s="97" t="s">
        <v>78</v>
      </c>
      <c r="J23" s="33">
        <f t="shared" si="0"/>
        <v>7.5985446086074965E-2</v>
      </c>
      <c r="K23" s="33">
        <f t="shared" si="1"/>
        <v>26.276679607288962</v>
      </c>
      <c r="L23" s="36"/>
    </row>
    <row r="24" spans="2:12" ht="12.95" customHeight="1" outlineLevel="1" x14ac:dyDescent="0.2">
      <c r="B24" s="113" t="s">
        <v>6</v>
      </c>
      <c r="C24" s="32">
        <f>73078222.51</f>
        <v>73078222.510000005</v>
      </c>
      <c r="D24" s="32">
        <f>14596998.66</f>
        <v>14596998.66</v>
      </c>
      <c r="E24" s="97" t="s">
        <v>78</v>
      </c>
      <c r="F24" s="97" t="s">
        <v>78</v>
      </c>
      <c r="G24" s="97" t="s">
        <v>78</v>
      </c>
      <c r="H24" s="97" t="s">
        <v>78</v>
      </c>
      <c r="I24" s="97" t="s">
        <v>78</v>
      </c>
      <c r="J24" s="33">
        <f t="shared" si="0"/>
        <v>4.5708715544732534E-2</v>
      </c>
      <c r="K24" s="33">
        <f t="shared" si="1"/>
        <v>19.974485090962016</v>
      </c>
      <c r="L24" s="36"/>
    </row>
    <row r="25" spans="2:12" ht="67.5" outlineLevel="1" x14ac:dyDescent="0.2">
      <c r="B25" s="110" t="s">
        <v>69</v>
      </c>
      <c r="C25" s="32">
        <f>2656200</f>
        <v>2656200</v>
      </c>
      <c r="D25" s="32">
        <f>25000</f>
        <v>25000</v>
      </c>
      <c r="E25" s="97" t="s">
        <v>78</v>
      </c>
      <c r="F25" s="97" t="s">
        <v>78</v>
      </c>
      <c r="G25" s="97" t="s">
        <v>78</v>
      </c>
      <c r="H25" s="97" t="s">
        <v>78</v>
      </c>
      <c r="I25" s="97" t="s">
        <v>78</v>
      </c>
      <c r="J25" s="33">
        <f t="shared" si="0"/>
        <v>7.8284441564668427E-5</v>
      </c>
      <c r="K25" s="33">
        <f t="shared" si="1"/>
        <v>0.94119418718469994</v>
      </c>
      <c r="L25" s="36"/>
    </row>
    <row r="26" spans="2:12" ht="12.95" customHeight="1" outlineLevel="1" x14ac:dyDescent="0.2">
      <c r="B26" s="113" t="s">
        <v>70</v>
      </c>
      <c r="C26" s="32">
        <f>2606200</f>
        <v>2606200</v>
      </c>
      <c r="D26" s="32">
        <f>25000</f>
        <v>25000</v>
      </c>
      <c r="E26" s="97" t="s">
        <v>78</v>
      </c>
      <c r="F26" s="97" t="s">
        <v>78</v>
      </c>
      <c r="G26" s="97" t="s">
        <v>78</v>
      </c>
      <c r="H26" s="97" t="s">
        <v>78</v>
      </c>
      <c r="I26" s="97" t="s">
        <v>78</v>
      </c>
      <c r="J26" s="33">
        <f t="shared" si="0"/>
        <v>7.8284441564668427E-5</v>
      </c>
      <c r="K26" s="33">
        <f t="shared" si="1"/>
        <v>0.95925101680607783</v>
      </c>
      <c r="L26" s="36"/>
    </row>
    <row r="27" spans="2:12" ht="45" outlineLevel="1" x14ac:dyDescent="0.2">
      <c r="B27" s="111" t="s">
        <v>68</v>
      </c>
      <c r="C27" s="69">
        <f>3717818524.71</f>
        <v>3717818524.71</v>
      </c>
      <c r="D27" s="69">
        <f>1122873009.14</f>
        <v>1122873009.1400001</v>
      </c>
      <c r="E27" s="97" t="s">
        <v>78</v>
      </c>
      <c r="F27" s="97" t="s">
        <v>78</v>
      </c>
      <c r="G27" s="97" t="s">
        <v>78</v>
      </c>
      <c r="H27" s="97" t="s">
        <v>78</v>
      </c>
      <c r="I27" s="97" t="s">
        <v>78</v>
      </c>
      <c r="J27" s="70">
        <f t="shared" si="0"/>
        <v>3.5161394587425496</v>
      </c>
      <c r="K27" s="70">
        <f t="shared" si="1"/>
        <v>30.202469584703231</v>
      </c>
      <c r="L27" s="36"/>
    </row>
    <row r="28" spans="2:12" ht="12.95" customHeight="1" outlineLevel="1" x14ac:dyDescent="0.2">
      <c r="B28" s="113" t="s">
        <v>6</v>
      </c>
      <c r="C28" s="32">
        <f>3717544227</f>
        <v>3717544227</v>
      </c>
      <c r="D28" s="32">
        <f>1122873009.14</f>
        <v>1122873009.1400001</v>
      </c>
      <c r="E28" s="97" t="s">
        <v>78</v>
      </c>
      <c r="F28" s="97" t="s">
        <v>78</v>
      </c>
      <c r="G28" s="97" t="s">
        <v>78</v>
      </c>
      <c r="H28" s="97" t="s">
        <v>78</v>
      </c>
      <c r="I28" s="97" t="s">
        <v>78</v>
      </c>
      <c r="J28" s="33">
        <f t="shared" si="0"/>
        <v>3.5161394587425496</v>
      </c>
      <c r="K28" s="33">
        <f t="shared" si="1"/>
        <v>30.204698063434773</v>
      </c>
      <c r="L28" s="36"/>
    </row>
    <row r="29" spans="2:12" ht="22.5" outlineLevel="1" x14ac:dyDescent="0.2">
      <c r="B29" s="111" t="s">
        <v>86</v>
      </c>
      <c r="C29" s="32">
        <f>383286084.55</f>
        <v>383286084.55000001</v>
      </c>
      <c r="D29" s="32">
        <f>333426429.88</f>
        <v>333426429.88</v>
      </c>
      <c r="E29" s="97" t="s">
        <v>78</v>
      </c>
      <c r="F29" s="97" t="s">
        <v>78</v>
      </c>
      <c r="G29" s="97" t="s">
        <v>78</v>
      </c>
      <c r="H29" s="97" t="s">
        <v>78</v>
      </c>
      <c r="I29" s="97" t="s">
        <v>78</v>
      </c>
      <c r="J29" s="33">
        <f t="shared" si="0"/>
        <v>1.044084074642275</v>
      </c>
      <c r="K29" s="33">
        <f t="shared" si="1"/>
        <v>86.991530170332652</v>
      </c>
      <c r="L29" s="36"/>
    </row>
    <row r="30" spans="2:12" ht="12.95" customHeight="1" outlineLevel="1" x14ac:dyDescent="0.2">
      <c r="B30" s="113" t="s">
        <v>6</v>
      </c>
      <c r="C30" s="32">
        <f>0</f>
        <v>0</v>
      </c>
      <c r="D30" s="32">
        <f>0</f>
        <v>0</v>
      </c>
      <c r="E30" s="97" t="s">
        <v>78</v>
      </c>
      <c r="F30" s="97" t="s">
        <v>78</v>
      </c>
      <c r="G30" s="97" t="s">
        <v>78</v>
      </c>
      <c r="H30" s="97" t="s">
        <v>78</v>
      </c>
      <c r="I30" s="97" t="s">
        <v>78</v>
      </c>
      <c r="J30" s="33">
        <f t="shared" si="0"/>
        <v>0</v>
      </c>
      <c r="K30" s="33" t="str">
        <f t="shared" si="1"/>
        <v/>
      </c>
      <c r="L30" s="36"/>
    </row>
    <row r="31" spans="2:12" ht="12.95" customHeight="1" outlineLevel="1" x14ac:dyDescent="0.2">
      <c r="B31" s="112" t="s">
        <v>60</v>
      </c>
      <c r="C31" s="30">
        <f>144735506.63</f>
        <v>144735506.63</v>
      </c>
      <c r="D31" s="30">
        <f>38102140.51</f>
        <v>38102140.509999998</v>
      </c>
      <c r="E31" s="97" t="s">
        <v>78</v>
      </c>
      <c r="F31" s="97" t="s">
        <v>78</v>
      </c>
      <c r="G31" s="97" t="s">
        <v>78</v>
      </c>
      <c r="H31" s="97" t="s">
        <v>78</v>
      </c>
      <c r="I31" s="97" t="s">
        <v>78</v>
      </c>
      <c r="J31" s="34">
        <f t="shared" si="0"/>
        <v>0.11931219168975524</v>
      </c>
      <c r="K31" s="34">
        <f t="shared" si="1"/>
        <v>26.325358163428291</v>
      </c>
      <c r="L31" s="21"/>
    </row>
    <row r="32" spans="2:12" ht="12.95" customHeight="1" outlineLevel="1" x14ac:dyDescent="0.2">
      <c r="B32" s="114" t="s">
        <v>46</v>
      </c>
      <c r="C32" s="35">
        <f>69552233.27</f>
        <v>69552233.269999996</v>
      </c>
      <c r="D32" s="35">
        <f>8783866.02</f>
        <v>8783866.0199999996</v>
      </c>
      <c r="E32" s="97" t="s">
        <v>78</v>
      </c>
      <c r="F32" s="97" t="s">
        <v>78</v>
      </c>
      <c r="G32" s="97" t="s">
        <v>78</v>
      </c>
      <c r="H32" s="97" t="s">
        <v>78</v>
      </c>
      <c r="I32" s="97" t="s">
        <v>78</v>
      </c>
      <c r="J32" s="33">
        <f t="shared" si="0"/>
        <v>2.7505601846182667E-2</v>
      </c>
      <c r="K32" s="33">
        <f t="shared" si="1"/>
        <v>12.629164596198164</v>
      </c>
      <c r="L32" s="21"/>
    </row>
    <row r="33" spans="1:26" ht="12.95" customHeight="1" outlineLevel="1" x14ac:dyDescent="0.2">
      <c r="B33" s="112" t="s">
        <v>61</v>
      </c>
      <c r="C33" s="58">
        <f>2528146355.75</f>
        <v>2528146355.75</v>
      </c>
      <c r="D33" s="58">
        <f>689343990.52</f>
        <v>689343990.51999998</v>
      </c>
      <c r="E33" s="97" t="s">
        <v>78</v>
      </c>
      <c r="F33" s="97" t="s">
        <v>78</v>
      </c>
      <c r="G33" s="97" t="s">
        <v>78</v>
      </c>
      <c r="H33" s="97" t="s">
        <v>78</v>
      </c>
      <c r="I33" s="97" t="s">
        <v>78</v>
      </c>
      <c r="J33" s="59">
        <f t="shared" si="0"/>
        <v>2.1585963737527316</v>
      </c>
      <c r="K33" s="59">
        <f t="shared" si="1"/>
        <v>27.266775475721982</v>
      </c>
      <c r="L33" s="21"/>
    </row>
    <row r="34" spans="1:26" ht="12.95" customHeight="1" outlineLevel="1" x14ac:dyDescent="0.2">
      <c r="B34" s="114" t="s">
        <v>58</v>
      </c>
      <c r="C34" s="35">
        <f>1759093830.69</f>
        <v>1759093830.6900001</v>
      </c>
      <c r="D34" s="35">
        <f>391868676.15</f>
        <v>391868676.14999998</v>
      </c>
      <c r="E34" s="97" t="s">
        <v>78</v>
      </c>
      <c r="F34" s="97" t="s">
        <v>78</v>
      </c>
      <c r="G34" s="97" t="s">
        <v>78</v>
      </c>
      <c r="H34" s="97" t="s">
        <v>78</v>
      </c>
      <c r="I34" s="97" t="s">
        <v>78</v>
      </c>
      <c r="J34" s="33">
        <f t="shared" si="0"/>
        <v>1.2270888191635461</v>
      </c>
      <c r="K34" s="33">
        <f t="shared" si="1"/>
        <v>22.276735289117042</v>
      </c>
      <c r="L34" s="21"/>
    </row>
    <row r="35" spans="1:26" s="5" customFormat="1" ht="26.85" customHeight="1" x14ac:dyDescent="0.2">
      <c r="B35" s="106" t="s">
        <v>98</v>
      </c>
      <c r="C35" s="30">
        <f>10744536235.82</f>
        <v>10744536235.82</v>
      </c>
      <c r="D35" s="30">
        <f>6508648442.52</f>
        <v>6508648442.5200005</v>
      </c>
      <c r="E35" s="97" t="s">
        <v>78</v>
      </c>
      <c r="F35" s="97" t="s">
        <v>78</v>
      </c>
      <c r="G35" s="97" t="s">
        <v>78</v>
      </c>
      <c r="H35" s="97" t="s">
        <v>78</v>
      </c>
      <c r="I35" s="97" t="s">
        <v>78</v>
      </c>
      <c r="J35" s="31">
        <f t="shared" si="0"/>
        <v>20.381036346537087</v>
      </c>
      <c r="K35" s="31">
        <f t="shared" si="1"/>
        <v>60.576355271822244</v>
      </c>
      <c r="L35" s="22"/>
    </row>
    <row r="36" spans="1:26" ht="12.95" customHeight="1" outlineLevel="1" x14ac:dyDescent="0.2">
      <c r="B36" s="108" t="s">
        <v>99</v>
      </c>
      <c r="C36" s="32">
        <f>0</f>
        <v>0</v>
      </c>
      <c r="D36" s="32">
        <f>0</f>
        <v>0</v>
      </c>
      <c r="E36" s="97" t="s">
        <v>78</v>
      </c>
      <c r="F36" s="97" t="s">
        <v>78</v>
      </c>
      <c r="G36" s="97" t="s">
        <v>78</v>
      </c>
      <c r="H36" s="97" t="s">
        <v>78</v>
      </c>
      <c r="I36" s="97" t="s">
        <v>78</v>
      </c>
      <c r="J36" s="33">
        <f t="shared" si="0"/>
        <v>0</v>
      </c>
      <c r="K36" s="33" t="str">
        <f t="shared" si="1"/>
        <v/>
      </c>
      <c r="L36" s="21"/>
    </row>
    <row r="37" spans="1:26" ht="22.5" outlineLevel="1" x14ac:dyDescent="0.2">
      <c r="B37" s="108" t="s">
        <v>100</v>
      </c>
      <c r="C37" s="32">
        <f>597743767.26</f>
        <v>597743767.25999999</v>
      </c>
      <c r="D37" s="32">
        <f>266429814.6</f>
        <v>266429814.59999999</v>
      </c>
      <c r="E37" s="97" t="s">
        <v>78</v>
      </c>
      <c r="F37" s="97" t="s">
        <v>78</v>
      </c>
      <c r="G37" s="97" t="s">
        <v>78</v>
      </c>
      <c r="H37" s="97" t="s">
        <v>78</v>
      </c>
      <c r="I37" s="97" t="s">
        <v>78</v>
      </c>
      <c r="J37" s="33">
        <f t="shared" si="0"/>
        <v>0.83429237008556578</v>
      </c>
      <c r="K37" s="33">
        <f t="shared" si="1"/>
        <v>44.572579287825732</v>
      </c>
      <c r="L37" s="21"/>
    </row>
    <row r="38" spans="1:26" ht="12.95" customHeight="1" outlineLevel="1" x14ac:dyDescent="0.2">
      <c r="B38" s="110" t="s">
        <v>6</v>
      </c>
      <c r="C38" s="32">
        <f>136335954.52</f>
        <v>136335954.52000001</v>
      </c>
      <c r="D38" s="32">
        <f>13701137</f>
        <v>13701137</v>
      </c>
      <c r="E38" s="97" t="s">
        <v>78</v>
      </c>
      <c r="F38" s="97" t="s">
        <v>78</v>
      </c>
      <c r="G38" s="97" t="s">
        <v>78</v>
      </c>
      <c r="H38" s="97" t="s">
        <v>78</v>
      </c>
      <c r="I38" s="97" t="s">
        <v>78</v>
      </c>
      <c r="J38" s="33">
        <f t="shared" si="0"/>
        <v>4.2903434353840662E-2</v>
      </c>
      <c r="K38" s="33">
        <f t="shared" si="1"/>
        <v>10.04954052526921</v>
      </c>
      <c r="L38" s="21"/>
    </row>
    <row r="39" spans="1:26" s="5" customFormat="1" ht="12.95" customHeight="1" x14ac:dyDescent="0.2">
      <c r="B39" s="105" t="s">
        <v>5</v>
      </c>
      <c r="C39" s="58">
        <f>+C5</f>
        <v>59201956028.93</v>
      </c>
      <c r="D39" s="58">
        <f>+D5</f>
        <v>31934825746.119999</v>
      </c>
      <c r="E39" s="97" t="s">
        <v>78</v>
      </c>
      <c r="F39" s="97" t="s">
        <v>78</v>
      </c>
      <c r="G39" s="97" t="s">
        <v>78</v>
      </c>
      <c r="H39" s="97" t="s">
        <v>78</v>
      </c>
      <c r="I39" s="97" t="s">
        <v>78</v>
      </c>
      <c r="J39" s="59">
        <f>IF($D$5=0,"",100*$D39/$D$39)</f>
        <v>100</v>
      </c>
      <c r="K39" s="59">
        <f t="shared" si="1"/>
        <v>53.942180103837323</v>
      </c>
    </row>
    <row r="40" spans="1:26" s="5" customFormat="1" ht="12.95" customHeight="1" x14ac:dyDescent="0.2">
      <c r="B40" s="115" t="s">
        <v>48</v>
      </c>
      <c r="C40" s="32">
        <f>9195245053.33</f>
        <v>9195245053.3299999</v>
      </c>
      <c r="D40" s="32">
        <f>2482744552.65</f>
        <v>2482744552.6500001</v>
      </c>
      <c r="E40" s="97" t="s">
        <v>78</v>
      </c>
      <c r="F40" s="97" t="s">
        <v>78</v>
      </c>
      <c r="G40" s="97" t="s">
        <v>78</v>
      </c>
      <c r="H40" s="97" t="s">
        <v>78</v>
      </c>
      <c r="I40" s="97" t="s">
        <v>78</v>
      </c>
      <c r="J40" s="33">
        <f>IF($D$5=0,"",100*$D40/$D$39)</f>
        <v>7.7744108340771119</v>
      </c>
      <c r="K40" s="33">
        <f t="shared" si="1"/>
        <v>27.000308727507917</v>
      </c>
    </row>
    <row r="41" spans="1:26" s="5" customFormat="1" ht="12.95" customHeight="1" x14ac:dyDescent="0.2">
      <c r="A41" s="2"/>
      <c r="B41" s="115" t="s">
        <v>49</v>
      </c>
      <c r="C41" s="32">
        <f>C39-C40</f>
        <v>50006710975.599998</v>
      </c>
      <c r="D41" s="32">
        <f>D39-D40</f>
        <v>29452081193.469997</v>
      </c>
      <c r="E41" s="97" t="s">
        <v>78</v>
      </c>
      <c r="F41" s="97" t="s">
        <v>78</v>
      </c>
      <c r="G41" s="97" t="s">
        <v>78</v>
      </c>
      <c r="H41" s="97" t="s">
        <v>78</v>
      </c>
      <c r="I41" s="97" t="s">
        <v>78</v>
      </c>
      <c r="J41" s="33">
        <f>IF($D$5=0,"",100*$D41/$D$39)</f>
        <v>92.225589165922869</v>
      </c>
      <c r="K41" s="33">
        <f t="shared" si="1"/>
        <v>58.896257360018502</v>
      </c>
      <c r="M41" s="15"/>
      <c r="N41" s="15"/>
      <c r="O41" s="9"/>
      <c r="P41" s="9"/>
      <c r="Q41" s="3"/>
    </row>
    <row r="42" spans="1:26" s="5" customFormat="1" ht="12.95" customHeight="1" x14ac:dyDescent="0.2">
      <c r="A42" s="2"/>
      <c r="B42" s="127" t="s">
        <v>87</v>
      </c>
      <c r="C42" s="76"/>
      <c r="D42" s="76"/>
      <c r="E42" s="126"/>
      <c r="F42" s="126"/>
      <c r="G42" s="126"/>
      <c r="H42" s="126"/>
      <c r="I42" s="126"/>
      <c r="J42" s="57"/>
      <c r="K42" s="57"/>
      <c r="M42" s="15"/>
      <c r="N42" s="15"/>
      <c r="O42" s="9"/>
      <c r="P42" s="9"/>
      <c r="Q42" s="3"/>
    </row>
    <row r="43" spans="1:26" ht="20.100000000000001" customHeight="1" x14ac:dyDescent="0.2">
      <c r="B43" s="116" t="str">
        <f>CONCATENATE("Informacja z wykonania budżetów powiatów za ",$D$114," ",$C$115," rok     ",$C$117,"")</f>
        <v xml:space="preserve">Informacja z wykonania budżetów powiatów za II Kwartały 2025 rok     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</row>
    <row r="44" spans="1:26" s="5" customFormat="1" ht="9" customHeight="1" x14ac:dyDescent="0.2">
      <c r="B44" s="6"/>
      <c r="C44" s="7"/>
      <c r="D44" s="8"/>
      <c r="E44" s="8"/>
      <c r="F44" s="4"/>
      <c r="G44" s="4"/>
      <c r="H44" s="4"/>
      <c r="I44" s="4"/>
      <c r="J44" s="4"/>
      <c r="K44" s="9"/>
      <c r="L44" s="9"/>
      <c r="M44" s="3"/>
    </row>
    <row r="45" spans="1:26" ht="29.25" customHeight="1" x14ac:dyDescent="0.2">
      <c r="B45" s="155" t="s">
        <v>0</v>
      </c>
      <c r="C45" s="137" t="s">
        <v>31</v>
      </c>
      <c r="D45" s="137" t="s">
        <v>33</v>
      </c>
      <c r="E45" s="137" t="s">
        <v>32</v>
      </c>
      <c r="F45" s="137" t="s">
        <v>12</v>
      </c>
      <c r="G45" s="137"/>
      <c r="H45" s="137"/>
      <c r="I45" s="156" t="s">
        <v>59</v>
      </c>
      <c r="J45" s="137" t="s">
        <v>2</v>
      </c>
      <c r="K45" s="141" t="s">
        <v>18</v>
      </c>
      <c r="M45" s="10"/>
      <c r="N45" s="73"/>
      <c r="O45" s="77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8" customHeight="1" x14ac:dyDescent="0.2">
      <c r="B46" s="155"/>
      <c r="C46" s="137"/>
      <c r="D46" s="137"/>
      <c r="E46" s="138"/>
      <c r="F46" s="139" t="s">
        <v>34</v>
      </c>
      <c r="G46" s="153" t="s">
        <v>23</v>
      </c>
      <c r="H46" s="138"/>
      <c r="I46" s="157"/>
      <c r="J46" s="137"/>
      <c r="K46" s="141"/>
      <c r="L46" s="11"/>
      <c r="M46" s="12"/>
      <c r="N46" s="74"/>
      <c r="O46" s="78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57" customHeight="1" x14ac:dyDescent="0.2">
      <c r="B47" s="155"/>
      <c r="C47" s="137"/>
      <c r="D47" s="137"/>
      <c r="E47" s="138"/>
      <c r="F47" s="138"/>
      <c r="G47" s="17" t="s">
        <v>29</v>
      </c>
      <c r="H47" s="17" t="s">
        <v>30</v>
      </c>
      <c r="I47" s="158"/>
      <c r="J47" s="137"/>
      <c r="K47" s="141"/>
      <c r="L47" s="11"/>
      <c r="M47" s="10"/>
      <c r="N47" s="74"/>
      <c r="O47" s="76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3.5" customHeight="1" x14ac:dyDescent="0.2">
      <c r="B48" s="155"/>
      <c r="C48" s="159" t="s">
        <v>52</v>
      </c>
      <c r="D48" s="160"/>
      <c r="E48" s="160"/>
      <c r="F48" s="160"/>
      <c r="G48" s="160"/>
      <c r="H48" s="160"/>
      <c r="I48" s="161"/>
      <c r="J48" s="162" t="s">
        <v>4</v>
      </c>
      <c r="K48" s="162"/>
      <c r="N48" s="10"/>
      <c r="O48" s="78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2:26" ht="11.25" customHeight="1" x14ac:dyDescent="0.2">
      <c r="B49" s="16">
        <v>1</v>
      </c>
      <c r="C49" s="18">
        <v>2</v>
      </c>
      <c r="D49" s="18">
        <v>3</v>
      </c>
      <c r="E49" s="18">
        <v>4</v>
      </c>
      <c r="F49" s="16">
        <v>5</v>
      </c>
      <c r="G49" s="16">
        <v>6</v>
      </c>
      <c r="H49" s="18">
        <v>7</v>
      </c>
      <c r="I49" s="18">
        <v>8</v>
      </c>
      <c r="J49" s="16">
        <v>9</v>
      </c>
      <c r="K49" s="18">
        <v>10</v>
      </c>
      <c r="M49" s="10"/>
      <c r="N49" s="10"/>
      <c r="O49" s="76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2:26" ht="26.85" customHeight="1" x14ac:dyDescent="0.2">
      <c r="B50" s="103" t="s">
        <v>37</v>
      </c>
      <c r="C50" s="60">
        <f>63084423872.78</f>
        <v>63084423872.779999</v>
      </c>
      <c r="D50" s="72">
        <f>26101604723.27</f>
        <v>26101604723.27</v>
      </c>
      <c r="E50" s="72">
        <f>46214745541.86</f>
        <v>46214745541.860001</v>
      </c>
      <c r="F50" s="60">
        <f>1411248534.1</f>
        <v>1411248534.0999999</v>
      </c>
      <c r="G50" s="60">
        <f>226389.4</f>
        <v>226389.4</v>
      </c>
      <c r="H50" s="60">
        <f>1844169.07</f>
        <v>1844169.07</v>
      </c>
      <c r="I50" s="80">
        <f>0</f>
        <v>0</v>
      </c>
      <c r="J50" s="50">
        <f>IF($D$50=0,"",100*$D50/$D$50)</f>
        <v>100</v>
      </c>
      <c r="K50" s="50">
        <f>IF(C50=0,"",100*D50/C50)</f>
        <v>41.375672663521712</v>
      </c>
      <c r="O50" s="75"/>
    </row>
    <row r="51" spans="2:26" ht="12.95" customHeight="1" x14ac:dyDescent="0.2">
      <c r="B51" s="19" t="s">
        <v>14</v>
      </c>
      <c r="C51" s="38">
        <f>14688688771.23</f>
        <v>14688688771.23</v>
      </c>
      <c r="D51" s="38">
        <f>3256382582.7</f>
        <v>3256382582.6999998</v>
      </c>
      <c r="E51" s="38">
        <f>8338637596.17</f>
        <v>8338637596.1700001</v>
      </c>
      <c r="F51" s="38">
        <f>507766651.3</f>
        <v>507766651.30000001</v>
      </c>
      <c r="G51" s="38">
        <f>5597.13</f>
        <v>5597.13</v>
      </c>
      <c r="H51" s="38">
        <f>0</f>
        <v>0</v>
      </c>
      <c r="I51" s="81">
        <f>0</f>
        <v>0</v>
      </c>
      <c r="J51" s="50">
        <f t="shared" ref="J51:J59" si="2">IF($D$50=0,"",100*$D51/$D$50)</f>
        <v>12.475794562151508</v>
      </c>
      <c r="K51" s="50">
        <f t="shared" ref="K51:K59" si="3">IF(C51=0,"",100*D51/C51)</f>
        <v>22.169321124688228</v>
      </c>
      <c r="O51" s="76"/>
    </row>
    <row r="52" spans="2:26" ht="12.95" customHeight="1" outlineLevel="1" x14ac:dyDescent="0.2">
      <c r="B52" s="20" t="s">
        <v>13</v>
      </c>
      <c r="C52" s="35">
        <f>14580058314.62</f>
        <v>14580058314.620001</v>
      </c>
      <c r="D52" s="35">
        <f>3180563073.54</f>
        <v>3180563073.54</v>
      </c>
      <c r="E52" s="35">
        <f>8253728558.26</f>
        <v>8253728558.2600002</v>
      </c>
      <c r="F52" s="35">
        <f>506662372.55</f>
        <v>506662372.55000001</v>
      </c>
      <c r="G52" s="35">
        <f>5597.13</f>
        <v>5597.13</v>
      </c>
      <c r="H52" s="35">
        <f>0</f>
        <v>0</v>
      </c>
      <c r="I52" s="82">
        <f>0</f>
        <v>0</v>
      </c>
      <c r="J52" s="50">
        <f t="shared" si="2"/>
        <v>12.185316218142239</v>
      </c>
      <c r="K52" s="50">
        <f t="shared" si="3"/>
        <v>21.814474297065903</v>
      </c>
      <c r="O52" s="75"/>
    </row>
    <row r="53" spans="2:26" ht="26.85" customHeight="1" x14ac:dyDescent="0.2">
      <c r="B53" s="19" t="s">
        <v>38</v>
      </c>
      <c r="C53" s="38">
        <f t="shared" ref="C53:I53" si="4">C50-C51</f>
        <v>48395735101.550003</v>
      </c>
      <c r="D53" s="38">
        <f>D50-D51</f>
        <v>22845222140.57</v>
      </c>
      <c r="E53" s="38">
        <f>E50-E51</f>
        <v>37876107945.690002</v>
      </c>
      <c r="F53" s="38">
        <f t="shared" si="4"/>
        <v>903481882.79999995</v>
      </c>
      <c r="G53" s="38">
        <f t="shared" si="4"/>
        <v>220792.27</v>
      </c>
      <c r="H53" s="38">
        <f t="shared" si="4"/>
        <v>1844169.07</v>
      </c>
      <c r="I53" s="81">
        <f t="shared" si="4"/>
        <v>0</v>
      </c>
      <c r="J53" s="50">
        <f t="shared" si="2"/>
        <v>87.524205437848494</v>
      </c>
      <c r="K53" s="50">
        <f t="shared" si="3"/>
        <v>47.205031791816552</v>
      </c>
      <c r="O53" s="75"/>
    </row>
    <row r="54" spans="2:26" ht="22.5" outlineLevel="1" x14ac:dyDescent="0.2">
      <c r="B54" s="20" t="s">
        <v>77</v>
      </c>
      <c r="C54" s="35">
        <f>31126144666.98</f>
        <v>31126144666.98</v>
      </c>
      <c r="D54" s="35">
        <f>15631214179.08</f>
        <v>15631214179.08</v>
      </c>
      <c r="E54" s="35">
        <f>27344215274.24</f>
        <v>27344215274.240002</v>
      </c>
      <c r="F54" s="35">
        <f>603235709.77</f>
        <v>603235709.76999998</v>
      </c>
      <c r="G54" s="35">
        <f>1298.77</f>
        <v>1298.77</v>
      </c>
      <c r="H54" s="35">
        <f>270</f>
        <v>270</v>
      </c>
      <c r="I54" s="82">
        <f>0</f>
        <v>0</v>
      </c>
      <c r="J54" s="50">
        <f t="shared" si="2"/>
        <v>59.886027486825441</v>
      </c>
      <c r="K54" s="50">
        <f t="shared" si="3"/>
        <v>50.218921573227433</v>
      </c>
      <c r="O54" s="76"/>
    </row>
    <row r="55" spans="2:26" ht="12.95" customHeight="1" outlineLevel="1" x14ac:dyDescent="0.2">
      <c r="B55" s="23" t="s">
        <v>28</v>
      </c>
      <c r="C55" s="61">
        <f>4314460125.94</f>
        <v>4314460125.9399996</v>
      </c>
      <c r="D55" s="61">
        <f>2118612650.05</f>
        <v>2118612650.05</v>
      </c>
      <c r="E55" s="61">
        <f>3116721704.95</f>
        <v>3116721704.9499998</v>
      </c>
      <c r="F55" s="61">
        <f>7313146.67</f>
        <v>7313146.6699999999</v>
      </c>
      <c r="G55" s="61">
        <f>0</f>
        <v>0</v>
      </c>
      <c r="H55" s="61">
        <f>0</f>
        <v>0</v>
      </c>
      <c r="I55" s="83">
        <f>0</f>
        <v>0</v>
      </c>
      <c r="J55" s="50">
        <f t="shared" si="2"/>
        <v>8.1167907970088251</v>
      </c>
      <c r="K55" s="50">
        <f t="shared" si="3"/>
        <v>49.104930587078123</v>
      </c>
    </row>
    <row r="56" spans="2:26" ht="12.95" customHeight="1" outlineLevel="1" x14ac:dyDescent="0.2">
      <c r="B56" s="23" t="s">
        <v>27</v>
      </c>
      <c r="C56" s="32">
        <f>509260089.25</f>
        <v>509260089.25</v>
      </c>
      <c r="D56" s="32">
        <f>227394054.15</f>
        <v>227394054.15000001</v>
      </c>
      <c r="E56" s="32">
        <f>308537707.86</f>
        <v>308537707.86000001</v>
      </c>
      <c r="F56" s="32">
        <f>15990200.41</f>
        <v>15990200.41</v>
      </c>
      <c r="G56" s="32">
        <f>0</f>
        <v>0</v>
      </c>
      <c r="H56" s="32">
        <f>0</f>
        <v>0</v>
      </c>
      <c r="I56" s="84">
        <f>0</f>
        <v>0</v>
      </c>
      <c r="J56" s="50">
        <f t="shared" si="2"/>
        <v>0.8711880229619543</v>
      </c>
      <c r="K56" s="50">
        <f t="shared" si="3"/>
        <v>44.651850586777549</v>
      </c>
    </row>
    <row r="57" spans="2:26" ht="22.5" customHeight="1" outlineLevel="1" x14ac:dyDescent="0.2">
      <c r="B57" s="23" t="s">
        <v>44</v>
      </c>
      <c r="C57" s="61">
        <f>52558947.57</f>
        <v>52558947.57</v>
      </c>
      <c r="D57" s="61">
        <f>3376044.33</f>
        <v>3376044.33</v>
      </c>
      <c r="E57" s="61">
        <f>8171878.46</f>
        <v>8171878.46</v>
      </c>
      <c r="F57" s="61">
        <f>0</f>
        <v>0</v>
      </c>
      <c r="G57" s="61">
        <f>0</f>
        <v>0</v>
      </c>
      <c r="H57" s="61">
        <f>0</f>
        <v>0</v>
      </c>
      <c r="I57" s="83">
        <f>0</f>
        <v>0</v>
      </c>
      <c r="J57" s="50">
        <f t="shared" si="2"/>
        <v>1.2934240502807868E-2</v>
      </c>
      <c r="K57" s="50">
        <f t="shared" si="3"/>
        <v>6.423348423222623</v>
      </c>
    </row>
    <row r="58" spans="2:26" ht="12.95" customHeight="1" outlineLevel="1" x14ac:dyDescent="0.2">
      <c r="B58" s="23" t="s">
        <v>45</v>
      </c>
      <c r="C58" s="61">
        <f>1425089272.23</f>
        <v>1425089272.23</v>
      </c>
      <c r="D58" s="61">
        <f>622944102.12</f>
        <v>622944102.12</v>
      </c>
      <c r="E58" s="61">
        <f>969728400.44</f>
        <v>969728400.44000006</v>
      </c>
      <c r="F58" s="61">
        <f>11230848.8</f>
        <v>11230848.800000001</v>
      </c>
      <c r="G58" s="61">
        <f>0</f>
        <v>0</v>
      </c>
      <c r="H58" s="61">
        <f>259.78</f>
        <v>259.77999999999997</v>
      </c>
      <c r="I58" s="85">
        <f>0</f>
        <v>0</v>
      </c>
      <c r="J58" s="50">
        <f t="shared" si="2"/>
        <v>2.3866122743198059</v>
      </c>
      <c r="K58" s="50">
        <f t="shared" si="3"/>
        <v>43.712637113968881</v>
      </c>
    </row>
    <row r="59" spans="2:26" ht="12.95" customHeight="1" outlineLevel="1" x14ac:dyDescent="0.2">
      <c r="B59" s="20" t="s">
        <v>26</v>
      </c>
      <c r="C59" s="35">
        <f t="shared" ref="C59:I59" si="5">C53-C54-C55-C56-C57-C58</f>
        <v>10968221999.580006</v>
      </c>
      <c r="D59" s="35">
        <f>D53-D54-D55-D56-D57-D58</f>
        <v>4241681110.8400002</v>
      </c>
      <c r="E59" s="86">
        <f>E53-E54-E55-E56-E57-E58</f>
        <v>6128732979.7400017</v>
      </c>
      <c r="F59" s="86">
        <f t="shared" si="5"/>
        <v>265711977.14999992</v>
      </c>
      <c r="G59" s="86">
        <f t="shared" si="5"/>
        <v>219493.5</v>
      </c>
      <c r="H59" s="86">
        <f t="shared" si="5"/>
        <v>1843639.29</v>
      </c>
      <c r="I59" s="87">
        <f t="shared" si="5"/>
        <v>0</v>
      </c>
      <c r="J59" s="50">
        <f t="shared" si="2"/>
        <v>16.250652616229658</v>
      </c>
      <c r="K59" s="50">
        <f t="shared" si="3"/>
        <v>38.67245858993757</v>
      </c>
    </row>
    <row r="60" spans="2:26" ht="12.95" customHeight="1" x14ac:dyDescent="0.2">
      <c r="B60" s="103" t="s">
        <v>15</v>
      </c>
      <c r="C60" s="64">
        <f>C5-C50</f>
        <v>-3882467843.8499985</v>
      </c>
      <c r="D60" s="64">
        <f>D5-D50</f>
        <v>5833221022.8499985</v>
      </c>
      <c r="E60" s="92"/>
      <c r="F60" s="93"/>
      <c r="G60" s="93"/>
      <c r="H60" s="93"/>
      <c r="I60" s="140"/>
      <c r="J60" s="140"/>
      <c r="K60" s="94"/>
      <c r="L60" s="88"/>
      <c r="M60" s="13"/>
    </row>
    <row r="61" spans="2:26" ht="39" customHeight="1" x14ac:dyDescent="0.2">
      <c r="B61" s="129" t="s">
        <v>109</v>
      </c>
      <c r="C61" s="65">
        <f>C41-C53</f>
        <v>1610975874.0499954</v>
      </c>
      <c r="D61" s="65">
        <f>D41-D53</f>
        <v>6606859052.8999977</v>
      </c>
      <c r="E61" s="91"/>
      <c r="F61" s="89"/>
      <c r="G61" s="89"/>
      <c r="H61" s="89"/>
      <c r="I61" s="89"/>
      <c r="J61" s="89"/>
      <c r="K61" s="90"/>
      <c r="L61" s="90"/>
      <c r="M61" s="10"/>
    </row>
    <row r="62" spans="2:26" ht="12" customHeight="1" outlineLevel="1" x14ac:dyDescent="0.2">
      <c r="B62" s="37"/>
      <c r="C62" s="42"/>
      <c r="D62" s="42"/>
      <c r="E62" s="42"/>
      <c r="F62" s="43"/>
      <c r="G62" s="43"/>
      <c r="H62" s="43"/>
      <c r="I62" s="43"/>
      <c r="J62" s="40"/>
      <c r="K62" s="40"/>
      <c r="L62" s="41"/>
      <c r="M62" s="10"/>
    </row>
    <row r="63" spans="2:26" ht="12" customHeight="1" outlineLevel="1" x14ac:dyDescent="0.2">
      <c r="B63" s="37"/>
      <c r="C63" s="42"/>
      <c r="D63" s="42"/>
      <c r="E63" s="42"/>
      <c r="F63" s="43"/>
      <c r="G63" s="43"/>
      <c r="H63" s="43"/>
      <c r="I63" s="43"/>
      <c r="J63" s="40"/>
      <c r="K63" s="40"/>
      <c r="L63" s="41"/>
      <c r="M63" s="10"/>
    </row>
    <row r="64" spans="2:26" ht="12.75" customHeight="1" outlineLevel="1" x14ac:dyDescent="0.2">
      <c r="B64" s="169" t="s">
        <v>105</v>
      </c>
      <c r="C64" s="170" t="s">
        <v>101</v>
      </c>
      <c r="D64" s="170"/>
      <c r="E64" s="170" t="s">
        <v>102</v>
      </c>
      <c r="F64" s="170"/>
      <c r="G64" s="130" t="s">
        <v>110</v>
      </c>
      <c r="H64" s="43"/>
      <c r="I64" s="43"/>
      <c r="J64" s="40"/>
      <c r="K64" s="40"/>
      <c r="L64" s="41"/>
      <c r="M64" s="10"/>
    </row>
    <row r="65" spans="2:13" outlineLevel="1" x14ac:dyDescent="0.2">
      <c r="B65" s="169"/>
      <c r="C65" s="131" t="s">
        <v>103</v>
      </c>
      <c r="D65" s="131" t="s">
        <v>104</v>
      </c>
      <c r="E65" s="131" t="s">
        <v>103</v>
      </c>
      <c r="F65" s="131" t="s">
        <v>104</v>
      </c>
      <c r="G65" s="131" t="s">
        <v>103</v>
      </c>
      <c r="H65" s="43"/>
      <c r="I65" s="43"/>
      <c r="J65" s="40"/>
      <c r="K65" s="40"/>
      <c r="L65" s="41"/>
      <c r="M65" s="10"/>
    </row>
    <row r="66" spans="2:13" outlineLevel="1" x14ac:dyDescent="0.2">
      <c r="B66" s="133" t="s">
        <v>106</v>
      </c>
      <c r="C66" s="132">
        <f>15</f>
        <v>15</v>
      </c>
      <c r="D66" s="134">
        <f>34332639.66</f>
        <v>34332639.659999996</v>
      </c>
      <c r="E66" s="132">
        <f>298</f>
        <v>298</v>
      </c>
      <c r="F66" s="134">
        <f>+-3916800483.51</f>
        <v>-3916800483.5100002</v>
      </c>
      <c r="G66" s="132">
        <f>1</f>
        <v>1</v>
      </c>
      <c r="H66" s="43"/>
      <c r="I66" s="43"/>
      <c r="J66" s="40"/>
      <c r="K66" s="40"/>
      <c r="L66" s="41"/>
      <c r="M66" s="10"/>
    </row>
    <row r="67" spans="2:13" outlineLevel="1" x14ac:dyDescent="0.2">
      <c r="B67" s="133" t="s">
        <v>107</v>
      </c>
      <c r="C67" s="132">
        <f>311</f>
        <v>311</v>
      </c>
      <c r="D67" s="134">
        <f>5839982586.01</f>
        <v>5839982586.0100002</v>
      </c>
      <c r="E67" s="132">
        <f>3</f>
        <v>3</v>
      </c>
      <c r="F67" s="134">
        <f>+-6761563.16</f>
        <v>-6761563.1600000001</v>
      </c>
      <c r="G67" s="132">
        <f>0</f>
        <v>0</v>
      </c>
      <c r="H67" s="43"/>
      <c r="I67" s="43"/>
      <c r="J67" s="40"/>
      <c r="K67" s="40"/>
      <c r="L67" s="41"/>
      <c r="M67" s="10"/>
    </row>
    <row r="68" spans="2:13" outlineLevel="1" x14ac:dyDescent="0.2">
      <c r="B68" s="25"/>
      <c r="C68" s="25"/>
      <c r="D68" s="25"/>
      <c r="E68" s="25"/>
      <c r="F68" s="25"/>
      <c r="G68" s="25"/>
      <c r="H68" s="43"/>
      <c r="I68" s="43"/>
      <c r="J68" s="40"/>
      <c r="K68" s="40"/>
      <c r="L68" s="41"/>
      <c r="M68" s="10"/>
    </row>
    <row r="69" spans="2:13" ht="12.75" customHeight="1" outlineLevel="1" x14ac:dyDescent="0.2">
      <c r="B69" s="169" t="s">
        <v>108</v>
      </c>
      <c r="C69" s="170" t="s">
        <v>101</v>
      </c>
      <c r="D69" s="170"/>
      <c r="E69" s="170" t="s">
        <v>102</v>
      </c>
      <c r="F69" s="170"/>
      <c r="G69" s="130" t="s">
        <v>110</v>
      </c>
      <c r="H69" s="43"/>
      <c r="I69" s="43"/>
      <c r="J69" s="40"/>
      <c r="K69" s="40"/>
      <c r="L69" s="41"/>
      <c r="M69" s="10"/>
    </row>
    <row r="70" spans="2:13" outlineLevel="1" x14ac:dyDescent="0.2">
      <c r="B70" s="169"/>
      <c r="C70" s="131" t="s">
        <v>103</v>
      </c>
      <c r="D70" s="131" t="s">
        <v>104</v>
      </c>
      <c r="E70" s="131" t="s">
        <v>103</v>
      </c>
      <c r="F70" s="131" t="s">
        <v>104</v>
      </c>
      <c r="G70" s="131" t="s">
        <v>103</v>
      </c>
      <c r="H70" s="43"/>
      <c r="I70" s="43"/>
      <c r="J70" s="40"/>
      <c r="K70" s="40"/>
      <c r="L70" s="41"/>
      <c r="M70" s="10"/>
    </row>
    <row r="71" spans="2:13" outlineLevel="1" x14ac:dyDescent="0.2">
      <c r="B71" s="133" t="s">
        <v>106</v>
      </c>
      <c r="C71" s="132">
        <f>249</f>
        <v>249</v>
      </c>
      <c r="D71" s="134">
        <f>1838448031.3</f>
        <v>1838448031.3</v>
      </c>
      <c r="E71" s="132">
        <f>64</f>
        <v>64</v>
      </c>
      <c r="F71" s="134">
        <f>+-227472157.25</f>
        <v>-227472157.25</v>
      </c>
      <c r="G71" s="132">
        <f>1</f>
        <v>1</v>
      </c>
      <c r="H71" s="43"/>
      <c r="I71" s="43"/>
      <c r="J71" s="40"/>
      <c r="K71" s="40"/>
      <c r="L71" s="41"/>
      <c r="M71" s="10"/>
    </row>
    <row r="72" spans="2:13" outlineLevel="1" x14ac:dyDescent="0.2">
      <c r="B72" s="133" t="s">
        <v>107</v>
      </c>
      <c r="C72" s="132">
        <f>314</f>
        <v>314</v>
      </c>
      <c r="D72" s="134">
        <f>6606859052.9</f>
        <v>6606859052.8999996</v>
      </c>
      <c r="E72" s="132">
        <f>0</f>
        <v>0</v>
      </c>
      <c r="F72" s="134">
        <f>0</f>
        <v>0</v>
      </c>
      <c r="G72" s="132">
        <f>0</f>
        <v>0</v>
      </c>
      <c r="H72" s="43"/>
      <c r="I72" s="43"/>
      <c r="J72" s="40"/>
      <c r="K72" s="40"/>
      <c r="L72" s="41"/>
      <c r="M72" s="10"/>
    </row>
    <row r="73" spans="2:13" ht="12" customHeight="1" outlineLevel="1" x14ac:dyDescent="0.2">
      <c r="B73" s="37"/>
      <c r="C73" s="42"/>
      <c r="D73" s="42"/>
      <c r="E73" s="42"/>
      <c r="F73" s="43"/>
      <c r="G73" s="43"/>
      <c r="H73" s="43"/>
      <c r="I73" s="43"/>
      <c r="J73" s="40"/>
      <c r="K73" s="40"/>
      <c r="L73" s="41"/>
      <c r="M73" s="10"/>
    </row>
    <row r="74" spans="2:13" ht="12" customHeight="1" x14ac:dyDescent="0.2">
      <c r="B74" s="37"/>
      <c r="C74" s="42"/>
      <c r="D74" s="42"/>
      <c r="E74" s="42"/>
      <c r="F74" s="43"/>
      <c r="G74" s="43"/>
      <c r="H74" s="43"/>
      <c r="I74" s="43"/>
      <c r="J74" s="40"/>
      <c r="K74" s="40"/>
      <c r="L74" s="41"/>
      <c r="M74" s="10"/>
    </row>
    <row r="75" spans="2:13" ht="12" customHeight="1" x14ac:dyDescent="0.2">
      <c r="B75" s="125" t="s">
        <v>88</v>
      </c>
      <c r="C75" s="42"/>
      <c r="D75" s="42"/>
      <c r="E75" s="42"/>
      <c r="F75" s="43"/>
      <c r="G75" s="43"/>
      <c r="H75" s="43"/>
      <c r="I75" s="43"/>
      <c r="J75" s="40"/>
      <c r="K75" s="40"/>
      <c r="L75" s="41"/>
      <c r="M75" s="10"/>
    </row>
    <row r="76" spans="2:13" ht="26.85" customHeight="1" x14ac:dyDescent="0.2">
      <c r="B76" s="123" t="s">
        <v>85</v>
      </c>
      <c r="C76" s="121">
        <f>3709516999.64</f>
        <v>3709516999.6399999</v>
      </c>
      <c r="D76" s="62">
        <f>847037569.810001</f>
        <v>847037569.81000102</v>
      </c>
      <c r="E76" s="62">
        <f>1696852391.87</f>
        <v>1696852391.8699999</v>
      </c>
      <c r="F76" s="62">
        <f>78375039.4900001</f>
        <v>78375039.490000099</v>
      </c>
      <c r="G76" s="62">
        <f>0</f>
        <v>0</v>
      </c>
      <c r="H76" s="62">
        <f>0</f>
        <v>0</v>
      </c>
      <c r="I76" s="62">
        <f>0</f>
        <v>0</v>
      </c>
      <c r="J76" s="50">
        <f>IF($D$76=0,"",100*$D76/$D$76)</f>
        <v>100</v>
      </c>
      <c r="K76" s="63">
        <f>IF(C76=0,"",100*D76/C76)</f>
        <v>22.834174095770532</v>
      </c>
      <c r="L76" s="10"/>
    </row>
    <row r="77" spans="2:13" ht="12.95" customHeight="1" x14ac:dyDescent="0.2">
      <c r="B77" s="124" t="s">
        <v>50</v>
      </c>
      <c r="C77" s="122">
        <f>2509097177.6</f>
        <v>2509097177.5999999</v>
      </c>
      <c r="D77" s="61">
        <f>515390024.75</f>
        <v>515390024.75</v>
      </c>
      <c r="E77" s="61">
        <f>1185412550.72</f>
        <v>1185412550.72</v>
      </c>
      <c r="F77" s="61">
        <f>70449990.41</f>
        <v>70449990.409999996</v>
      </c>
      <c r="G77" s="61">
        <f>0</f>
        <v>0</v>
      </c>
      <c r="H77" s="61">
        <f>0</f>
        <v>0</v>
      </c>
      <c r="I77" s="61">
        <f>0</f>
        <v>0</v>
      </c>
      <c r="J77" s="50">
        <f>IF($D$76=0,"",100*$D77/$D$76)</f>
        <v>60.846182403173351</v>
      </c>
      <c r="K77" s="63">
        <f>IF(C77=0,"",100*D77/C77)</f>
        <v>20.540855465908283</v>
      </c>
    </row>
    <row r="78" spans="2:13" ht="12.95" customHeight="1" x14ac:dyDescent="0.2">
      <c r="B78" s="124" t="s">
        <v>51</v>
      </c>
      <c r="C78" s="122">
        <f>C76-C77</f>
        <v>1200419822.04</v>
      </c>
      <c r="D78" s="61">
        <f t="shared" ref="D78:I78" si="6">D76-D77</f>
        <v>331647545.06000102</v>
      </c>
      <c r="E78" s="61">
        <f t="shared" si="6"/>
        <v>511439841.14999986</v>
      </c>
      <c r="F78" s="61">
        <f t="shared" si="6"/>
        <v>7925049.0800001025</v>
      </c>
      <c r="G78" s="61">
        <f t="shared" si="6"/>
        <v>0</v>
      </c>
      <c r="H78" s="61">
        <f t="shared" si="6"/>
        <v>0</v>
      </c>
      <c r="I78" s="61">
        <f t="shared" si="6"/>
        <v>0</v>
      </c>
      <c r="J78" s="50">
        <f>IF($D$76=0,"",100*$D78/$D$76)</f>
        <v>39.153817596826656</v>
      </c>
      <c r="K78" s="63">
        <f>IF(C78=0,"",100*D78/C78)</f>
        <v>27.627629848397319</v>
      </c>
    </row>
    <row r="79" spans="2:13" ht="20.100000000000001" customHeight="1" x14ac:dyDescent="0.2">
      <c r="B79" s="116" t="str">
        <f>CONCATENATE("Informacja z wykonania budżetów powiatów za ",$D$114," ",$C$115," rok     ",$C$117,"")</f>
        <v xml:space="preserve">Informacja z wykonania budżetów powiatów za II Kwartały 2025 rok     </v>
      </c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</row>
    <row r="80" spans="2:13" x14ac:dyDescent="0.2">
      <c r="B80" s="28" t="s">
        <v>16</v>
      </c>
      <c r="C80" s="95" t="s">
        <v>17</v>
      </c>
      <c r="D80" s="71" t="s">
        <v>1</v>
      </c>
      <c r="E80" s="144" t="s">
        <v>78</v>
      </c>
      <c r="F80" s="145"/>
      <c r="G80" s="145"/>
      <c r="H80" s="145"/>
      <c r="I80" s="146"/>
      <c r="J80" s="18" t="s">
        <v>21</v>
      </c>
      <c r="K80" s="18" t="s">
        <v>22</v>
      </c>
    </row>
    <row r="81" spans="2:11" x14ac:dyDescent="0.2">
      <c r="B81" s="28"/>
      <c r="C81" s="139" t="s">
        <v>52</v>
      </c>
      <c r="D81" s="154"/>
      <c r="E81" s="147"/>
      <c r="F81" s="148"/>
      <c r="G81" s="148"/>
      <c r="H81" s="148"/>
      <c r="I81" s="149"/>
      <c r="J81" s="135" t="s">
        <v>4</v>
      </c>
      <c r="K81" s="136"/>
    </row>
    <row r="82" spans="2:11" x14ac:dyDescent="0.2">
      <c r="B82" s="26">
        <v>1</v>
      </c>
      <c r="C82" s="29">
        <v>2</v>
      </c>
      <c r="D82" s="27">
        <v>3</v>
      </c>
      <c r="E82" s="150"/>
      <c r="F82" s="151"/>
      <c r="G82" s="151"/>
      <c r="H82" s="151"/>
      <c r="I82" s="152"/>
      <c r="J82" s="27">
        <v>4</v>
      </c>
      <c r="K82" s="27">
        <v>5</v>
      </c>
    </row>
    <row r="83" spans="2:11" ht="26.85" customHeight="1" x14ac:dyDescent="0.2">
      <c r="B83" s="104" t="s">
        <v>39</v>
      </c>
      <c r="C83" s="44">
        <f>4899362778.34</f>
        <v>4899362778.3400002</v>
      </c>
      <c r="D83" s="72">
        <f>5968195312.76</f>
        <v>5968195312.7600002</v>
      </c>
      <c r="E83" s="102" t="s">
        <v>78</v>
      </c>
      <c r="F83" s="102" t="s">
        <v>78</v>
      </c>
      <c r="G83" s="102" t="s">
        <v>78</v>
      </c>
      <c r="H83" s="102" t="s">
        <v>78</v>
      </c>
      <c r="I83" s="102" t="s">
        <v>78</v>
      </c>
      <c r="J83" s="45">
        <f>IF($D$83=0,"",100*$D83/$D$83)</f>
        <v>100</v>
      </c>
      <c r="K83" s="39">
        <f t="shared" ref="K83:K97" si="7">IF(C83=0,"",100*D83/C83)</f>
        <v>121.81574589955433</v>
      </c>
    </row>
    <row r="84" spans="2:11" ht="25.5" customHeight="1" x14ac:dyDescent="0.2">
      <c r="B84" s="118" t="s">
        <v>62</v>
      </c>
      <c r="C84" s="46">
        <f>1436727751.43</f>
        <v>1436727751.4300001</v>
      </c>
      <c r="D84" s="98">
        <f>66654915.45</f>
        <v>66654915.450000003</v>
      </c>
      <c r="E84" s="102" t="s">
        <v>78</v>
      </c>
      <c r="F84" s="102" t="s">
        <v>78</v>
      </c>
      <c r="G84" s="102" t="s">
        <v>78</v>
      </c>
      <c r="H84" s="102" t="s">
        <v>78</v>
      </c>
      <c r="I84" s="102" t="s">
        <v>78</v>
      </c>
      <c r="J84" s="47">
        <f t="shared" ref="J84:J93" si="8">IF($D$83=0,"",100*$D84/$D$83)</f>
        <v>1.1168353573733052</v>
      </c>
      <c r="K84" s="48">
        <f t="shared" si="7"/>
        <v>4.6393560216023673</v>
      </c>
    </row>
    <row r="85" spans="2:11" ht="22.5" x14ac:dyDescent="0.2">
      <c r="B85" s="119" t="s">
        <v>63</v>
      </c>
      <c r="C85" s="66">
        <f>104850000</f>
        <v>104850000</v>
      </c>
      <c r="D85" s="56">
        <f>31350000</f>
        <v>31350000</v>
      </c>
      <c r="E85" s="102" t="s">
        <v>78</v>
      </c>
      <c r="F85" s="102" t="s">
        <v>78</v>
      </c>
      <c r="G85" s="102" t="s">
        <v>78</v>
      </c>
      <c r="H85" s="102" t="s">
        <v>78</v>
      </c>
      <c r="I85" s="102" t="s">
        <v>78</v>
      </c>
      <c r="J85" s="67">
        <f t="shared" si="8"/>
        <v>0.52528441776986934</v>
      </c>
      <c r="K85" s="68">
        <f t="shared" si="7"/>
        <v>29.899856938483548</v>
      </c>
    </row>
    <row r="86" spans="2:11" ht="12.95" customHeight="1" x14ac:dyDescent="0.2">
      <c r="B86" s="117" t="s">
        <v>64</v>
      </c>
      <c r="C86" s="66">
        <f>77693175.15</f>
        <v>77693175.150000006</v>
      </c>
      <c r="D86" s="56">
        <f>5261229.15</f>
        <v>5261229.1500000004</v>
      </c>
      <c r="E86" s="102" t="s">
        <v>78</v>
      </c>
      <c r="F86" s="102" t="s">
        <v>78</v>
      </c>
      <c r="G86" s="102" t="s">
        <v>78</v>
      </c>
      <c r="H86" s="102" t="s">
        <v>78</v>
      </c>
      <c r="I86" s="102" t="s">
        <v>78</v>
      </c>
      <c r="J86" s="67">
        <f t="shared" si="8"/>
        <v>8.8154439898297132E-2</v>
      </c>
      <c r="K86" s="68">
        <f t="shared" si="7"/>
        <v>6.7718034947629508</v>
      </c>
    </row>
    <row r="87" spans="2:11" ht="48.75" customHeight="1" x14ac:dyDescent="0.2">
      <c r="B87" s="117" t="s">
        <v>71</v>
      </c>
      <c r="C87" s="66">
        <f>807468571.62</f>
        <v>807468571.62</v>
      </c>
      <c r="D87" s="56">
        <f>2026483935.11</f>
        <v>2026483935.1099999</v>
      </c>
      <c r="E87" s="102" t="s">
        <v>78</v>
      </c>
      <c r="F87" s="102" t="s">
        <v>78</v>
      </c>
      <c r="G87" s="102" t="s">
        <v>78</v>
      </c>
      <c r="H87" s="102" t="s">
        <v>78</v>
      </c>
      <c r="I87" s="102" t="s">
        <v>78</v>
      </c>
      <c r="J87" s="67">
        <f t="shared" si="8"/>
        <v>33.954718787057416</v>
      </c>
      <c r="K87" s="68">
        <f t="shared" si="7"/>
        <v>250.96753066739501</v>
      </c>
    </row>
    <row r="88" spans="2:11" ht="35.25" customHeight="1" x14ac:dyDescent="0.2">
      <c r="B88" s="117" t="s">
        <v>72</v>
      </c>
      <c r="C88" s="66">
        <f>864833559.06</f>
        <v>864833559.05999994</v>
      </c>
      <c r="D88" s="56">
        <f>951507000.21</f>
        <v>951507000.21000004</v>
      </c>
      <c r="E88" s="102" t="s">
        <v>78</v>
      </c>
      <c r="F88" s="102" t="s">
        <v>78</v>
      </c>
      <c r="G88" s="102" t="s">
        <v>78</v>
      </c>
      <c r="H88" s="102" t="s">
        <v>78</v>
      </c>
      <c r="I88" s="102" t="s">
        <v>78</v>
      </c>
      <c r="J88" s="67">
        <f t="shared" si="8"/>
        <v>15.942960147025991</v>
      </c>
      <c r="K88" s="68">
        <f t="shared" si="7"/>
        <v>110.02197940193332</v>
      </c>
    </row>
    <row r="89" spans="2:11" ht="12.95" customHeight="1" x14ac:dyDescent="0.2">
      <c r="B89" s="117" t="s">
        <v>65</v>
      </c>
      <c r="C89" s="66">
        <f>0</f>
        <v>0</v>
      </c>
      <c r="D89" s="56">
        <f>0</f>
        <v>0</v>
      </c>
      <c r="E89" s="102" t="s">
        <v>78</v>
      </c>
      <c r="F89" s="102" t="s">
        <v>78</v>
      </c>
      <c r="G89" s="102" t="s">
        <v>78</v>
      </c>
      <c r="H89" s="102" t="s">
        <v>78</v>
      </c>
      <c r="I89" s="102" t="s">
        <v>78</v>
      </c>
      <c r="J89" s="67">
        <f t="shared" si="8"/>
        <v>0</v>
      </c>
      <c r="K89" s="68" t="str">
        <f t="shared" si="7"/>
        <v/>
      </c>
    </row>
    <row r="90" spans="2:11" ht="33.75" x14ac:dyDescent="0.2">
      <c r="B90" s="117" t="s">
        <v>66</v>
      </c>
      <c r="C90" s="66">
        <f>1595175400.55</f>
        <v>1595175400.55</v>
      </c>
      <c r="D90" s="56">
        <f>2760049072.69</f>
        <v>2760049072.6900001</v>
      </c>
      <c r="E90" s="102" t="s">
        <v>78</v>
      </c>
      <c r="F90" s="102" t="s">
        <v>78</v>
      </c>
      <c r="G90" s="102" t="s">
        <v>78</v>
      </c>
      <c r="H90" s="102" t="s">
        <v>78</v>
      </c>
      <c r="I90" s="102" t="s">
        <v>78</v>
      </c>
      <c r="J90" s="67">
        <f t="shared" si="8"/>
        <v>46.245957580996311</v>
      </c>
      <c r="K90" s="68">
        <f t="shared" si="7"/>
        <v>173.02480164490774</v>
      </c>
    </row>
    <row r="91" spans="2:11" ht="56.25" x14ac:dyDescent="0.2">
      <c r="B91" s="117" t="s">
        <v>93</v>
      </c>
      <c r="C91" s="66">
        <f>0</f>
        <v>0</v>
      </c>
      <c r="D91" s="56">
        <f>17878104.75</f>
        <v>17878104.75</v>
      </c>
      <c r="E91" s="102" t="s">
        <v>78</v>
      </c>
      <c r="F91" s="102" t="s">
        <v>78</v>
      </c>
      <c r="G91" s="102" t="s">
        <v>78</v>
      </c>
      <c r="H91" s="102" t="s">
        <v>78</v>
      </c>
      <c r="I91" s="102" t="s">
        <v>78</v>
      </c>
      <c r="J91" s="67">
        <f t="shared" si="8"/>
        <v>0.29955629487822921</v>
      </c>
      <c r="K91" s="68" t="str">
        <f>IF(C91=0,"",100*D91/C91)</f>
        <v/>
      </c>
    </row>
    <row r="92" spans="2:11" x14ac:dyDescent="0.2">
      <c r="B92" s="117" t="s">
        <v>89</v>
      </c>
      <c r="C92" s="66">
        <f>117464320.53</f>
        <v>117464320.53</v>
      </c>
      <c r="D92" s="56">
        <f>140361055.4</f>
        <v>140361055.40000001</v>
      </c>
      <c r="E92" s="102" t="s">
        <v>78</v>
      </c>
      <c r="F92" s="102" t="s">
        <v>78</v>
      </c>
      <c r="G92" s="102" t="s">
        <v>78</v>
      </c>
      <c r="H92" s="102" t="s">
        <v>78</v>
      </c>
      <c r="I92" s="102" t="s">
        <v>78</v>
      </c>
      <c r="J92" s="67">
        <f t="shared" si="8"/>
        <v>2.3518173927704424</v>
      </c>
      <c r="K92" s="68">
        <f>IF(C92=0,"",100*D92/C92)</f>
        <v>119.49250186498313</v>
      </c>
    </row>
    <row r="93" spans="2:11" ht="23.25" customHeight="1" x14ac:dyDescent="0.2">
      <c r="B93" s="119" t="s">
        <v>90</v>
      </c>
      <c r="C93" s="66">
        <f>112464320.53</f>
        <v>112464320.53</v>
      </c>
      <c r="D93" s="56">
        <f>135361055.4</f>
        <v>135361055.40000001</v>
      </c>
      <c r="E93" s="102" t="s">
        <v>78</v>
      </c>
      <c r="F93" s="102" t="s">
        <v>78</v>
      </c>
      <c r="G93" s="102" t="s">
        <v>78</v>
      </c>
      <c r="H93" s="102" t="s">
        <v>78</v>
      </c>
      <c r="I93" s="102" t="s">
        <v>78</v>
      </c>
      <c r="J93" s="67">
        <f t="shared" si="8"/>
        <v>2.2680399736683903</v>
      </c>
      <c r="K93" s="68">
        <f>IF(C93=0,"",100*D93/C93)</f>
        <v>120.35911012674661</v>
      </c>
    </row>
    <row r="94" spans="2:11" ht="26.85" customHeight="1" x14ac:dyDescent="0.2">
      <c r="B94" s="104" t="s">
        <v>40</v>
      </c>
      <c r="C94" s="51">
        <f>1016894934.49</f>
        <v>1016894934.49</v>
      </c>
      <c r="D94" s="72">
        <f>823295170.69</f>
        <v>823295170.69000006</v>
      </c>
      <c r="E94" s="102" t="s">
        <v>78</v>
      </c>
      <c r="F94" s="102" t="s">
        <v>78</v>
      </c>
      <c r="G94" s="102" t="s">
        <v>78</v>
      </c>
      <c r="H94" s="102" t="s">
        <v>78</v>
      </c>
      <c r="I94" s="102" t="s">
        <v>78</v>
      </c>
      <c r="J94" s="45">
        <f t="shared" ref="J94:J99" si="9">IF($D$94=0,"",100*$D94/$D$94)</f>
        <v>100</v>
      </c>
      <c r="K94" s="39">
        <f t="shared" si="7"/>
        <v>80.961674875773127</v>
      </c>
    </row>
    <row r="95" spans="2:11" ht="33.75" x14ac:dyDescent="0.2">
      <c r="B95" s="118" t="s">
        <v>94</v>
      </c>
      <c r="C95" s="46">
        <f>821786450.74</f>
        <v>821786450.74000001</v>
      </c>
      <c r="D95" s="99">
        <f>363065412.49</f>
        <v>363065412.49000001</v>
      </c>
      <c r="E95" s="102" t="s">
        <v>78</v>
      </c>
      <c r="F95" s="102" t="s">
        <v>78</v>
      </c>
      <c r="G95" s="102" t="s">
        <v>78</v>
      </c>
      <c r="H95" s="102" t="s">
        <v>78</v>
      </c>
      <c r="I95" s="102" t="s">
        <v>78</v>
      </c>
      <c r="J95" s="47">
        <f t="shared" si="9"/>
        <v>44.09905771531691</v>
      </c>
      <c r="K95" s="48">
        <f t="shared" si="7"/>
        <v>44.180019293706756</v>
      </c>
    </row>
    <row r="96" spans="2:11" ht="12.95" customHeight="1" x14ac:dyDescent="0.2">
      <c r="B96" s="119" t="s">
        <v>67</v>
      </c>
      <c r="C96" s="66">
        <f>27440000</f>
        <v>27440000</v>
      </c>
      <c r="D96" s="56">
        <f>3300000</f>
        <v>3300000</v>
      </c>
      <c r="E96" s="102" t="s">
        <v>78</v>
      </c>
      <c r="F96" s="102" t="s">
        <v>78</v>
      </c>
      <c r="G96" s="102" t="s">
        <v>78</v>
      </c>
      <c r="H96" s="102" t="s">
        <v>78</v>
      </c>
      <c r="I96" s="102" t="s">
        <v>78</v>
      </c>
      <c r="J96" s="67">
        <f t="shared" si="9"/>
        <v>0.4008282955473047</v>
      </c>
      <c r="K96" s="68">
        <f t="shared" si="7"/>
        <v>12.026239067055394</v>
      </c>
    </row>
    <row r="97" spans="2:11" ht="12.95" customHeight="1" x14ac:dyDescent="0.2">
      <c r="B97" s="117" t="s">
        <v>76</v>
      </c>
      <c r="C97" s="66">
        <f>135872228.75</f>
        <v>135872228.75</v>
      </c>
      <c r="D97" s="56">
        <f>118667288.58</f>
        <v>118667288.58</v>
      </c>
      <c r="E97" s="102" t="s">
        <v>78</v>
      </c>
      <c r="F97" s="102" t="s">
        <v>78</v>
      </c>
      <c r="G97" s="102" t="s">
        <v>78</v>
      </c>
      <c r="H97" s="102" t="s">
        <v>78</v>
      </c>
      <c r="I97" s="102" t="s">
        <v>78</v>
      </c>
      <c r="J97" s="67">
        <f t="shared" si="9"/>
        <v>14.413699096588344</v>
      </c>
      <c r="K97" s="68">
        <f t="shared" si="7"/>
        <v>87.337412267184874</v>
      </c>
    </row>
    <row r="98" spans="2:11" ht="12.95" customHeight="1" x14ac:dyDescent="0.2">
      <c r="B98" s="117" t="s">
        <v>91</v>
      </c>
      <c r="C98" s="66">
        <f>59236255</f>
        <v>59236255</v>
      </c>
      <c r="D98" s="56">
        <f>341562469.62</f>
        <v>341562469.62</v>
      </c>
      <c r="E98" s="102" t="s">
        <v>78</v>
      </c>
      <c r="F98" s="102" t="s">
        <v>78</v>
      </c>
      <c r="G98" s="102" t="s">
        <v>78</v>
      </c>
      <c r="H98" s="102" t="s">
        <v>78</v>
      </c>
      <c r="I98" s="102" t="s">
        <v>78</v>
      </c>
      <c r="J98" s="67">
        <f t="shared" si="9"/>
        <v>41.487243188094737</v>
      </c>
      <c r="K98" s="68">
        <f>IF(C98=0,"",100*D98/C98)</f>
        <v>576.61050588022488</v>
      </c>
    </row>
    <row r="99" spans="2:11" ht="22.5" x14ac:dyDescent="0.2">
      <c r="B99" s="119" t="s">
        <v>92</v>
      </c>
      <c r="C99" s="66">
        <f>12900053.51</f>
        <v>12900053.51</v>
      </c>
      <c r="D99" s="56">
        <f>3050000</f>
        <v>3050000</v>
      </c>
      <c r="E99" s="102" t="s">
        <v>78</v>
      </c>
      <c r="F99" s="102" t="s">
        <v>78</v>
      </c>
      <c r="G99" s="102" t="s">
        <v>78</v>
      </c>
      <c r="H99" s="102" t="s">
        <v>78</v>
      </c>
      <c r="I99" s="102" t="s">
        <v>78</v>
      </c>
      <c r="J99" s="67">
        <f t="shared" si="9"/>
        <v>0.37046251558159976</v>
      </c>
      <c r="K99" s="68">
        <f>IF(C99=0,"",100*D99/C99)</f>
        <v>23.643312778785521</v>
      </c>
    </row>
    <row r="100" spans="2:11" x14ac:dyDescent="0.2">
      <c r="B100" s="25"/>
    </row>
    <row r="101" spans="2:11" x14ac:dyDescent="0.2">
      <c r="B101" s="52" t="s">
        <v>16</v>
      </c>
      <c r="C101" s="79" t="s">
        <v>17</v>
      </c>
      <c r="D101" s="18" t="s">
        <v>1</v>
      </c>
    </row>
    <row r="102" spans="2:11" x14ac:dyDescent="0.2">
      <c r="B102" s="52"/>
      <c r="C102" s="137" t="s">
        <v>52</v>
      </c>
      <c r="D102" s="137"/>
    </row>
    <row r="103" spans="2:11" x14ac:dyDescent="0.2">
      <c r="B103" s="26">
        <v>1</v>
      </c>
      <c r="C103" s="27">
        <v>2</v>
      </c>
      <c r="D103" s="27">
        <v>3</v>
      </c>
    </row>
    <row r="104" spans="2:11" ht="36" customHeight="1" x14ac:dyDescent="0.2">
      <c r="B104" s="53" t="s">
        <v>95</v>
      </c>
      <c r="C104" s="49">
        <f>3911800483.51</f>
        <v>3911800483.5100002</v>
      </c>
      <c r="D104" s="96">
        <f>0</f>
        <v>0</v>
      </c>
    </row>
    <row r="105" spans="2:11" ht="35.25" customHeight="1" x14ac:dyDescent="0.2">
      <c r="B105" s="120" t="s">
        <v>54</v>
      </c>
      <c r="C105" s="66">
        <f>85890901.42</f>
        <v>85890901.420000002</v>
      </c>
      <c r="D105" s="56">
        <f>0</f>
        <v>0</v>
      </c>
    </row>
    <row r="106" spans="2:11" ht="12.95" customHeight="1" x14ac:dyDescent="0.2">
      <c r="B106" s="120" t="s">
        <v>55</v>
      </c>
      <c r="C106" s="66">
        <f>1002035847.01</f>
        <v>1002035847.01</v>
      </c>
      <c r="D106" s="56">
        <f>0</f>
        <v>0</v>
      </c>
    </row>
    <row r="107" spans="2:11" ht="24" customHeight="1" x14ac:dyDescent="0.2">
      <c r="B107" s="120" t="s">
        <v>56</v>
      </c>
      <c r="C107" s="66">
        <f>0</f>
        <v>0</v>
      </c>
      <c r="D107" s="56">
        <f>0</f>
        <v>0</v>
      </c>
    </row>
    <row r="108" spans="2:11" ht="57.75" customHeight="1" x14ac:dyDescent="0.2">
      <c r="B108" s="120" t="s">
        <v>73</v>
      </c>
      <c r="C108" s="66">
        <f>716818541.47</f>
        <v>716818541.47000003</v>
      </c>
      <c r="D108" s="56">
        <f>0</f>
        <v>0</v>
      </c>
    </row>
    <row r="109" spans="2:11" ht="81" customHeight="1" x14ac:dyDescent="0.2">
      <c r="B109" s="120" t="s">
        <v>57</v>
      </c>
      <c r="C109" s="66">
        <f>1168895513.04</f>
        <v>1168895513.04</v>
      </c>
      <c r="D109" s="56">
        <f>0</f>
        <v>0</v>
      </c>
    </row>
    <row r="110" spans="2:11" ht="149.25" customHeight="1" x14ac:dyDescent="0.2">
      <c r="B110" s="120" t="s">
        <v>74</v>
      </c>
      <c r="C110" s="66">
        <f>820314259.01</f>
        <v>820314259.00999999</v>
      </c>
      <c r="D110" s="56">
        <f>0</f>
        <v>0</v>
      </c>
    </row>
    <row r="111" spans="2:11" ht="25.5" customHeight="1" x14ac:dyDescent="0.2">
      <c r="B111" s="120" t="s">
        <v>75</v>
      </c>
      <c r="C111" s="66">
        <f>28566299.63</f>
        <v>28566299.629999999</v>
      </c>
      <c r="D111" s="56">
        <f>0</f>
        <v>0</v>
      </c>
    </row>
    <row r="112" spans="2:11" ht="25.5" customHeight="1" x14ac:dyDescent="0.2">
      <c r="B112" s="128" t="s">
        <v>90</v>
      </c>
      <c r="C112" s="66">
        <f>89279121.93</f>
        <v>89279121.930000007</v>
      </c>
      <c r="D112" s="56">
        <f>0</f>
        <v>0</v>
      </c>
    </row>
    <row r="114" spans="2:4" ht="10.5" customHeight="1" x14ac:dyDescent="0.2">
      <c r="B114" s="24" t="s">
        <v>41</v>
      </c>
      <c r="C114" s="24">
        <f>2</f>
        <v>2</v>
      </c>
      <c r="D114" s="24" t="str">
        <f>IF(C114=1,"I Kwartał",IF(C114=2,"II Kwartały",IF(C114=3,"III Kwartały",IF(C114=4,"IV Kwartały",IF(C114="M1","Styczeń",IF(C114="M11","Listopad",IF(C114="M12","Grudzień","-")))))))</f>
        <v>II Kwartały</v>
      </c>
    </row>
    <row r="115" spans="2:4" ht="10.5" customHeight="1" x14ac:dyDescent="0.2">
      <c r="B115" s="24" t="s">
        <v>42</v>
      </c>
      <c r="C115" s="100">
        <f>2025</f>
        <v>2025</v>
      </c>
      <c r="D115" s="25"/>
    </row>
    <row r="116" spans="2:4" ht="12" customHeight="1" x14ac:dyDescent="0.2">
      <c r="B116" s="24" t="s">
        <v>43</v>
      </c>
      <c r="C116" s="142" t="str">
        <f>"Aug 15 2025 12:00AM"</f>
        <v>Aug 15 2025 12:00AM</v>
      </c>
      <c r="D116" s="143"/>
    </row>
    <row r="117" spans="2:4" ht="9.75" hidden="1" customHeight="1" x14ac:dyDescent="0.2">
      <c r="B117" s="24" t="s">
        <v>47</v>
      </c>
      <c r="C117" s="101" t="str">
        <f>""</f>
        <v/>
      </c>
      <c r="D117" s="25"/>
    </row>
  </sheetData>
  <mergeCells count="28">
    <mergeCell ref="B69:B70"/>
    <mergeCell ref="C69:D69"/>
    <mergeCell ref="E69:F69"/>
    <mergeCell ref="J3:L3"/>
    <mergeCell ref="E3:I4"/>
    <mergeCell ref="B64:B65"/>
    <mergeCell ref="C64:D64"/>
    <mergeCell ref="E64:F64"/>
    <mergeCell ref="B2:B3"/>
    <mergeCell ref="C45:C47"/>
    <mergeCell ref="B45:B48"/>
    <mergeCell ref="I45:I47"/>
    <mergeCell ref="C48:I48"/>
    <mergeCell ref="C3:D3"/>
    <mergeCell ref="C116:D116"/>
    <mergeCell ref="E80:I82"/>
    <mergeCell ref="F45:H45"/>
    <mergeCell ref="G46:H46"/>
    <mergeCell ref="C81:D81"/>
    <mergeCell ref="C102:D102"/>
    <mergeCell ref="J81:K81"/>
    <mergeCell ref="D45:D47"/>
    <mergeCell ref="E45:E47"/>
    <mergeCell ref="F46:F47"/>
    <mergeCell ref="I60:J60"/>
    <mergeCell ref="K45:K47"/>
    <mergeCell ref="J45:J47"/>
    <mergeCell ref="J48:K48"/>
  </mergeCells>
  <phoneticPr fontId="0" type="noConversion"/>
  <pageMargins left="0.19685039370078741" right="0.19685039370078741" top="0.35433070866141736" bottom="0.39370078740157483" header="0.31496062992125984" footer="0.19685039370078741"/>
  <pageSetup paperSize="9" scale="85" orientation="landscape" useFirstPageNumber="1" r:id="rId1"/>
  <headerFooter alignWithMargins="0">
    <oddFooter>&amp;RStrona &amp;P z &amp;N</oddFooter>
  </headerFooter>
  <rowBreaks count="4" manualBreakCount="4">
    <brk id="34" min="1" max="11" man="1"/>
    <brk id="42" max="16383" man="1"/>
    <brk id="78" max="16383" man="1"/>
    <brk id="100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2025-02-07T10:19:37Z</cp:lastPrinted>
  <dcterms:created xsi:type="dcterms:W3CDTF">2001-05-17T08:58:03Z</dcterms:created>
  <dcterms:modified xsi:type="dcterms:W3CDTF">2025-08-21T11:42:02Z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2022-06-01T15:12:20.5504483+02:00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GRN-bdb4f178-0504-4a7c-baaa-5bdd997b4a6c</vt:lpwstr>
  </property>
  <property fmtid="{D5CDD505-2E9C-101B-9397-08002B2CF9AE}" pid="7" name="MFHash">
    <vt:lpwstr>cvgFc3qUTZFJKNGd/QdKw5m28phCkq0fuCyZvwRduGg=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