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'doch_wyd'!$A$1:$L$91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<sst xmlns="http://schemas.openxmlformats.org/spreadsheetml/2006/main" count="107" uniqueCount="84">
  <si>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</si>
  <si>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</si>
  <si>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</si>
  <si>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</si>
  <si>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</si>
  <si>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</si>
  <si>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</si>
  <si>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</si>
  <si>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</si>
  <si>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</si>
  <si>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</si>
  <si>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</si>
  <si>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</si>
  <si>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</si>
  <si>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</si>
  <si>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</si>
  <si>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</si>
  <si>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</si>
  <si>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</si>
  <si>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</si>
  <si>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</si>
  <si>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</si>
  <si>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</si>
  <si>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</si>
  <si>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</si>
  <si>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</si>
  <si>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pozostałe wydatki</t>
  </si>
  <si>
    <t>wydatki na obsługę długu</t>
  </si>
  <si>
    <t>dotacje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</si>
  <si>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</si>
  <si>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</si>
  <si>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</si>
  <si>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</si>
  <si>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</si>
  <si>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</si>
  <si>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</si>
  <si>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</si>
  <si>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</si>
  <si>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</si>
  <si>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</si>
  <si>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</si>
  <si>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</si>
  <si>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</si>
  <si>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</si>
  <si>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</si>
  <si>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</si>
  <si>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</si>
  <si>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</si>
  <si>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</si>
  <si>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</si>
  <si>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</si>
  <si>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</si>
  <si>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</si>
  <si>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</si>
  <si>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</si>
  <si>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</si>
  <si>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</si>
  <si>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</si>
  <si>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</si>
  <si>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</si>
  <si>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</si>
  <si>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</si>
  <si>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</si>
  <si>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</si>
  <si>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</si>
  <si>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</si>
  <si>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</si>
  <si>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</si>
  <si>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</si>
  <si>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</si>
  <si>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</si>
  <si>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</si>
  <si>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</si>
  <si>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</si>
  <si>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</si>
  <si>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</si>
  <si>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</si>
  <si>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</si>
  <si>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</si>
  <si>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</si>
  <si>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</si>
  <si>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</si>
  <si>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 xml:space="preserve">wydatki na wynagrodzenia i pochodne od wynagrodzeń </t>
  </si>
  <si>
    <t xml:space="preserve">Informacja z wykonania budżetów związków jednostek samorządu terytorialnego za IV Kwartały 2019 rok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</si>
</sst>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56" fillId="0" borderId="19" xfId="89" applyFont="1" applyFill="1" applyBorder="1" applyAlignment="1">
      <alignment horizontal="left" vertical="center" wrapText="1"/>
      <protection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10" fillId="51" borderId="19" xfId="0" applyNumberFormat="1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4" fontId="6" fillId="40" borderId="2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3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13.5" customHeight="1">
      <c r="B1" s="109" t="s">
        <v>83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ht="13.5" customHeight="1"/>
    <row r="3" spans="2:8" ht="66.75" customHeight="1">
      <c r="B3" s="97" t="s">
        <v>0</v>
      </c>
      <c r="C3" s="49" t="s">
        <v>66</v>
      </c>
      <c r="D3" s="49" t="s">
        <v>67</v>
      </c>
      <c r="E3" s="49" t="s">
        <v>68</v>
      </c>
      <c r="F3" s="51" t="s">
        <v>2</v>
      </c>
      <c r="G3" s="49" t="s">
        <v>18</v>
      </c>
      <c r="H3" s="49" t="s">
        <v>3</v>
      </c>
    </row>
    <row r="4" spans="2:8" ht="12.75">
      <c r="B4" s="97"/>
      <c r="C4" s="96" t="s">
        <v>39</v>
      </c>
      <c r="D4" s="96"/>
      <c r="E4" s="96"/>
      <c r="F4" s="96" t="s">
        <v>4</v>
      </c>
      <c r="G4" s="96"/>
      <c r="H4" s="96"/>
    </row>
    <row r="5" spans="2:8" ht="12.75">
      <c r="B5" s="51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</row>
    <row r="6" spans="2:8" ht="18.75" customHeight="1">
      <c r="B6" s="64" t="s">
        <v>5</v>
      </c>
      <c r="C6" s="65">
        <f>2763301454.49</f>
        <v>2763301454.49</v>
      </c>
      <c r="D6" s="65">
        <f>2624789185.76</f>
        <v>2624789185.76</v>
      </c>
      <c r="E6" s="65">
        <f>2561175733.15</f>
        <v>2561175733.15</v>
      </c>
      <c r="F6" s="66">
        <f aca="true" t="shared" si="0" ref="F6:F31">IF($D$6=0,"",100*$D6/$D$6)</f>
        <v>100</v>
      </c>
      <c r="G6" s="66">
        <f>IF(C6=0,"",100*D6/C6)</f>
        <v>94.98743546401948</v>
      </c>
      <c r="H6" s="66"/>
    </row>
    <row r="7" spans="2:8" ht="22.5">
      <c r="B7" s="52" t="s">
        <v>29</v>
      </c>
      <c r="C7" s="15">
        <f>C6-C10</f>
        <v>2533506810.81</v>
      </c>
      <c r="D7" s="15">
        <f>D6-D10</f>
        <v>2448425118.6800003</v>
      </c>
      <c r="E7" s="15">
        <f>E6-E10</f>
        <v>2408745436.29</v>
      </c>
      <c r="F7" s="19">
        <f t="shared" si="0"/>
        <v>93.28082925528611</v>
      </c>
      <c r="G7" s="19">
        <f aca="true" t="shared" si="1" ref="G7:G31">IF(C7=0,"",100*D7/C7)</f>
        <v>96.64174211938283</v>
      </c>
      <c r="H7" s="19">
        <f>IF($D$7=0,"",100*$D7/$D$7)</f>
        <v>100</v>
      </c>
    </row>
    <row r="8" spans="2:8" ht="12.75">
      <c r="B8" s="67" t="s">
        <v>19</v>
      </c>
      <c r="C8" s="68">
        <f>48887597.44</f>
        <v>48887597.44</v>
      </c>
      <c r="D8" s="69">
        <f>53566804.35</f>
        <v>53566804.35</v>
      </c>
      <c r="E8" s="68">
        <f>53376383.57</f>
        <v>53376383.57</v>
      </c>
      <c r="F8" s="20">
        <f t="shared" si="0"/>
        <v>2.0408040630695408</v>
      </c>
      <c r="G8" s="20">
        <f t="shared" si="1"/>
        <v>109.57135788017159</v>
      </c>
      <c r="H8" s="20">
        <f>IF($D$7=0,"",100*$D8/$D$7)</f>
        <v>2.1878065186195705</v>
      </c>
    </row>
    <row r="9" spans="2:8" ht="12.75">
      <c r="B9" s="67" t="s">
        <v>20</v>
      </c>
      <c r="C9" s="68">
        <f>C7-C8</f>
        <v>2484619213.37</v>
      </c>
      <c r="D9" s="68">
        <f>D7-D8</f>
        <v>2394858314.3300004</v>
      </c>
      <c r="E9" s="68">
        <f>E7-E8</f>
        <v>2355369052.72</v>
      </c>
      <c r="F9" s="20">
        <f t="shared" si="0"/>
        <v>91.24002519221656</v>
      </c>
      <c r="G9" s="20">
        <f t="shared" si="1"/>
        <v>96.38733780383784</v>
      </c>
      <c r="H9" s="20">
        <f>IF($D$7=0,"",100*$D9/$D$7)</f>
        <v>97.81219348138043</v>
      </c>
    </row>
    <row r="10" spans="2:8" ht="22.5">
      <c r="B10" s="64" t="s">
        <v>69</v>
      </c>
      <c r="C10" s="65">
        <f>C11+C24+C26</f>
        <v>229794643.67999998</v>
      </c>
      <c r="D10" s="65">
        <f>D11+D24+D26</f>
        <v>176364067.08</v>
      </c>
      <c r="E10" s="65">
        <f>E11+E24+E26</f>
        <v>152430296.86</v>
      </c>
      <c r="F10" s="66">
        <f t="shared" si="0"/>
        <v>6.719170744713895</v>
      </c>
      <c r="G10" s="66">
        <f t="shared" si="1"/>
        <v>76.74855438562588</v>
      </c>
      <c r="H10" s="70"/>
    </row>
    <row r="11" spans="2:8" ht="22.5">
      <c r="B11" s="64" t="s">
        <v>30</v>
      </c>
      <c r="C11" s="65">
        <f>C12+C14+C16+C18+C20+C22</f>
        <v>16383992.61</v>
      </c>
      <c r="D11" s="65">
        <f>D12+D14+D16+D18+D20+D22</f>
        <v>14800971.78</v>
      </c>
      <c r="E11" s="65">
        <f>E12+E14+E16+E18+E20+E22</f>
        <v>14947861.730000002</v>
      </c>
      <c r="F11" s="66">
        <f t="shared" si="0"/>
        <v>0.5638918302581478</v>
      </c>
      <c r="G11" s="66">
        <f t="shared" si="1"/>
        <v>90.3380032713528</v>
      </c>
      <c r="H11" s="17"/>
    </row>
    <row r="12" spans="2:8" ht="22.5">
      <c r="B12" s="67" t="s">
        <v>9</v>
      </c>
      <c r="C12" s="68">
        <f>0</f>
        <v>0</v>
      </c>
      <c r="D12" s="68">
        <f>0</f>
        <v>0</v>
      </c>
      <c r="E12" s="68">
        <f>0</f>
        <v>0</v>
      </c>
      <c r="F12" s="20">
        <f t="shared" si="0"/>
        <v>0</v>
      </c>
      <c r="G12" s="20">
        <f t="shared" si="1"/>
      </c>
      <c r="H12" s="17"/>
    </row>
    <row r="13" spans="2:8" ht="12.75">
      <c r="B13" s="71" t="s">
        <v>6</v>
      </c>
      <c r="C13" s="68">
        <f>0</f>
        <v>0</v>
      </c>
      <c r="D13" s="68">
        <f>0</f>
        <v>0</v>
      </c>
      <c r="E13" s="68">
        <f>0</f>
        <v>0</v>
      </c>
      <c r="F13" s="20">
        <f t="shared" si="0"/>
        <v>0</v>
      </c>
      <c r="G13" s="20">
        <f t="shared" si="1"/>
      </c>
      <c r="H13" s="17"/>
    </row>
    <row r="14" spans="2:8" ht="12.75">
      <c r="B14" s="67" t="s">
        <v>7</v>
      </c>
      <c r="C14" s="68">
        <f>0</f>
        <v>0</v>
      </c>
      <c r="D14" s="68">
        <f>0</f>
        <v>0</v>
      </c>
      <c r="E14" s="68">
        <f>0</f>
        <v>0</v>
      </c>
      <c r="F14" s="20">
        <f t="shared" si="0"/>
        <v>0</v>
      </c>
      <c r="G14" s="20">
        <f t="shared" si="1"/>
      </c>
      <c r="H14" s="17"/>
    </row>
    <row r="15" spans="2:8" ht="12.75">
      <c r="B15" s="71" t="s">
        <v>6</v>
      </c>
      <c r="C15" s="68">
        <f>0</f>
        <v>0</v>
      </c>
      <c r="D15" s="68">
        <f>0</f>
        <v>0</v>
      </c>
      <c r="E15" s="68">
        <f>0</f>
        <v>0</v>
      </c>
      <c r="F15" s="20">
        <f t="shared" si="0"/>
        <v>0</v>
      </c>
      <c r="G15" s="20">
        <f t="shared" si="1"/>
      </c>
      <c r="H15" s="17"/>
    </row>
    <row r="16" spans="2:8" ht="33.75">
      <c r="B16" s="67" t="s">
        <v>10</v>
      </c>
      <c r="C16" s="68">
        <f>0</f>
        <v>0</v>
      </c>
      <c r="D16" s="68">
        <f>0</f>
        <v>0</v>
      </c>
      <c r="E16" s="68">
        <f>0</f>
        <v>0</v>
      </c>
      <c r="F16" s="20">
        <f t="shared" si="0"/>
        <v>0</v>
      </c>
      <c r="G16" s="20">
        <f t="shared" si="1"/>
      </c>
      <c r="H16" s="17"/>
    </row>
    <row r="17" spans="2:8" ht="12.75">
      <c r="B17" s="71" t="s">
        <v>6</v>
      </c>
      <c r="C17" s="68">
        <f>0</f>
        <v>0</v>
      </c>
      <c r="D17" s="68">
        <f>0</f>
        <v>0</v>
      </c>
      <c r="E17" s="68">
        <f>0</f>
        <v>0</v>
      </c>
      <c r="F17" s="20">
        <f t="shared" si="0"/>
        <v>0</v>
      </c>
      <c r="G17" s="20">
        <f t="shared" si="1"/>
      </c>
      <c r="H17" s="17"/>
    </row>
    <row r="18" spans="2:8" ht="22.5">
      <c r="B18" s="72" t="s">
        <v>11</v>
      </c>
      <c r="C18" s="68">
        <f>14359750.29</f>
        <v>14359750.29</v>
      </c>
      <c r="D18" s="68">
        <f>12894012.5</f>
        <v>12894012.5</v>
      </c>
      <c r="E18" s="68">
        <f>13151030.46</f>
        <v>13151030.46</v>
      </c>
      <c r="F18" s="20">
        <f t="shared" si="0"/>
        <v>0.49123992776077274</v>
      </c>
      <c r="G18" s="20">
        <f t="shared" si="1"/>
        <v>89.79273482895643</v>
      </c>
      <c r="H18" s="17"/>
    </row>
    <row r="19" spans="2:8" ht="13.5" customHeight="1">
      <c r="B19" s="71" t="s">
        <v>6</v>
      </c>
      <c r="C19" s="68">
        <f>121157</f>
        <v>121157</v>
      </c>
      <c r="D19" s="68">
        <f>0</f>
        <v>0</v>
      </c>
      <c r="E19" s="68">
        <f>0</f>
        <v>0</v>
      </c>
      <c r="F19" s="20">
        <f t="shared" si="0"/>
        <v>0</v>
      </c>
      <c r="G19" s="20">
        <f t="shared" si="1"/>
        <v>0</v>
      </c>
      <c r="H19" s="17"/>
    </row>
    <row r="20" spans="2:8" ht="34.5" customHeight="1">
      <c r="B20" s="72" t="s">
        <v>40</v>
      </c>
      <c r="C20" s="68">
        <f>2019676.92</f>
        <v>2019676.92</v>
      </c>
      <c r="D20" s="68">
        <f>1902393.88</f>
        <v>1902393.88</v>
      </c>
      <c r="E20" s="68">
        <f>1792265.87</f>
        <v>1792265.87</v>
      </c>
      <c r="F20" s="20">
        <f t="shared" si="0"/>
        <v>0.07247796852870557</v>
      </c>
      <c r="G20" s="20">
        <f t="shared" si="1"/>
        <v>94.1929801326838</v>
      </c>
      <c r="H20" s="17"/>
    </row>
    <row r="21" spans="2:8" ht="12.75">
      <c r="B21" s="71" t="s">
        <v>6</v>
      </c>
      <c r="C21" s="68">
        <f>1559400</f>
        <v>1559400</v>
      </c>
      <c r="D21" s="68">
        <f>1425400</f>
        <v>1425400</v>
      </c>
      <c r="E21" s="68">
        <f>1395400</f>
        <v>1395400</v>
      </c>
      <c r="F21" s="20">
        <f t="shared" si="0"/>
        <v>0.05430531365082866</v>
      </c>
      <c r="G21" s="20">
        <f t="shared" si="1"/>
        <v>91.40695139156085</v>
      </c>
      <c r="H21" s="17"/>
    </row>
    <row r="22" spans="2:8" ht="12.75">
      <c r="B22" s="67" t="s">
        <v>8</v>
      </c>
      <c r="C22" s="68">
        <f>4565.4</f>
        <v>4565.4</v>
      </c>
      <c r="D22" s="68">
        <f>4565.4</f>
        <v>4565.4</v>
      </c>
      <c r="E22" s="68">
        <f>4565.4</f>
        <v>4565.4</v>
      </c>
      <c r="F22" s="20">
        <f t="shared" si="0"/>
        <v>0.0001739339686694915</v>
      </c>
      <c r="G22" s="20">
        <f t="shared" si="1"/>
        <v>100</v>
      </c>
      <c r="H22" s="17"/>
    </row>
    <row r="23" spans="2:8" ht="13.5" customHeight="1">
      <c r="B23" s="71" t="s">
        <v>6</v>
      </c>
      <c r="C23" s="68">
        <f>0</f>
        <v>0</v>
      </c>
      <c r="D23" s="68">
        <f>0</f>
        <v>0</v>
      </c>
      <c r="E23" s="68">
        <f>0</f>
        <v>0</v>
      </c>
      <c r="F23" s="20">
        <f t="shared" si="0"/>
        <v>0</v>
      </c>
      <c r="G23" s="20">
        <f t="shared" si="1"/>
      </c>
      <c r="H23" s="17"/>
    </row>
    <row r="24" spans="1:13" s="5" customFormat="1" ht="13.5" customHeight="1">
      <c r="A24" s="2"/>
      <c r="B24" s="64" t="s">
        <v>38</v>
      </c>
      <c r="C24" s="15">
        <f>17001461.34</f>
        <v>17001461.34</v>
      </c>
      <c r="D24" s="15">
        <f>16453079.28</f>
        <v>16453079.28</v>
      </c>
      <c r="E24" s="15">
        <f>10143336.25</f>
        <v>10143336.25</v>
      </c>
      <c r="F24" s="19">
        <f t="shared" si="0"/>
        <v>0.626834313752175</v>
      </c>
      <c r="G24" s="19">
        <f t="shared" si="1"/>
        <v>96.7745004442071</v>
      </c>
      <c r="H24" s="53"/>
      <c r="I24" s="12"/>
      <c r="J24" s="12"/>
      <c r="K24" s="9"/>
      <c r="L24" s="9"/>
      <c r="M24" s="3"/>
    </row>
    <row r="25" spans="1:13" s="5" customFormat="1" ht="12.75">
      <c r="A25" s="2"/>
      <c r="B25" s="18" t="s">
        <v>37</v>
      </c>
      <c r="C25" s="14">
        <f>16061242.69</f>
        <v>16061242.69</v>
      </c>
      <c r="D25" s="14">
        <f>15677404.25</f>
        <v>15677404.25</v>
      </c>
      <c r="E25" s="14">
        <f>9367661.22</f>
        <v>9367661.22</v>
      </c>
      <c r="F25" s="20">
        <f t="shared" si="0"/>
        <v>0.5972824154813275</v>
      </c>
      <c r="G25" s="20">
        <f t="shared" si="1"/>
        <v>97.61015727482292</v>
      </c>
      <c r="H25" s="53"/>
      <c r="I25" s="12"/>
      <c r="J25" s="12"/>
      <c r="K25" s="9"/>
      <c r="L25" s="9"/>
      <c r="M25" s="3"/>
    </row>
    <row r="26" spans="1:13" s="5" customFormat="1" ht="13.5" customHeight="1">
      <c r="A26" s="2"/>
      <c r="B26" s="64" t="s">
        <v>55</v>
      </c>
      <c r="C26" s="73">
        <f>196409189.73</f>
        <v>196409189.73</v>
      </c>
      <c r="D26" s="73">
        <f>145110016.02</f>
        <v>145110016.02</v>
      </c>
      <c r="E26" s="73">
        <f>127339098.88</f>
        <v>127339098.88</v>
      </c>
      <c r="F26" s="74">
        <f t="shared" si="0"/>
        <v>5.5284446007035735</v>
      </c>
      <c r="G26" s="74">
        <f t="shared" si="1"/>
        <v>73.88147989382779</v>
      </c>
      <c r="H26" s="53"/>
      <c r="I26" s="12"/>
      <c r="J26" s="12"/>
      <c r="K26" s="9"/>
      <c r="L26" s="9"/>
      <c r="M26" s="3"/>
    </row>
    <row r="27" spans="1:13" s="5" customFormat="1" ht="13.5" customHeight="1">
      <c r="A27" s="2"/>
      <c r="B27" s="18" t="s">
        <v>56</v>
      </c>
      <c r="C27" s="14">
        <f>175263191.94</f>
        <v>175263191.94</v>
      </c>
      <c r="D27" s="14">
        <f>126680778.77</f>
        <v>126680778.77</v>
      </c>
      <c r="E27" s="14">
        <f>108909861.63</f>
        <v>108909861.63</v>
      </c>
      <c r="F27" s="20">
        <f t="shared" si="0"/>
        <v>4.826322032156649</v>
      </c>
      <c r="G27" s="20">
        <f t="shared" si="1"/>
        <v>72.28031018251008</v>
      </c>
      <c r="H27" s="53"/>
      <c r="I27" s="12"/>
      <c r="J27" s="12"/>
      <c r="K27" s="9"/>
      <c r="L27" s="9"/>
      <c r="M27" s="3"/>
    </row>
    <row r="28" spans="1:13" s="5" customFormat="1" ht="8.25" customHeight="1">
      <c r="A28" s="2"/>
      <c r="B28" s="43"/>
      <c r="C28" s="45"/>
      <c r="D28" s="45"/>
      <c r="E28" s="45"/>
      <c r="F28" s="45">
        <f t="shared" si="0"/>
        <v>0</v>
      </c>
      <c r="G28" s="45">
        <f t="shared" si="1"/>
      </c>
      <c r="H28" s="53"/>
      <c r="I28" s="12"/>
      <c r="J28" s="12"/>
      <c r="K28" s="9"/>
      <c r="L28" s="9"/>
      <c r="M28" s="3"/>
    </row>
    <row r="29" spans="1:13" s="5" customFormat="1" ht="13.5" customHeight="1">
      <c r="A29" s="2"/>
      <c r="B29" s="64" t="s">
        <v>5</v>
      </c>
      <c r="C29" s="73">
        <f>+C6</f>
        <v>2763301454.49</v>
      </c>
      <c r="D29" s="73">
        <f>+D6</f>
        <v>2624789185.76</v>
      </c>
      <c r="E29" s="73">
        <f>+E6</f>
        <v>2561175733.15</v>
      </c>
      <c r="F29" s="74">
        <f t="shared" si="0"/>
        <v>100</v>
      </c>
      <c r="G29" s="74">
        <f t="shared" si="1"/>
        <v>94.98743546401948</v>
      </c>
      <c r="H29" s="53"/>
      <c r="I29" s="12"/>
      <c r="J29" s="12"/>
      <c r="K29" s="9"/>
      <c r="L29" s="9"/>
      <c r="M29" s="3"/>
    </row>
    <row r="30" spans="1:13" s="5" customFormat="1" ht="13.5" customHeight="1">
      <c r="A30" s="2"/>
      <c r="B30" s="46" t="s">
        <v>57</v>
      </c>
      <c r="C30" s="14">
        <f>301856660.18</f>
        <v>301856660.18</v>
      </c>
      <c r="D30" s="14">
        <f>235254508.74</f>
        <v>235254508.74</v>
      </c>
      <c r="E30" s="14">
        <f>208814409.24</f>
        <v>208814409.24</v>
      </c>
      <c r="F30" s="20">
        <f t="shared" si="0"/>
        <v>8.962796327274669</v>
      </c>
      <c r="G30" s="20">
        <f t="shared" si="1"/>
        <v>77.93583504161064</v>
      </c>
      <c r="H30" s="53"/>
      <c r="I30" s="12"/>
      <c r="J30" s="12"/>
      <c r="K30" s="9"/>
      <c r="L30" s="9"/>
      <c r="M30" s="3"/>
    </row>
    <row r="31" spans="1:13" s="5" customFormat="1" ht="13.5" customHeight="1">
      <c r="A31" s="2"/>
      <c r="B31" s="46" t="s">
        <v>58</v>
      </c>
      <c r="C31" s="14">
        <f>C29-C30</f>
        <v>2461444794.31</v>
      </c>
      <c r="D31" s="14">
        <f>D29-D30</f>
        <v>2389534677.0200005</v>
      </c>
      <c r="E31" s="14">
        <f>E29-E30</f>
        <v>2352361323.91</v>
      </c>
      <c r="F31" s="20">
        <f t="shared" si="0"/>
        <v>91.03720367272534</v>
      </c>
      <c r="G31" s="20">
        <f t="shared" si="1"/>
        <v>97.07854031679969</v>
      </c>
      <c r="H31" s="53"/>
      <c r="I31" s="12"/>
      <c r="J31" s="12"/>
      <c r="K31" s="9"/>
      <c r="L31" s="9"/>
      <c r="M31" s="3"/>
    </row>
    <row r="32" spans="1:13" s="5" customFormat="1" ht="6.75" customHeight="1">
      <c r="A32" s="2"/>
      <c r="B32" s="43"/>
      <c r="C32" s="7"/>
      <c r="D32" s="8"/>
      <c r="E32" s="8"/>
      <c r="F32" s="12"/>
      <c r="G32" s="12"/>
      <c r="H32" s="12"/>
      <c r="I32" s="12"/>
      <c r="J32" s="12"/>
      <c r="K32" s="9"/>
      <c r="L32" s="9"/>
      <c r="M32" s="3"/>
    </row>
    <row r="33" spans="2:13" ht="22.5" customHeight="1">
      <c r="B33" s="109" t="s">
        <v>83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63"/>
    </row>
    <row r="34" spans="2:13" s="5" customFormat="1" ht="6" customHeight="1" hidden="1">
      <c r="B34" s="6"/>
      <c r="C34" s="7"/>
      <c r="D34" s="8"/>
      <c r="E34" s="8"/>
      <c r="F34" s="4"/>
      <c r="G34" s="4"/>
      <c r="H34" s="4"/>
      <c r="I34" s="4"/>
      <c r="J34" s="4"/>
      <c r="K34" s="9"/>
      <c r="L34" s="9"/>
      <c r="M34" s="3"/>
    </row>
    <row r="35" spans="2:27" ht="29.25" customHeight="1">
      <c r="B35" s="97" t="s">
        <v>0</v>
      </c>
      <c r="C35" s="91" t="s">
        <v>59</v>
      </c>
      <c r="D35" s="91" t="s">
        <v>60</v>
      </c>
      <c r="E35" s="91" t="s">
        <v>61</v>
      </c>
      <c r="F35" s="91" t="s">
        <v>12</v>
      </c>
      <c r="G35" s="91"/>
      <c r="H35" s="91"/>
      <c r="I35" s="91" t="s">
        <v>62</v>
      </c>
      <c r="J35" s="91"/>
      <c r="K35" s="91" t="s">
        <v>2</v>
      </c>
      <c r="L35" s="117" t="s">
        <v>25</v>
      </c>
      <c r="M35" s="4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18" customHeight="1">
      <c r="B36" s="97"/>
      <c r="C36" s="91"/>
      <c r="D36" s="95"/>
      <c r="E36" s="91"/>
      <c r="F36" s="98" t="s">
        <v>63</v>
      </c>
      <c r="G36" s="99" t="s">
        <v>24</v>
      </c>
      <c r="H36" s="95"/>
      <c r="I36" s="91"/>
      <c r="J36" s="91"/>
      <c r="K36" s="91"/>
      <c r="L36" s="117"/>
      <c r="M36" s="57"/>
      <c r="N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36" customHeight="1">
      <c r="B37" s="97"/>
      <c r="C37" s="91"/>
      <c r="D37" s="95"/>
      <c r="E37" s="91"/>
      <c r="F37" s="95"/>
      <c r="G37" s="48" t="s">
        <v>64</v>
      </c>
      <c r="H37" s="48" t="s">
        <v>65</v>
      </c>
      <c r="I37" s="91"/>
      <c r="J37" s="91"/>
      <c r="K37" s="91"/>
      <c r="L37" s="117"/>
      <c r="M37" s="5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3.5" customHeight="1">
      <c r="B38" s="97"/>
      <c r="C38" s="96" t="s">
        <v>39</v>
      </c>
      <c r="D38" s="96"/>
      <c r="E38" s="96"/>
      <c r="F38" s="96"/>
      <c r="G38" s="96"/>
      <c r="H38" s="96"/>
      <c r="I38" s="96"/>
      <c r="J38" s="96"/>
      <c r="K38" s="96" t="s">
        <v>4</v>
      </c>
      <c r="L38" s="96"/>
      <c r="M38" s="4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1.25" customHeight="1">
      <c r="B39" s="51">
        <v>1</v>
      </c>
      <c r="C39" s="50">
        <v>2</v>
      </c>
      <c r="D39" s="50">
        <v>3</v>
      </c>
      <c r="E39" s="50">
        <v>4</v>
      </c>
      <c r="F39" s="51">
        <v>5</v>
      </c>
      <c r="G39" s="51">
        <v>6</v>
      </c>
      <c r="H39" s="50">
        <v>7</v>
      </c>
      <c r="I39" s="95">
        <v>8</v>
      </c>
      <c r="J39" s="95"/>
      <c r="K39" s="51">
        <v>9</v>
      </c>
      <c r="L39" s="50">
        <v>10</v>
      </c>
      <c r="M39" s="4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13" ht="25.5" customHeight="1">
      <c r="B40" s="64" t="s">
        <v>31</v>
      </c>
      <c r="C40" s="75">
        <f>2698602223.52</f>
        <v>2698602223.52</v>
      </c>
      <c r="D40" s="75">
        <f>2330147429.06</f>
        <v>2330147429.06</v>
      </c>
      <c r="E40" s="75">
        <f>2329453674.05</f>
        <v>2329453674.05</v>
      </c>
      <c r="F40" s="75">
        <f>170108133.42</f>
        <v>170108133.42</v>
      </c>
      <c r="G40" s="75">
        <f>0</f>
        <v>0</v>
      </c>
      <c r="H40" s="75">
        <f>1116251.23</f>
        <v>1116251.23</v>
      </c>
      <c r="I40" s="93">
        <f>307571.5</f>
        <v>307571.5</v>
      </c>
      <c r="J40" s="93"/>
      <c r="K40" s="42">
        <f aca="true" t="shared" si="2" ref="K40:K49">IF($E$40=0,"",100*$E40/$E$40)</f>
        <v>100</v>
      </c>
      <c r="L40" s="42">
        <f aca="true" t="shared" si="3" ref="L40:L49">IF(C40=0,"",100*E40/C40)</f>
        <v>86.32074982179144</v>
      </c>
      <c r="M40" s="22"/>
    </row>
    <row r="41" spans="2:13" ht="12.75">
      <c r="B41" s="52" t="s">
        <v>14</v>
      </c>
      <c r="C41" s="16">
        <f>506421841.56</f>
        <v>506421841.56</v>
      </c>
      <c r="D41" s="16">
        <f>315800294.34</f>
        <v>315800294.34</v>
      </c>
      <c r="E41" s="16">
        <f>315771431.92</f>
        <v>315771431.92</v>
      </c>
      <c r="F41" s="16">
        <f>8803935.61</f>
        <v>8803935.61</v>
      </c>
      <c r="G41" s="16">
        <f>0</f>
        <v>0</v>
      </c>
      <c r="H41" s="16">
        <f>0</f>
        <v>0</v>
      </c>
      <c r="I41" s="92">
        <f>307571.5</f>
        <v>307571.5</v>
      </c>
      <c r="J41" s="94"/>
      <c r="K41" s="21">
        <f t="shared" si="2"/>
        <v>13.555600415568607</v>
      </c>
      <c r="L41" s="21">
        <f t="shared" si="3"/>
        <v>62.35343857746861</v>
      </c>
      <c r="M41" s="22"/>
    </row>
    <row r="42" spans="2:13" ht="12.75">
      <c r="B42" s="67" t="s">
        <v>13</v>
      </c>
      <c r="C42" s="68">
        <f>500132727.56</f>
        <v>500132727.56</v>
      </c>
      <c r="D42" s="68">
        <f>310001776.51</f>
        <v>310001776.51</v>
      </c>
      <c r="E42" s="68">
        <f>309972914.09</f>
        <v>309972914.09</v>
      </c>
      <c r="F42" s="68">
        <f>8803935.61</f>
        <v>8803935.61</v>
      </c>
      <c r="G42" s="68">
        <f>0</f>
        <v>0</v>
      </c>
      <c r="H42" s="68">
        <f>0</f>
        <v>0</v>
      </c>
      <c r="I42" s="87">
        <f>307571.5</f>
        <v>307571.5</v>
      </c>
      <c r="J42" s="87"/>
      <c r="K42" s="77">
        <f t="shared" si="2"/>
        <v>13.306678623536628</v>
      </c>
      <c r="L42" s="77">
        <f t="shared" si="3"/>
        <v>61.9781304059557</v>
      </c>
      <c r="M42" s="22"/>
    </row>
    <row r="43" spans="2:13" ht="22.5">
      <c r="B43" s="64" t="s">
        <v>32</v>
      </c>
      <c r="C43" s="76">
        <f aca="true" t="shared" si="4" ref="C43:I43">C40-C41</f>
        <v>2192180381.96</v>
      </c>
      <c r="D43" s="76">
        <f t="shared" si="4"/>
        <v>2014347134.72</v>
      </c>
      <c r="E43" s="76">
        <f t="shared" si="4"/>
        <v>2013682242.13</v>
      </c>
      <c r="F43" s="76">
        <f t="shared" si="4"/>
        <v>161304197.81</v>
      </c>
      <c r="G43" s="76">
        <f t="shared" si="4"/>
        <v>0</v>
      </c>
      <c r="H43" s="76">
        <f t="shared" si="4"/>
        <v>1116251.23</v>
      </c>
      <c r="I43" s="92">
        <f t="shared" si="4"/>
        <v>0</v>
      </c>
      <c r="J43" s="92"/>
      <c r="K43" s="42">
        <f t="shared" si="2"/>
        <v>86.44439958443138</v>
      </c>
      <c r="L43" s="42">
        <f t="shared" si="3"/>
        <v>91.85750674082726</v>
      </c>
      <c r="M43" s="22"/>
    </row>
    <row r="44" spans="2:13" ht="22.5">
      <c r="B44" s="67" t="s">
        <v>82</v>
      </c>
      <c r="C44" s="68">
        <f>180233000.68</f>
        <v>180233000.68</v>
      </c>
      <c r="D44" s="68">
        <f>165125954.76</f>
        <v>165125954.76</v>
      </c>
      <c r="E44" s="68">
        <f>165044708.08</f>
        <v>165044708.08</v>
      </c>
      <c r="F44" s="68">
        <f>12626610.78</f>
        <v>12626610.78</v>
      </c>
      <c r="G44" s="68">
        <f>0</f>
        <v>0</v>
      </c>
      <c r="H44" s="68">
        <f>968.8</f>
        <v>968.8</v>
      </c>
      <c r="I44" s="87">
        <f>0</f>
        <v>0</v>
      </c>
      <c r="J44" s="87"/>
      <c r="K44" s="77">
        <f t="shared" si="2"/>
        <v>7.085125148380927</v>
      </c>
      <c r="L44" s="77">
        <f t="shared" si="3"/>
        <v>91.57296802322762</v>
      </c>
      <c r="M44" s="22"/>
    </row>
    <row r="45" spans="2:13" ht="12.75">
      <c r="B45" s="67" t="s">
        <v>28</v>
      </c>
      <c r="C45" s="79">
        <f>7965785.01</f>
        <v>7965785.01</v>
      </c>
      <c r="D45" s="79">
        <f>7660375.44</f>
        <v>7660375.44</v>
      </c>
      <c r="E45" s="79">
        <f>7645598.89</f>
        <v>7645598.89</v>
      </c>
      <c r="F45" s="79">
        <f>1711.31</f>
        <v>1711.31</v>
      </c>
      <c r="G45" s="79">
        <f>0</f>
        <v>0</v>
      </c>
      <c r="H45" s="79">
        <f>0</f>
        <v>0</v>
      </c>
      <c r="I45" s="88">
        <f>0</f>
        <v>0</v>
      </c>
      <c r="J45" s="88"/>
      <c r="K45" s="77">
        <f t="shared" si="2"/>
        <v>0.3282142493397313</v>
      </c>
      <c r="L45" s="77">
        <f t="shared" si="3"/>
        <v>95.98048253125025</v>
      </c>
      <c r="M45" s="22"/>
    </row>
    <row r="46" spans="2:13" ht="12.75">
      <c r="B46" s="67" t="s">
        <v>27</v>
      </c>
      <c r="C46" s="68">
        <f>13372628.22</f>
        <v>13372628.22</v>
      </c>
      <c r="D46" s="68">
        <f>9273112.36</f>
        <v>9273112.36</v>
      </c>
      <c r="E46" s="68">
        <f>9273112.36</f>
        <v>9273112.36</v>
      </c>
      <c r="F46" s="68">
        <f>137047.65</f>
        <v>137047.65</v>
      </c>
      <c r="G46" s="68">
        <f>0</f>
        <v>0</v>
      </c>
      <c r="H46" s="68">
        <f>0</f>
        <v>0</v>
      </c>
      <c r="I46" s="87">
        <f>0</f>
        <v>0</v>
      </c>
      <c r="J46" s="87"/>
      <c r="K46" s="77">
        <f t="shared" si="2"/>
        <v>0.39808099484020726</v>
      </c>
      <c r="L46" s="77">
        <f t="shared" si="3"/>
        <v>69.34397791850074</v>
      </c>
      <c r="M46" s="22"/>
    </row>
    <row r="47" spans="2:13" ht="22.5" customHeight="1">
      <c r="B47" s="67" t="s">
        <v>35</v>
      </c>
      <c r="C47" s="79">
        <f>0</f>
        <v>0</v>
      </c>
      <c r="D47" s="79">
        <f>0</f>
        <v>0</v>
      </c>
      <c r="E47" s="79">
        <f>0</f>
        <v>0</v>
      </c>
      <c r="F47" s="79">
        <f>0</f>
        <v>0</v>
      </c>
      <c r="G47" s="79">
        <f>0</f>
        <v>0</v>
      </c>
      <c r="H47" s="79">
        <f>0</f>
        <v>0</v>
      </c>
      <c r="I47" s="88">
        <f>0</f>
        <v>0</v>
      </c>
      <c r="J47" s="88"/>
      <c r="K47" s="77">
        <f t="shared" si="2"/>
        <v>0</v>
      </c>
      <c r="L47" s="77">
        <f t="shared" si="3"/>
      </c>
      <c r="M47" s="22"/>
    </row>
    <row r="48" spans="2:13" ht="22.5" customHeight="1">
      <c r="B48" s="67" t="s">
        <v>36</v>
      </c>
      <c r="C48" s="79">
        <f>1937469.22</f>
        <v>1937469.22</v>
      </c>
      <c r="D48" s="79">
        <f>1342128.75</f>
        <v>1342128.75</v>
      </c>
      <c r="E48" s="79">
        <f>1342128.75</f>
        <v>1342128.75</v>
      </c>
      <c r="F48" s="79">
        <f>40270.06</f>
        <v>40270.06</v>
      </c>
      <c r="G48" s="79">
        <f>0</f>
        <v>0</v>
      </c>
      <c r="H48" s="79">
        <f>0</f>
        <v>0</v>
      </c>
      <c r="I48" s="89">
        <f>0</f>
        <v>0</v>
      </c>
      <c r="J48" s="90"/>
      <c r="K48" s="77">
        <f t="shared" si="2"/>
        <v>0.057615601673098225</v>
      </c>
      <c r="L48" s="77">
        <f t="shared" si="3"/>
        <v>69.27226178075747</v>
      </c>
      <c r="M48" s="22"/>
    </row>
    <row r="49" spans="2:13" ht="12.75">
      <c r="B49" s="67" t="s">
        <v>26</v>
      </c>
      <c r="C49" s="68">
        <f aca="true" t="shared" si="5" ref="C49:I49">C43-C44-C45-C46-C47-C48</f>
        <v>1988671498.83</v>
      </c>
      <c r="D49" s="68">
        <f t="shared" si="5"/>
        <v>1830945563.41</v>
      </c>
      <c r="E49" s="68">
        <f t="shared" si="5"/>
        <v>1830376694.0500002</v>
      </c>
      <c r="F49" s="68">
        <f t="shared" si="5"/>
        <v>148498558.01</v>
      </c>
      <c r="G49" s="68">
        <f t="shared" si="5"/>
        <v>0</v>
      </c>
      <c r="H49" s="68">
        <f t="shared" si="5"/>
        <v>1115282.43</v>
      </c>
      <c r="I49" s="89">
        <f t="shared" si="5"/>
        <v>0</v>
      </c>
      <c r="J49" s="90"/>
      <c r="K49" s="77">
        <f t="shared" si="2"/>
        <v>78.57536359019744</v>
      </c>
      <c r="L49" s="77">
        <f t="shared" si="3"/>
        <v>92.04017330800338</v>
      </c>
      <c r="M49" s="22"/>
    </row>
    <row r="50" spans="2:13" ht="12.75">
      <c r="B50" s="64" t="s">
        <v>15</v>
      </c>
      <c r="C50" s="76">
        <f>C6-C40</f>
        <v>64699230.96999979</v>
      </c>
      <c r="D50" s="76"/>
      <c r="E50" s="76">
        <f>D6-E40</f>
        <v>295335511.71000004</v>
      </c>
      <c r="F50" s="76"/>
      <c r="G50" s="76"/>
      <c r="H50" s="76"/>
      <c r="I50" s="92"/>
      <c r="J50" s="92"/>
      <c r="K50" s="80"/>
      <c r="L50" s="80"/>
      <c r="M50" s="54"/>
    </row>
    <row r="51" spans="2:13" ht="7.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4.25" customHeight="1">
      <c r="B52" s="109" t="s">
        <v>83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63"/>
    </row>
    <row r="53" spans="2:13" ht="12.75">
      <c r="B53" s="58" t="s">
        <v>16</v>
      </c>
      <c r="C53" s="111" t="s">
        <v>17</v>
      </c>
      <c r="D53" s="112"/>
      <c r="E53" s="111" t="s">
        <v>1</v>
      </c>
      <c r="F53" s="112"/>
      <c r="G53" s="50" t="s">
        <v>21</v>
      </c>
      <c r="H53" s="50" t="s">
        <v>22</v>
      </c>
      <c r="I53" s="47"/>
      <c r="J53" s="47"/>
      <c r="K53" s="47"/>
      <c r="L53" s="47"/>
      <c r="M53" s="47"/>
    </row>
    <row r="54" spans="2:13" ht="12.75">
      <c r="B54" s="58"/>
      <c r="C54" s="98" t="s">
        <v>39</v>
      </c>
      <c r="D54" s="113"/>
      <c r="E54" s="113"/>
      <c r="F54" s="114"/>
      <c r="G54" s="115" t="s">
        <v>4</v>
      </c>
      <c r="H54" s="116"/>
      <c r="I54" s="47"/>
      <c r="J54" s="47"/>
      <c r="K54" s="47"/>
      <c r="L54" s="47"/>
      <c r="M54" s="47"/>
    </row>
    <row r="55" spans="2:13" ht="12.75">
      <c r="B55" s="59">
        <v>1</v>
      </c>
      <c r="C55" s="60">
        <v>2</v>
      </c>
      <c r="D55" s="61"/>
      <c r="E55" s="60">
        <v>3</v>
      </c>
      <c r="F55" s="61"/>
      <c r="G55" s="62">
        <v>4</v>
      </c>
      <c r="H55" s="62">
        <v>5</v>
      </c>
      <c r="I55" s="47"/>
      <c r="J55" s="47"/>
      <c r="K55" s="47"/>
      <c r="L55" s="47"/>
      <c r="M55" s="47"/>
    </row>
    <row r="56" spans="2:13" ht="22.5">
      <c r="B56" s="56" t="s">
        <v>33</v>
      </c>
      <c r="C56" s="29">
        <f>155499124.06</f>
        <v>155499124.06</v>
      </c>
      <c r="D56" s="30"/>
      <c r="E56" s="29">
        <f>534059172.27</f>
        <v>534059172.27</v>
      </c>
      <c r="F56" s="30"/>
      <c r="G56" s="26">
        <f>IF($E$56=0,"",100*$E56/$E$56)</f>
        <v>100</v>
      </c>
      <c r="H56" s="21">
        <f>IF(C56=0,"",100*E56/C56)</f>
        <v>343.44834769868606</v>
      </c>
      <c r="I56" s="47"/>
      <c r="J56" s="47"/>
      <c r="K56" s="47"/>
      <c r="L56" s="47"/>
      <c r="M56" s="47"/>
    </row>
    <row r="57" spans="2:13" ht="22.5">
      <c r="B57" s="23" t="s">
        <v>70</v>
      </c>
      <c r="C57" s="31">
        <f>28787921</f>
        <v>28787921</v>
      </c>
      <c r="D57" s="32"/>
      <c r="E57" s="31">
        <f>28171151</f>
        <v>28171151</v>
      </c>
      <c r="F57" s="32"/>
      <c r="G57" s="40">
        <f aca="true" t="shared" si="6" ref="G57:G63">IF($E$56=0,"",100*$E57/$E$56)</f>
        <v>5.274911931623513</v>
      </c>
      <c r="H57" s="41">
        <f aca="true" t="shared" si="7" ref="H57:H68">IF(C57=0,"",100*E57/C57)</f>
        <v>97.85753893099817</v>
      </c>
      <c r="I57" s="47"/>
      <c r="J57" s="47"/>
      <c r="K57" s="47"/>
      <c r="L57" s="47"/>
      <c r="M57" s="47"/>
    </row>
    <row r="58" spans="2:13" ht="22.5">
      <c r="B58" s="81" t="s">
        <v>71</v>
      </c>
      <c r="C58" s="82">
        <f>0</f>
        <v>0</v>
      </c>
      <c r="D58" s="83"/>
      <c r="E58" s="82">
        <f>0</f>
        <v>0</v>
      </c>
      <c r="F58" s="83"/>
      <c r="G58" s="84">
        <f t="shared" si="6"/>
        <v>0</v>
      </c>
      <c r="H58" s="78">
        <f t="shared" si="7"/>
      </c>
      <c r="I58" s="47"/>
      <c r="J58" s="47"/>
      <c r="K58" s="47"/>
      <c r="L58" s="47"/>
      <c r="M58" s="47"/>
    </row>
    <row r="59" spans="2:13" ht="12.75">
      <c r="B59" s="85" t="s">
        <v>72</v>
      </c>
      <c r="C59" s="82">
        <f>0</f>
        <v>0</v>
      </c>
      <c r="D59" s="83"/>
      <c r="E59" s="82">
        <f>750000</f>
        <v>750000</v>
      </c>
      <c r="F59" s="83"/>
      <c r="G59" s="84">
        <f t="shared" si="6"/>
        <v>0.1404338767953654</v>
      </c>
      <c r="H59" s="78">
        <f t="shared" si="7"/>
      </c>
      <c r="I59" s="47"/>
      <c r="J59" s="47"/>
      <c r="K59" s="47"/>
      <c r="L59" s="47"/>
      <c r="M59" s="47"/>
    </row>
    <row r="60" spans="2:13" ht="12.75">
      <c r="B60" s="85" t="s">
        <v>73</v>
      </c>
      <c r="C60" s="82">
        <f>67311439.54</f>
        <v>67311439.54</v>
      </c>
      <c r="D60" s="83"/>
      <c r="E60" s="82">
        <f>421913556.1</f>
        <v>421913556.1</v>
      </c>
      <c r="F60" s="83"/>
      <c r="G60" s="84">
        <f t="shared" si="6"/>
        <v>79.00127514085585</v>
      </c>
      <c r="H60" s="78">
        <f t="shared" si="7"/>
        <v>626.8081012429941</v>
      </c>
      <c r="I60" s="47"/>
      <c r="J60" s="47"/>
      <c r="K60" s="47"/>
      <c r="L60" s="47"/>
      <c r="M60" s="47"/>
    </row>
    <row r="61" spans="2:13" ht="12.75">
      <c r="B61" s="85" t="s">
        <v>74</v>
      </c>
      <c r="C61" s="82">
        <f>0</f>
        <v>0</v>
      </c>
      <c r="D61" s="83"/>
      <c r="E61" s="82">
        <f>0</f>
        <v>0</v>
      </c>
      <c r="F61" s="83"/>
      <c r="G61" s="84">
        <f t="shared" si="6"/>
        <v>0</v>
      </c>
      <c r="H61" s="78">
        <f t="shared" si="7"/>
      </c>
      <c r="I61" s="47"/>
      <c r="J61" s="47"/>
      <c r="K61" s="47"/>
      <c r="L61" s="47"/>
      <c r="M61" s="47"/>
    </row>
    <row r="62" spans="2:13" ht="33.75">
      <c r="B62" s="85" t="s">
        <v>75</v>
      </c>
      <c r="C62" s="82">
        <f>59249763.52</f>
        <v>59249763.52</v>
      </c>
      <c r="D62" s="83"/>
      <c r="E62" s="82">
        <f>83217935.23</f>
        <v>83217935.23</v>
      </c>
      <c r="F62" s="83"/>
      <c r="G62" s="84">
        <f t="shared" si="6"/>
        <v>15.582156351006024</v>
      </c>
      <c r="H62" s="78">
        <f t="shared" si="7"/>
        <v>140.45277193707184</v>
      </c>
      <c r="I62" s="47"/>
      <c r="J62" s="47"/>
      <c r="K62" s="47"/>
      <c r="L62" s="47"/>
      <c r="M62" s="47"/>
    </row>
    <row r="63" spans="2:13" ht="12.75">
      <c r="B63" s="81" t="s">
        <v>41</v>
      </c>
      <c r="C63" s="82">
        <f>150000</f>
        <v>150000</v>
      </c>
      <c r="D63" s="83"/>
      <c r="E63" s="82">
        <f>6529.94</f>
        <v>6529.94</v>
      </c>
      <c r="F63" s="83"/>
      <c r="G63" s="84">
        <f t="shared" si="6"/>
        <v>0.0012226997192548378</v>
      </c>
      <c r="H63" s="78">
        <f t="shared" si="7"/>
        <v>4.353293333333333</v>
      </c>
      <c r="I63" s="47"/>
      <c r="J63" s="47"/>
      <c r="K63" s="47"/>
      <c r="L63" s="47"/>
      <c r="M63" s="47"/>
    </row>
    <row r="64" spans="2:13" ht="22.5">
      <c r="B64" s="56" t="s">
        <v>34</v>
      </c>
      <c r="C64" s="37">
        <f>210064028.25</f>
        <v>210064028.25</v>
      </c>
      <c r="D64" s="38"/>
      <c r="E64" s="37">
        <f>68311377.98</f>
        <v>68311377.98</v>
      </c>
      <c r="F64" s="38"/>
      <c r="G64" s="26">
        <f>IF($E$64=0,"",100*$E64/$E$64)</f>
        <v>100</v>
      </c>
      <c r="H64" s="21">
        <f t="shared" si="7"/>
        <v>32.51931258725636</v>
      </c>
      <c r="I64" s="47"/>
      <c r="J64" s="47"/>
      <c r="K64" s="47"/>
      <c r="L64" s="47"/>
      <c r="M64" s="47"/>
    </row>
    <row r="65" spans="2:13" ht="33.75">
      <c r="B65" s="23" t="s">
        <v>76</v>
      </c>
      <c r="C65" s="31">
        <f>60315928.35</f>
        <v>60315928.35</v>
      </c>
      <c r="D65" s="35"/>
      <c r="E65" s="36">
        <f>61882593.62</f>
        <v>61882593.62</v>
      </c>
      <c r="F65" s="35"/>
      <c r="G65" s="40">
        <f>IF($E$64=0,"",100*$E65/$E$64)</f>
        <v>90.5889991534321</v>
      </c>
      <c r="H65" s="41">
        <f t="shared" si="7"/>
        <v>102.59743207616566</v>
      </c>
      <c r="I65" s="47"/>
      <c r="J65" s="47"/>
      <c r="K65" s="47"/>
      <c r="L65" s="47"/>
      <c r="M65" s="47"/>
    </row>
    <row r="66" spans="2:13" ht="12.75">
      <c r="B66" s="85" t="s">
        <v>77</v>
      </c>
      <c r="C66" s="82">
        <f>0</f>
        <v>0</v>
      </c>
      <c r="D66" s="83"/>
      <c r="E66" s="82">
        <f>0</f>
        <v>0</v>
      </c>
      <c r="F66" s="83"/>
      <c r="G66" s="84">
        <f>IF($E$64=0,"",100*$E66/$E$64)</f>
        <v>0</v>
      </c>
      <c r="H66" s="78">
        <f t="shared" si="7"/>
      </c>
      <c r="I66" s="47"/>
      <c r="J66" s="47"/>
      <c r="K66" s="47"/>
      <c r="L66" s="47"/>
      <c r="M66" s="47"/>
    </row>
    <row r="67" spans="2:13" ht="12.75">
      <c r="B67" s="85" t="s">
        <v>78</v>
      </c>
      <c r="C67" s="82">
        <f>100000</f>
        <v>100000</v>
      </c>
      <c r="D67" s="83"/>
      <c r="E67" s="82">
        <f>750000</f>
        <v>750000</v>
      </c>
      <c r="F67" s="83"/>
      <c r="G67" s="84">
        <f>IF($E$64=0,"",100*$E67/$E$64)</f>
        <v>1.0979137329356505</v>
      </c>
      <c r="H67" s="78">
        <f t="shared" si="7"/>
        <v>750</v>
      </c>
      <c r="I67" s="47"/>
      <c r="J67" s="47"/>
      <c r="K67" s="47"/>
      <c r="L67" s="47"/>
      <c r="M67" s="47"/>
    </row>
    <row r="68" spans="2:13" ht="12.75">
      <c r="B68" s="85" t="s">
        <v>23</v>
      </c>
      <c r="C68" s="82">
        <f>149648099.9</f>
        <v>149648099.9</v>
      </c>
      <c r="D68" s="83"/>
      <c r="E68" s="82">
        <f>5678784.36</f>
        <v>5678784.36</v>
      </c>
      <c r="F68" s="83"/>
      <c r="G68" s="84">
        <f>IF($E$64=0,"",100*$E68/$E$64)</f>
        <v>8.313087113632252</v>
      </c>
      <c r="H68" s="78">
        <f t="shared" si="7"/>
        <v>3.7947587465492436</v>
      </c>
      <c r="I68" s="47"/>
      <c r="J68" s="47"/>
      <c r="K68" s="47"/>
      <c r="L68" s="47"/>
      <c r="M68" s="47"/>
    </row>
    <row r="69" spans="2:13" ht="12.75">
      <c r="B69" s="22"/>
      <c r="C69" s="22"/>
      <c r="D69" s="22"/>
      <c r="E69" s="22"/>
      <c r="F69" s="22"/>
      <c r="G69" s="22"/>
      <c r="H69" s="22"/>
      <c r="I69" s="47"/>
      <c r="J69" s="47"/>
      <c r="K69" s="47"/>
      <c r="L69" s="47"/>
      <c r="M69" s="47"/>
    </row>
    <row r="70" spans="2:13" ht="12.75">
      <c r="B70" s="55" t="s">
        <v>16</v>
      </c>
      <c r="C70" s="103" t="s">
        <v>17</v>
      </c>
      <c r="D70" s="104"/>
      <c r="E70" s="103" t="s">
        <v>1</v>
      </c>
      <c r="F70" s="104"/>
      <c r="G70" s="13" t="s">
        <v>21</v>
      </c>
      <c r="H70" s="13" t="s">
        <v>22</v>
      </c>
      <c r="I70" s="47"/>
      <c r="J70" s="47"/>
      <c r="K70" s="47"/>
      <c r="L70" s="47"/>
      <c r="M70" s="47"/>
    </row>
    <row r="71" spans="2:13" ht="12.75">
      <c r="B71" s="55"/>
      <c r="C71" s="100" t="s">
        <v>39</v>
      </c>
      <c r="D71" s="101"/>
      <c r="E71" s="101"/>
      <c r="F71" s="102"/>
      <c r="G71" s="105" t="s">
        <v>4</v>
      </c>
      <c r="H71" s="106"/>
      <c r="I71" s="47"/>
      <c r="J71" s="47"/>
      <c r="K71" s="47"/>
      <c r="L71" s="47"/>
      <c r="M71" s="47"/>
    </row>
    <row r="72" spans="2:13" ht="12.75">
      <c r="B72" s="24">
        <v>1</v>
      </c>
      <c r="C72" s="27">
        <v>2</v>
      </c>
      <c r="D72" s="28"/>
      <c r="E72" s="27">
        <v>3</v>
      </c>
      <c r="F72" s="28"/>
      <c r="G72" s="25">
        <v>4</v>
      </c>
      <c r="H72" s="25">
        <v>5</v>
      </c>
      <c r="I72" s="47"/>
      <c r="J72" s="47"/>
      <c r="K72" s="47"/>
      <c r="L72" s="47"/>
      <c r="M72" s="47"/>
    </row>
    <row r="73" spans="2:13" ht="22.5">
      <c r="B73" s="39" t="s">
        <v>42</v>
      </c>
      <c r="C73" s="34">
        <f>106592604.91</f>
        <v>106592604.91</v>
      </c>
      <c r="D73" s="33"/>
      <c r="E73" s="34">
        <f>37769743.06</f>
        <v>37769743.06</v>
      </c>
      <c r="F73" s="30"/>
      <c r="G73" s="26"/>
      <c r="H73" s="21"/>
      <c r="I73" s="47"/>
      <c r="J73" s="47"/>
      <c r="K73" s="47"/>
      <c r="L73" s="47"/>
      <c r="M73" s="47"/>
    </row>
    <row r="74" spans="2:13" ht="45">
      <c r="B74" s="44" t="s">
        <v>43</v>
      </c>
      <c r="C74" s="36">
        <f>0</f>
        <v>0</v>
      </c>
      <c r="D74" s="35"/>
      <c r="E74" s="36">
        <f>0</f>
        <v>0</v>
      </c>
      <c r="F74" s="35"/>
      <c r="G74" s="40"/>
      <c r="H74" s="41"/>
      <c r="I74" s="47"/>
      <c r="J74" s="47"/>
      <c r="K74" s="47"/>
      <c r="L74" s="47"/>
      <c r="M74" s="47"/>
    </row>
    <row r="75" spans="2:13" ht="12.75">
      <c r="B75" s="44" t="s">
        <v>44</v>
      </c>
      <c r="C75" s="36">
        <f>11505863</f>
        <v>11505863</v>
      </c>
      <c r="D75" s="35"/>
      <c r="E75" s="36">
        <f>8912207.9</f>
        <v>8912207.9</v>
      </c>
      <c r="F75" s="35"/>
      <c r="G75" s="40"/>
      <c r="H75" s="41"/>
      <c r="I75" s="47"/>
      <c r="J75" s="47"/>
      <c r="K75" s="47"/>
      <c r="L75" s="47"/>
      <c r="M75" s="47"/>
    </row>
    <row r="76" spans="2:13" ht="22.5">
      <c r="B76" s="44" t="s">
        <v>45</v>
      </c>
      <c r="C76" s="36">
        <f>0</f>
        <v>0</v>
      </c>
      <c r="D76" s="35"/>
      <c r="E76" s="36">
        <f>0</f>
        <v>0</v>
      </c>
      <c r="F76" s="35"/>
      <c r="G76" s="40"/>
      <c r="H76" s="41"/>
      <c r="I76" s="47"/>
      <c r="J76" s="47"/>
      <c r="K76" s="47"/>
      <c r="L76" s="47"/>
      <c r="M76" s="47"/>
    </row>
    <row r="77" spans="2:13" ht="33.75">
      <c r="B77" s="44" t="s">
        <v>46</v>
      </c>
      <c r="C77" s="36">
        <f>30490866.87</f>
        <v>30490866.87</v>
      </c>
      <c r="D77" s="35"/>
      <c r="E77" s="36">
        <f>5548257.4</f>
        <v>5548257.4</v>
      </c>
      <c r="F77" s="35"/>
      <c r="G77" s="40"/>
      <c r="H77" s="41"/>
      <c r="I77" s="47"/>
      <c r="J77" s="47"/>
      <c r="K77" s="47"/>
      <c r="L77" s="47"/>
      <c r="M77" s="47"/>
    </row>
    <row r="78" spans="2:13" ht="75" customHeight="1">
      <c r="B78" s="44" t="s">
        <v>47</v>
      </c>
      <c r="C78" s="36">
        <f>30490866.87</f>
        <v>30490866.87</v>
      </c>
      <c r="D78" s="35"/>
      <c r="E78" s="36">
        <f>5548257.4</f>
        <v>5548257.4</v>
      </c>
      <c r="F78" s="35"/>
      <c r="G78" s="40"/>
      <c r="H78" s="41"/>
      <c r="I78" s="47"/>
      <c r="J78" s="47"/>
      <c r="K78" s="47"/>
      <c r="L78" s="47"/>
      <c r="M78" s="47"/>
    </row>
    <row r="79" spans="2:13" ht="3" customHeight="1">
      <c r="B79" s="22"/>
      <c r="C79" s="22"/>
      <c r="D79" s="22"/>
      <c r="E79" s="22"/>
      <c r="F79" s="22"/>
      <c r="G79" s="22"/>
      <c r="H79" s="22"/>
      <c r="I79" s="47"/>
      <c r="J79" s="47"/>
      <c r="K79" s="47"/>
      <c r="L79" s="47"/>
      <c r="M79" s="47"/>
    </row>
    <row r="80" spans="2:13" ht="12.75">
      <c r="B80" s="55" t="s">
        <v>16</v>
      </c>
      <c r="C80" s="103" t="s">
        <v>81</v>
      </c>
      <c r="D80" s="107"/>
      <c r="E80" s="107"/>
      <c r="F80" s="108"/>
      <c r="G80" s="47"/>
      <c r="H80" s="47"/>
      <c r="I80" s="47"/>
      <c r="J80" s="47"/>
      <c r="K80" s="47"/>
      <c r="L80" s="47"/>
      <c r="M80" s="47"/>
    </row>
    <row r="81" spans="2:13" ht="12.75">
      <c r="B81" s="55"/>
      <c r="C81" s="100" t="s">
        <v>39</v>
      </c>
      <c r="D81" s="101"/>
      <c r="E81" s="101"/>
      <c r="F81" s="102"/>
      <c r="G81" s="47"/>
      <c r="H81" s="47"/>
      <c r="I81" s="47"/>
      <c r="J81" s="47"/>
      <c r="K81" s="47"/>
      <c r="L81" s="47"/>
      <c r="M81" s="47"/>
    </row>
    <row r="82" spans="2:13" ht="12.75">
      <c r="B82" s="24">
        <v>1</v>
      </c>
      <c r="C82" s="119">
        <v>2</v>
      </c>
      <c r="D82" s="120"/>
      <c r="E82" s="120"/>
      <c r="F82" s="121"/>
      <c r="G82" s="47"/>
      <c r="H82" s="47"/>
      <c r="I82" s="47"/>
      <c r="J82" s="47"/>
      <c r="K82" s="47"/>
      <c r="L82" s="47"/>
      <c r="M82" s="47"/>
    </row>
    <row r="83" spans="2:13" ht="56.25">
      <c r="B83" s="39" t="s">
        <v>48</v>
      </c>
      <c r="C83" s="118">
        <f>43665814.63</f>
        <v>43665814.63</v>
      </c>
      <c r="D83" s="107"/>
      <c r="E83" s="107"/>
      <c r="F83" s="108"/>
      <c r="G83" s="47"/>
      <c r="H83" s="47"/>
      <c r="I83" s="47"/>
      <c r="J83" s="47"/>
      <c r="K83" s="47"/>
      <c r="L83" s="47"/>
      <c r="M83" s="47"/>
    </row>
    <row r="84" spans="2:13" ht="33.75">
      <c r="B84" s="44" t="s">
        <v>49</v>
      </c>
      <c r="C84" s="118">
        <f>36563670.69</f>
        <v>36563670.69</v>
      </c>
      <c r="D84" s="107"/>
      <c r="E84" s="107"/>
      <c r="F84" s="108"/>
      <c r="G84" s="47"/>
      <c r="H84" s="47"/>
      <c r="I84" s="47"/>
      <c r="J84" s="47"/>
      <c r="K84" s="47"/>
      <c r="L84" s="47"/>
      <c r="M84" s="47"/>
    </row>
    <row r="85" spans="2:13" ht="33.75">
      <c r="B85" s="44" t="s">
        <v>50</v>
      </c>
      <c r="C85" s="118">
        <f>7026666.6</f>
        <v>7026666.6</v>
      </c>
      <c r="D85" s="107"/>
      <c r="E85" s="107"/>
      <c r="F85" s="108"/>
      <c r="G85" s="47"/>
      <c r="H85" s="47"/>
      <c r="I85" s="47"/>
      <c r="J85" s="47"/>
      <c r="K85" s="47"/>
      <c r="L85" s="47"/>
      <c r="M85" s="47"/>
    </row>
    <row r="86" spans="2:13" ht="67.5">
      <c r="B86" s="44" t="s">
        <v>51</v>
      </c>
      <c r="C86" s="118">
        <f>0</f>
        <v>0</v>
      </c>
      <c r="D86" s="107"/>
      <c r="E86" s="107"/>
      <c r="F86" s="108"/>
      <c r="G86" s="47"/>
      <c r="H86" s="47"/>
      <c r="I86" s="47"/>
      <c r="J86" s="47"/>
      <c r="K86" s="47"/>
      <c r="L86" s="47"/>
      <c r="M86" s="47"/>
    </row>
    <row r="87" spans="2:13" ht="45">
      <c r="B87" s="44" t="s">
        <v>52</v>
      </c>
      <c r="C87" s="118">
        <f>0</f>
        <v>0</v>
      </c>
      <c r="D87" s="107"/>
      <c r="E87" s="107"/>
      <c r="F87" s="108"/>
      <c r="G87" s="47"/>
      <c r="H87" s="47"/>
      <c r="I87" s="47"/>
      <c r="J87" s="47"/>
      <c r="K87" s="47"/>
      <c r="L87" s="47"/>
      <c r="M87" s="47"/>
    </row>
    <row r="88" spans="2:13" ht="56.25">
      <c r="B88" s="86" t="s">
        <v>53</v>
      </c>
      <c r="C88" s="118">
        <f>528326.84</f>
        <v>528326.84</v>
      </c>
      <c r="D88" s="107"/>
      <c r="E88" s="107"/>
      <c r="F88" s="108"/>
      <c r="G88" s="47"/>
      <c r="H88" s="47"/>
      <c r="I88" s="47"/>
      <c r="J88" s="47"/>
      <c r="K88" s="47"/>
      <c r="L88" s="47"/>
      <c r="M88" s="47"/>
    </row>
    <row r="89" spans="2:13" ht="45">
      <c r="B89" s="86" t="s">
        <v>54</v>
      </c>
      <c r="C89" s="118">
        <f>0</f>
        <v>0</v>
      </c>
      <c r="D89" s="107"/>
      <c r="E89" s="107"/>
      <c r="F89" s="108"/>
      <c r="G89" s="47"/>
      <c r="H89" s="47"/>
      <c r="I89" s="47"/>
      <c r="J89" s="47"/>
      <c r="K89" s="47"/>
      <c r="L89" s="47"/>
      <c r="M89" s="47"/>
    </row>
    <row r="90" spans="2:13" ht="90">
      <c r="B90" s="86" t="s">
        <v>79</v>
      </c>
      <c r="C90" s="118">
        <f>0</f>
        <v>0</v>
      </c>
      <c r="D90" s="107"/>
      <c r="E90" s="107"/>
      <c r="F90" s="108"/>
      <c r="G90" s="47"/>
      <c r="H90" s="47"/>
      <c r="I90" s="47"/>
      <c r="J90" s="47"/>
      <c r="K90" s="47"/>
      <c r="L90" s="47"/>
      <c r="M90" s="47"/>
    </row>
    <row r="91" spans="2:13" ht="90">
      <c r="B91" s="86" t="s">
        <v>80</v>
      </c>
      <c r="C91" s="118">
        <f>0</f>
        <v>0</v>
      </c>
      <c r="D91" s="107"/>
      <c r="E91" s="107"/>
      <c r="F91" s="108"/>
      <c r="G91" s="47"/>
      <c r="H91" s="47"/>
      <c r="I91" s="47"/>
      <c r="J91" s="47"/>
      <c r="K91" s="47"/>
      <c r="L91" s="47"/>
      <c r="M91" s="47"/>
    </row>
    <row r="92" spans="2:13" ht="12.7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2:13" ht="3.75" customHeight="1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</sheetData>
  <sheetProtection/>
  <mergeCells count="50"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87:F87"/>
    <mergeCell ref="B1:L1"/>
    <mergeCell ref="B33:L33"/>
    <mergeCell ref="B52:L52"/>
    <mergeCell ref="C53:D53"/>
    <mergeCell ref="E53:F53"/>
    <mergeCell ref="C54:F54"/>
    <mergeCell ref="G54:H54"/>
    <mergeCell ref="L35:L37"/>
    <mergeCell ref="B35:B38"/>
    <mergeCell ref="K35:K37"/>
    <mergeCell ref="C81:F81"/>
    <mergeCell ref="C70:D70"/>
    <mergeCell ref="E70:F70"/>
    <mergeCell ref="C71:F71"/>
    <mergeCell ref="G71:H71"/>
    <mergeCell ref="C80:F80"/>
    <mergeCell ref="F4:H4"/>
    <mergeCell ref="I35:J37"/>
    <mergeCell ref="D35:D37"/>
    <mergeCell ref="B3:B4"/>
    <mergeCell ref="F36:F37"/>
    <mergeCell ref="F35:H35"/>
    <mergeCell ref="G36:H36"/>
    <mergeCell ref="C4:E4"/>
    <mergeCell ref="C38:J38"/>
    <mergeCell ref="C35:C37"/>
    <mergeCell ref="I42:J42"/>
    <mergeCell ref="I43:J43"/>
    <mergeCell ref="I45:J45"/>
    <mergeCell ref="K38:L38"/>
    <mergeCell ref="I46:J46"/>
    <mergeCell ref="I47:J47"/>
    <mergeCell ref="I49:J49"/>
    <mergeCell ref="E35:E37"/>
    <mergeCell ref="I50:J50"/>
    <mergeCell ref="I48:J48"/>
    <mergeCell ref="I40:J40"/>
    <mergeCell ref="I41:J41"/>
    <mergeCell ref="I44:J44"/>
    <mergeCell ref="I39:J39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3" manualBreakCount="3">
    <brk id="31" max="11" man="1"/>
    <brk id="51" max="11" man="1"/>
    <brk id="7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2017-03-30T12:13:25Z</cp:lastPrinted>
  <dcterms:created xsi:type="dcterms:W3CDTF">2001-05-17T08:58:03Z</dcterms:created>
  <dcterms:modified xsi:type="dcterms:W3CDTF">2020-03-26T17:15:38Z</dcterms:modified>
  <cp:category/>
  <cp:version/>
  <cp:contentType/>
  <cp:contentStatus/>
</cp:coreProperties>
</file>