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```ST7\Besti@\2023\II kwartał\Dane ostateczne 2023.08.14\Zbiorówki_2023_k2_20230814\"/>
    </mc:Choice>
  </mc:AlternateContent>
  <bookViews>
    <workbookView xWindow="240" yWindow="120" windowWidth="14220" windowHeight="8835"/>
  </bookViews>
  <sheets>
    <sheet name="doch_wyd" sheetId="4" r:id="rId1"/>
    <sheet name="definicja" sheetId="5" r:id="rId2"/>
  </sheets>
  <definedNames>
    <definedName name="_xlnm.Print_Area" localSheetId="0">doch_wyd!$A$1:$M$140</definedName>
  </definedNames>
  <calcPr calcId="152511"/>
</workbook>
</file>

<file path=xl/calcChain.xml><?xml version="1.0" encoding="utf-8"?>
<calcChain xmlns="http://schemas.openxmlformats.org/spreadsheetml/2006/main">
  <c r="C137" i="5" l="1"/>
  <c r="C136" i="5"/>
  <c r="C135" i="5"/>
  <c r="C140" i="4"/>
  <c r="C139" i="4"/>
  <c r="C138" i="4"/>
  <c r="C137" i="4"/>
  <c r="D135" i="4"/>
  <c r="C135" i="4"/>
  <c r="D134" i="4"/>
  <c r="C134" i="4"/>
  <c r="D133" i="4"/>
  <c r="C133" i="4"/>
  <c r="D132" i="4"/>
  <c r="C132" i="4"/>
  <c r="D131" i="4"/>
  <c r="C131" i="4"/>
  <c r="D130" i="4"/>
  <c r="C130" i="4"/>
  <c r="D129" i="4"/>
  <c r="C129" i="4"/>
  <c r="D128" i="4"/>
  <c r="C128" i="4"/>
  <c r="D127" i="4"/>
  <c r="C127" i="4"/>
  <c r="D122" i="4"/>
  <c r="C122" i="4"/>
  <c r="D121" i="4"/>
  <c r="C121" i="4"/>
  <c r="D120" i="4"/>
  <c r="C120" i="4"/>
  <c r="F120" i="4" s="1"/>
  <c r="D119" i="4"/>
  <c r="C119" i="4"/>
  <c r="D118" i="4"/>
  <c r="C118" i="4"/>
  <c r="D117" i="4"/>
  <c r="C117" i="4"/>
  <c r="D116" i="4"/>
  <c r="C116" i="4"/>
  <c r="D115" i="4"/>
  <c r="C115" i="4"/>
  <c r="D114" i="4"/>
  <c r="C114" i="4"/>
  <c r="D113" i="4"/>
  <c r="C113" i="4"/>
  <c r="D112" i="4"/>
  <c r="C112" i="4"/>
  <c r="D111" i="4"/>
  <c r="C111" i="4"/>
  <c r="D110" i="4"/>
  <c r="C110" i="4"/>
  <c r="D109" i="4"/>
  <c r="C109" i="4"/>
  <c r="D108" i="4"/>
  <c r="C108" i="4"/>
  <c r="D107" i="4"/>
  <c r="C107" i="4"/>
  <c r="D106" i="4"/>
  <c r="C106" i="4"/>
  <c r="I98" i="4"/>
  <c r="H98" i="4"/>
  <c r="G98" i="4"/>
  <c r="F98" i="4"/>
  <c r="E98" i="4"/>
  <c r="D98" i="4"/>
  <c r="C98" i="4"/>
  <c r="I97" i="4"/>
  <c r="H97" i="4"/>
  <c r="G97" i="4"/>
  <c r="F97" i="4"/>
  <c r="E97" i="4"/>
  <c r="D97" i="4"/>
  <c r="C97" i="4"/>
  <c r="I91" i="4"/>
  <c r="H91" i="4"/>
  <c r="G91" i="4"/>
  <c r="F91" i="4"/>
  <c r="E91" i="4"/>
  <c r="D91" i="4"/>
  <c r="C91" i="4"/>
  <c r="I90" i="4"/>
  <c r="H90" i="4"/>
  <c r="G90" i="4"/>
  <c r="F90" i="4"/>
  <c r="E90" i="4"/>
  <c r="D90" i="4"/>
  <c r="C90" i="4"/>
  <c r="I89" i="4"/>
  <c r="H89" i="4"/>
  <c r="G89" i="4"/>
  <c r="F89" i="4"/>
  <c r="E89" i="4"/>
  <c r="D89" i="4"/>
  <c r="C89" i="4"/>
  <c r="C92" i="4" s="1"/>
  <c r="I88" i="4"/>
  <c r="H88" i="4"/>
  <c r="G88" i="4"/>
  <c r="F88" i="4"/>
  <c r="E88" i="4"/>
  <c r="D88" i="4"/>
  <c r="C88" i="4"/>
  <c r="I87" i="4"/>
  <c r="H87" i="4"/>
  <c r="G87" i="4"/>
  <c r="F87" i="4"/>
  <c r="E87" i="4"/>
  <c r="D87" i="4"/>
  <c r="C87" i="4"/>
  <c r="I85" i="4"/>
  <c r="H85" i="4"/>
  <c r="G85" i="4"/>
  <c r="F85" i="4"/>
  <c r="E85" i="4"/>
  <c r="D85" i="4"/>
  <c r="C85" i="4"/>
  <c r="I84" i="4"/>
  <c r="H84" i="4"/>
  <c r="G84" i="4"/>
  <c r="F84" i="4"/>
  <c r="E84" i="4"/>
  <c r="D84" i="4"/>
  <c r="C84" i="4"/>
  <c r="I83" i="4"/>
  <c r="H83" i="4"/>
  <c r="G83" i="4"/>
  <c r="F83" i="4"/>
  <c r="E83" i="4"/>
  <c r="D83" i="4"/>
  <c r="C83" i="4"/>
  <c r="I72" i="4"/>
  <c r="H72" i="4"/>
  <c r="G72" i="4"/>
  <c r="F72" i="4"/>
  <c r="E72" i="4"/>
  <c r="D72" i="4"/>
  <c r="C72" i="4"/>
  <c r="D69" i="4"/>
  <c r="C69" i="4"/>
  <c r="D68" i="4"/>
  <c r="C68" i="4"/>
  <c r="D66" i="4"/>
  <c r="C66" i="4"/>
  <c r="D65" i="4"/>
  <c r="C65" i="4"/>
  <c r="D64" i="4"/>
  <c r="C64" i="4"/>
  <c r="D62" i="4"/>
  <c r="C62" i="4"/>
  <c r="D61" i="4"/>
  <c r="C61" i="4"/>
  <c r="D59" i="4"/>
  <c r="C59" i="4"/>
  <c r="D58" i="4"/>
  <c r="J58" i="4" s="1"/>
  <c r="C58" i="4"/>
  <c r="D57" i="4"/>
  <c r="C57" i="4"/>
  <c r="D56" i="4"/>
  <c r="C56" i="4"/>
  <c r="D55" i="4"/>
  <c r="C55" i="4"/>
  <c r="D54" i="4"/>
  <c r="C54" i="4"/>
  <c r="D53" i="4"/>
  <c r="C53" i="4"/>
  <c r="D52" i="4"/>
  <c r="C52" i="4"/>
  <c r="D51" i="4"/>
  <c r="C51" i="4"/>
  <c r="D50" i="4"/>
  <c r="C50" i="4"/>
  <c r="D49" i="4"/>
  <c r="C49" i="4"/>
  <c r="D48" i="4"/>
  <c r="C48" i="4"/>
  <c r="D47" i="4"/>
  <c r="C47" i="4"/>
  <c r="D46" i="4"/>
  <c r="C46" i="4"/>
  <c r="D45" i="4"/>
  <c r="C45" i="4"/>
  <c r="D44" i="4"/>
  <c r="C44" i="4"/>
  <c r="D43" i="4"/>
  <c r="C43" i="4"/>
  <c r="D42" i="4"/>
  <c r="C42" i="4"/>
  <c r="D41" i="4"/>
  <c r="C41" i="4"/>
  <c r="D40" i="4"/>
  <c r="C40" i="4"/>
  <c r="D38" i="4"/>
  <c r="C38" i="4"/>
  <c r="D37" i="4"/>
  <c r="C37" i="4"/>
  <c r="D36" i="4"/>
  <c r="C36" i="4"/>
  <c r="D35" i="4"/>
  <c r="C35" i="4"/>
  <c r="D34" i="4"/>
  <c r="C34" i="4"/>
  <c r="D33" i="4"/>
  <c r="C33" i="4"/>
  <c r="D31" i="4"/>
  <c r="C31" i="4"/>
  <c r="D30" i="4"/>
  <c r="C30" i="4"/>
  <c r="D29" i="4"/>
  <c r="C29" i="4"/>
  <c r="D28" i="4"/>
  <c r="C28" i="4"/>
  <c r="C25" i="4" s="1"/>
  <c r="D27" i="4"/>
  <c r="C27" i="4"/>
  <c r="D26" i="4"/>
  <c r="C26" i="4"/>
  <c r="I21" i="4"/>
  <c r="H21" i="4"/>
  <c r="G21" i="4"/>
  <c r="F21" i="4"/>
  <c r="E21" i="4"/>
  <c r="D21" i="4"/>
  <c r="C21" i="4"/>
  <c r="I20" i="4"/>
  <c r="H20" i="4"/>
  <c r="G20" i="4"/>
  <c r="F20" i="4"/>
  <c r="E20" i="4"/>
  <c r="D20" i="4"/>
  <c r="C20" i="4"/>
  <c r="I19" i="4"/>
  <c r="H19" i="4"/>
  <c r="G19" i="4"/>
  <c r="F19" i="4"/>
  <c r="E19" i="4"/>
  <c r="D19" i="4"/>
  <c r="C19" i="4"/>
  <c r="I18" i="4"/>
  <c r="H18" i="4"/>
  <c r="G18" i="4"/>
  <c r="F18" i="4"/>
  <c r="E18" i="4"/>
  <c r="D18" i="4"/>
  <c r="C18" i="4"/>
  <c r="I17" i="4"/>
  <c r="H17" i="4"/>
  <c r="G17" i="4"/>
  <c r="F17" i="4"/>
  <c r="E17" i="4"/>
  <c r="D17" i="4"/>
  <c r="C17" i="4"/>
  <c r="I16" i="4"/>
  <c r="H16" i="4"/>
  <c r="G16" i="4"/>
  <c r="F16" i="4"/>
  <c r="E16" i="4"/>
  <c r="D16" i="4"/>
  <c r="C16" i="4"/>
  <c r="I15" i="4"/>
  <c r="H15" i="4"/>
  <c r="G15" i="4"/>
  <c r="F15" i="4"/>
  <c r="E15" i="4"/>
  <c r="D15" i="4"/>
  <c r="C15" i="4"/>
  <c r="I14" i="4"/>
  <c r="H14" i="4"/>
  <c r="G14" i="4"/>
  <c r="F14" i="4"/>
  <c r="E14" i="4"/>
  <c r="D14" i="4"/>
  <c r="C14" i="4"/>
  <c r="I13" i="4"/>
  <c r="H13" i="4"/>
  <c r="G13" i="4"/>
  <c r="F13" i="4"/>
  <c r="E13" i="4"/>
  <c r="D13" i="4"/>
  <c r="C13" i="4"/>
  <c r="I12" i="4"/>
  <c r="H12" i="4"/>
  <c r="G12" i="4"/>
  <c r="F12" i="4"/>
  <c r="E12" i="4"/>
  <c r="D12" i="4"/>
  <c r="C12" i="4"/>
  <c r="I11" i="4"/>
  <c r="H11" i="4"/>
  <c r="G11" i="4"/>
  <c r="F11" i="4"/>
  <c r="E11" i="4"/>
  <c r="D11" i="4"/>
  <c r="C11" i="4"/>
  <c r="I10" i="4"/>
  <c r="H10" i="4"/>
  <c r="G10" i="4"/>
  <c r="F10" i="4"/>
  <c r="E10" i="4"/>
  <c r="D10" i="4"/>
  <c r="C10" i="4"/>
  <c r="I9" i="4"/>
  <c r="H9" i="4"/>
  <c r="G9" i="4"/>
  <c r="F9" i="4"/>
  <c r="E9" i="4"/>
  <c r="D9" i="4"/>
  <c r="C9" i="4"/>
  <c r="I8" i="4"/>
  <c r="H8" i="4"/>
  <c r="G8" i="4"/>
  <c r="F8" i="4"/>
  <c r="E8" i="4"/>
  <c r="D8" i="4"/>
  <c r="C8" i="4"/>
  <c r="I7" i="4"/>
  <c r="H7" i="4"/>
  <c r="G7" i="4"/>
  <c r="F7" i="4"/>
  <c r="E7" i="4"/>
  <c r="D7" i="4"/>
  <c r="C7" i="4"/>
  <c r="I5" i="4"/>
  <c r="H5" i="4"/>
  <c r="G5" i="4"/>
  <c r="F5" i="4"/>
  <c r="E5" i="4"/>
  <c r="D5" i="4"/>
  <c r="C5" i="4"/>
  <c r="E122" i="4"/>
  <c r="F122" i="4"/>
  <c r="E114" i="4"/>
  <c r="E115" i="4"/>
  <c r="E116" i="4"/>
  <c r="F115" i="4"/>
  <c r="F116" i="4"/>
  <c r="F114" i="4"/>
  <c r="D135" i="5"/>
  <c r="B100" i="5" s="1"/>
  <c r="D137" i="4"/>
  <c r="B76" i="4" s="1"/>
  <c r="J43" i="4"/>
  <c r="J46" i="4"/>
  <c r="J16" i="4"/>
  <c r="D71" i="4"/>
  <c r="D73" i="4" s="1"/>
  <c r="J27" i="4"/>
  <c r="J26" i="4"/>
  <c r="J15" i="4"/>
  <c r="J53" i="4"/>
  <c r="J33" i="4"/>
  <c r="J47" i="4"/>
  <c r="J48" i="4"/>
  <c r="J9" i="4"/>
  <c r="J49" i="4"/>
  <c r="J35" i="4"/>
  <c r="J14" i="4"/>
  <c r="J54" i="4"/>
  <c r="J59" i="4"/>
  <c r="J55" i="4"/>
  <c r="J64" i="4"/>
  <c r="J69" i="4"/>
  <c r="J61" i="4"/>
  <c r="J13" i="4"/>
  <c r="J56" i="4"/>
  <c r="J42" i="4"/>
  <c r="J68" i="4"/>
  <c r="J21" i="4"/>
  <c r="J45" i="4"/>
  <c r="J50" i="4"/>
  <c r="J12" i="4"/>
  <c r="J71" i="4"/>
  <c r="J62" i="4"/>
  <c r="J66" i="4"/>
  <c r="J5" i="4"/>
  <c r="J10" i="4"/>
  <c r="J8" i="4"/>
  <c r="J34" i="4"/>
  <c r="J41" i="4"/>
  <c r="J28" i="4"/>
  <c r="J17" i="4"/>
  <c r="J36" i="4"/>
  <c r="J30" i="4"/>
  <c r="J44" i="4"/>
  <c r="J7" i="4"/>
  <c r="J72" i="4"/>
  <c r="J40" i="4"/>
  <c r="J51" i="4"/>
  <c r="J31" i="4"/>
  <c r="J20" i="4"/>
  <c r="J37" i="4"/>
  <c r="J65" i="4"/>
  <c r="J19" i="4"/>
  <c r="J57" i="4"/>
  <c r="J38" i="4"/>
  <c r="J52" i="4"/>
  <c r="D93" i="4"/>
  <c r="J11" i="4"/>
  <c r="J29" i="4"/>
  <c r="J18" i="4"/>
  <c r="F71" i="4"/>
  <c r="F73" i="4" s="1"/>
  <c r="F6" i="4"/>
  <c r="F22" i="4" s="1"/>
  <c r="H71" i="4"/>
  <c r="H73" i="4" s="1"/>
  <c r="H6" i="4"/>
  <c r="H22" i="4" s="1"/>
  <c r="K7" i="4"/>
  <c r="K9" i="4"/>
  <c r="K11" i="4"/>
  <c r="K13" i="4"/>
  <c r="C93" i="4"/>
  <c r="K5" i="4"/>
  <c r="C71" i="4"/>
  <c r="K71" i="4" s="1"/>
  <c r="E71" i="4"/>
  <c r="E73" i="4" s="1"/>
  <c r="E6" i="4"/>
  <c r="E22" i="4" s="1"/>
  <c r="G71" i="4"/>
  <c r="G73" i="4" s="1"/>
  <c r="G6" i="4"/>
  <c r="G22" i="4" s="1"/>
  <c r="I6" i="4"/>
  <c r="I22" i="4" s="1"/>
  <c r="I71" i="4"/>
  <c r="I73" i="4" s="1"/>
  <c r="K8" i="4"/>
  <c r="K10" i="4"/>
  <c r="K12" i="4"/>
  <c r="K14" i="4"/>
  <c r="K15" i="4"/>
  <c r="K17" i="4"/>
  <c r="K19" i="4"/>
  <c r="K21" i="4"/>
  <c r="D25" i="4"/>
  <c r="J25" i="4" s="1"/>
  <c r="D32" i="4"/>
  <c r="J32" i="4" s="1"/>
  <c r="D39" i="4"/>
  <c r="J39" i="4" s="1"/>
  <c r="D63" i="4"/>
  <c r="D67" i="4"/>
  <c r="J67" i="4" s="1"/>
  <c r="C86" i="4"/>
  <c r="K83" i="4"/>
  <c r="E86" i="4"/>
  <c r="E92" i="4" s="1"/>
  <c r="G86" i="4"/>
  <c r="G92" i="4"/>
  <c r="I86" i="4"/>
  <c r="I92" i="4" s="1"/>
  <c r="K85" i="4"/>
  <c r="K88" i="4"/>
  <c r="K90" i="4"/>
  <c r="C99" i="4"/>
  <c r="K99" i="4" s="1"/>
  <c r="K97" i="4"/>
  <c r="E99" i="4"/>
  <c r="G99" i="4"/>
  <c r="I99" i="4"/>
  <c r="F106" i="4"/>
  <c r="F107" i="4"/>
  <c r="F108" i="4"/>
  <c r="F109" i="4"/>
  <c r="F110" i="4"/>
  <c r="F111" i="4"/>
  <c r="F112" i="4"/>
  <c r="F113" i="4"/>
  <c r="F117" i="4"/>
  <c r="F118" i="4"/>
  <c r="F119" i="4"/>
  <c r="F121" i="4"/>
  <c r="K16" i="4"/>
  <c r="K18" i="4"/>
  <c r="K20" i="4"/>
  <c r="K26" i="4"/>
  <c r="K27" i="4"/>
  <c r="K29" i="4"/>
  <c r="K30" i="4"/>
  <c r="K31" i="4"/>
  <c r="C32" i="4"/>
  <c r="K33" i="4"/>
  <c r="K34" i="4"/>
  <c r="K35" i="4"/>
  <c r="K36" i="4"/>
  <c r="K37" i="4"/>
  <c r="K38" i="4"/>
  <c r="C39" i="4"/>
  <c r="K40" i="4"/>
  <c r="K41" i="4"/>
  <c r="K42" i="4"/>
  <c r="K43" i="4"/>
  <c r="K44" i="4"/>
  <c r="K45" i="4"/>
  <c r="K46" i="4"/>
  <c r="K47" i="4"/>
  <c r="K48" i="4"/>
  <c r="K49" i="4"/>
  <c r="K50" i="4"/>
  <c r="K51" i="4"/>
  <c r="K52" i="4"/>
  <c r="K53" i="4"/>
  <c r="K54" i="4"/>
  <c r="K55" i="4"/>
  <c r="K56" i="4"/>
  <c r="K57" i="4"/>
  <c r="K58" i="4"/>
  <c r="K59" i="4"/>
  <c r="K61" i="4"/>
  <c r="K62" i="4"/>
  <c r="C63" i="4"/>
  <c r="K64" i="4"/>
  <c r="K65" i="4"/>
  <c r="K66" i="4"/>
  <c r="C67" i="4"/>
  <c r="K68" i="4"/>
  <c r="K69" i="4"/>
  <c r="K72" i="4"/>
  <c r="J89" i="4"/>
  <c r="J90" i="4"/>
  <c r="J87" i="4"/>
  <c r="J91" i="4"/>
  <c r="D86" i="4"/>
  <c r="D92" i="4"/>
  <c r="J92" i="4" s="1"/>
  <c r="J85" i="4"/>
  <c r="J84" i="4"/>
  <c r="J83" i="4"/>
  <c r="J88" i="4"/>
  <c r="F86" i="4"/>
  <c r="H86" i="4"/>
  <c r="H92" i="4"/>
  <c r="K84" i="4"/>
  <c r="K87" i="4"/>
  <c r="K89" i="4"/>
  <c r="K91" i="4"/>
  <c r="J98" i="4"/>
  <c r="D99" i="4"/>
  <c r="J99" i="4"/>
  <c r="J97" i="4"/>
  <c r="F99" i="4"/>
  <c r="H99" i="4"/>
  <c r="K98" i="4"/>
  <c r="E110" i="4"/>
  <c r="E109" i="4"/>
  <c r="E106" i="4"/>
  <c r="E112" i="4"/>
  <c r="E108" i="4"/>
  <c r="E113" i="4"/>
  <c r="E111" i="4"/>
  <c r="E107" i="4"/>
  <c r="E120" i="4"/>
  <c r="E118" i="4"/>
  <c r="E117" i="4"/>
  <c r="E121" i="4"/>
  <c r="E119" i="4"/>
  <c r="J86" i="4"/>
  <c r="C73" i="4"/>
  <c r="C94" i="4" s="1"/>
  <c r="K86" i="4"/>
  <c r="D60" i="4" l="1"/>
  <c r="J60" i="4" s="1"/>
  <c r="B1" i="5"/>
  <c r="B76" i="5"/>
  <c r="B1" i="4"/>
  <c r="B101" i="4"/>
  <c r="F92" i="4"/>
  <c r="K92" i="4"/>
  <c r="K67" i="4"/>
  <c r="C60" i="4"/>
  <c r="K60" i="4" s="1"/>
  <c r="K63" i="4"/>
  <c r="J63" i="4"/>
  <c r="K39" i="4"/>
  <c r="K32" i="4"/>
  <c r="D24" i="4"/>
  <c r="D23" i="4" s="1"/>
  <c r="D6" i="4" s="1"/>
  <c r="K25" i="4"/>
  <c r="C24" i="4"/>
  <c r="C23" i="4" s="1"/>
  <c r="C6" i="4" s="1"/>
  <c r="C22" i="4" s="1"/>
  <c r="K28" i="4"/>
  <c r="J23" i="4"/>
  <c r="J24" i="4"/>
  <c r="J73" i="4"/>
  <c r="D94" i="4"/>
  <c r="K73" i="4"/>
  <c r="K23" i="4" l="1"/>
  <c r="L17" i="4"/>
  <c r="L6" i="4"/>
  <c r="L20" i="4"/>
  <c r="L7" i="4"/>
  <c r="L9" i="4"/>
  <c r="L19" i="4"/>
  <c r="K24" i="4"/>
  <c r="L14" i="4"/>
  <c r="L10" i="4"/>
  <c r="L15" i="4"/>
  <c r="J6" i="4"/>
  <c r="L12" i="4"/>
  <c r="L21" i="4"/>
  <c r="L13" i="4"/>
  <c r="L11" i="4"/>
  <c r="L16" i="4"/>
  <c r="D22" i="4"/>
  <c r="L8" i="4"/>
  <c r="L18" i="4"/>
  <c r="K6" i="4"/>
  <c r="J22" i="4" l="1"/>
  <c r="L22" i="4"/>
  <c r="K22" i="4"/>
</calcChain>
</file>

<file path=xl/sharedStrings.xml><?xml version="1.0" encoding="utf-8"?>
<sst xmlns="http://schemas.openxmlformats.org/spreadsheetml/2006/main" count="987" uniqueCount="503">
  <si>
    <t xml:space="preserve">Wyszczególnienie </t>
  </si>
  <si>
    <t xml:space="preserve">Wykonanie </t>
  </si>
  <si>
    <t xml:space="preserve">Struktura </t>
  </si>
  <si>
    <t>Struktura dochodów  własnych</t>
  </si>
  <si>
    <t>w %%</t>
  </si>
  <si>
    <t>DOCHODY OGÓŁEM</t>
  </si>
  <si>
    <t>w tym:   inwestycyjne</t>
  </si>
  <si>
    <t>otrzymane z funduszy celowych</t>
  </si>
  <si>
    <t xml:space="preserve">na zadania realizowane na podstawie porozumień  z org. adm. rządowej </t>
  </si>
  <si>
    <t>na zadania realizowane na podstawie porozumień między jst</t>
  </si>
  <si>
    <t>A</t>
  </si>
  <si>
    <t>A1</t>
  </si>
  <si>
    <t>A2</t>
  </si>
  <si>
    <t>A3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</si>
  <si>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</si>
  <si>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</si>
  <si>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</si>
  <si>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</si>
  <si>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</si>
  <si>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</si>
  <si>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</si>
  <si>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</si>
  <si>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</si>
  <si>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</si>
  <si>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</si>
  <si>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</si>
  <si>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</si>
  <si>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</si>
  <si>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</si>
  <si>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</si>
  <si>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</si>
  <si>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</si>
  <si>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</si>
  <si>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</si>
  <si>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</si>
  <si>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</si>
  <si>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</si>
  <si>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</si>
  <si>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Zobowiązania wg stanu na koniec 
okresu sprawozdawczego</t>
  </si>
  <si>
    <t>w tym:   wydatki na inwestycje</t>
  </si>
  <si>
    <t xml:space="preserve">wydatki majątkowe      </t>
  </si>
  <si>
    <t>B</t>
  </si>
  <si>
    <t>B1</t>
  </si>
  <si>
    <t>B2</t>
  </si>
  <si>
    <t>B3</t>
  </si>
  <si>
    <t>B4</t>
  </si>
  <si>
    <t>B5</t>
  </si>
  <si>
    <t>B6</t>
  </si>
  <si>
    <t>B7</t>
  </si>
  <si>
    <t>B8</t>
  </si>
  <si>
    <t>B9</t>
  </si>
  <si>
    <t>C</t>
  </si>
  <si>
    <t xml:space="preserve">WYNIK  </t>
  </si>
  <si>
    <t>Wyszczególnienie</t>
  </si>
  <si>
    <t>Plan (po zmianach)</t>
  </si>
  <si>
    <t>D1</t>
  </si>
  <si>
    <t>D11</t>
  </si>
  <si>
    <t>D12</t>
  </si>
  <si>
    <t>D13</t>
  </si>
  <si>
    <t>D14</t>
  </si>
  <si>
    <t>D15</t>
  </si>
  <si>
    <t>D16</t>
  </si>
  <si>
    <t>D2</t>
  </si>
  <si>
    <t>D21</t>
  </si>
  <si>
    <t>D22</t>
  </si>
  <si>
    <t>Wskaźnik 
(3:2)</t>
  </si>
  <si>
    <t>A28</t>
  </si>
  <si>
    <t>A29</t>
  </si>
  <si>
    <t xml:space="preserve">podatek rolny  </t>
  </si>
  <si>
    <t xml:space="preserve">podatek od nieruchomości </t>
  </si>
  <si>
    <t xml:space="preserve">podatek leśny        </t>
  </si>
  <si>
    <t>podatek od środków transportowych</t>
  </si>
  <si>
    <t>dochody z majątku</t>
  </si>
  <si>
    <t xml:space="preserve">pozostałe dochody </t>
  </si>
  <si>
    <t>A1/A</t>
  </si>
  <si>
    <t>A2/A</t>
  </si>
  <si>
    <t>A3/A</t>
  </si>
  <si>
    <t>A4/A</t>
  </si>
  <si>
    <t>A5/A</t>
  </si>
  <si>
    <t>A6/A</t>
  </si>
  <si>
    <t>A7/A</t>
  </si>
  <si>
    <t>A8/A</t>
  </si>
  <si>
    <t>A9/A</t>
  </si>
  <si>
    <t>A10/A</t>
  </si>
  <si>
    <t>A11/A</t>
  </si>
  <si>
    <t>A12/A</t>
  </si>
  <si>
    <t>A13/A</t>
  </si>
  <si>
    <t>A14/A</t>
  </si>
  <si>
    <t>A15/A</t>
  </si>
  <si>
    <t>A16/A</t>
  </si>
  <si>
    <t>A17/A</t>
  </si>
  <si>
    <t>A18/A</t>
  </si>
  <si>
    <t>A19/A</t>
  </si>
  <si>
    <t>A20/A</t>
  </si>
  <si>
    <t>A21/A</t>
  </si>
  <si>
    <t>A22/A</t>
  </si>
  <si>
    <t>A23/A</t>
  </si>
  <si>
    <t>A24/A</t>
  </si>
  <si>
    <t>A25/A</t>
  </si>
  <si>
    <t>A26/A</t>
  </si>
  <si>
    <t>A27/A</t>
  </si>
  <si>
    <t>A28/A</t>
  </si>
  <si>
    <t>A29/A</t>
  </si>
  <si>
    <t>R4/R1</t>
  </si>
  <si>
    <t>A2/A1</t>
  </si>
  <si>
    <t>A3/A1</t>
  </si>
  <si>
    <t>A4/A1</t>
  </si>
  <si>
    <t>A5/A1</t>
  </si>
  <si>
    <t>A6/A1</t>
  </si>
  <si>
    <t>A7/A1</t>
  </si>
  <si>
    <t>A8/A1</t>
  </si>
  <si>
    <t>A9/A1</t>
  </si>
  <si>
    <t>A10/A1</t>
  </si>
  <si>
    <t>A11/A1</t>
  </si>
  <si>
    <t>A12/A1</t>
  </si>
  <si>
    <t>A13/A1</t>
  </si>
  <si>
    <t>A14/A1</t>
  </si>
  <si>
    <t>B1/B</t>
  </si>
  <si>
    <t>B2/B</t>
  </si>
  <si>
    <t>B3/B</t>
  </si>
  <si>
    <t>B4/B</t>
  </si>
  <si>
    <t>B5/B</t>
  </si>
  <si>
    <t>B6/B</t>
  </si>
  <si>
    <t>B7/B</t>
  </si>
  <si>
    <t>B8/B</t>
  </si>
  <si>
    <t>B9/B</t>
  </si>
  <si>
    <t>C=A-B</t>
  </si>
  <si>
    <t>DW</t>
  </si>
  <si>
    <t>B3=B-B1</t>
  </si>
  <si>
    <t>Struktura</t>
  </si>
  <si>
    <t>Wskaźnik</t>
  </si>
  <si>
    <t>D1W/D1P</t>
  </si>
  <si>
    <t>D11W/D1W</t>
  </si>
  <si>
    <t>D11W/D11P</t>
  </si>
  <si>
    <t>D12W/D1W</t>
  </si>
  <si>
    <t>D12W/D12P</t>
  </si>
  <si>
    <t>D13W/D1W</t>
  </si>
  <si>
    <t>D13W/D13P</t>
  </si>
  <si>
    <t>D14W/D1W</t>
  </si>
  <si>
    <t>D14W/D14P</t>
  </si>
  <si>
    <t>D15W/D1W</t>
  </si>
  <si>
    <t>D15W/D15P</t>
  </si>
  <si>
    <t>D16W/D1W</t>
  </si>
  <si>
    <t>D16W/D16P</t>
  </si>
  <si>
    <t>D21W/D2W</t>
  </si>
  <si>
    <t>D21W/D21P</t>
  </si>
  <si>
    <t>D22W/D2W</t>
  </si>
  <si>
    <t>D22W/D22P</t>
  </si>
  <si>
    <t xml:space="preserve">podatek od spadków i darowizn       </t>
  </si>
  <si>
    <t>podatek od czynności cywilnoprawnych</t>
  </si>
  <si>
    <t>A30</t>
  </si>
  <si>
    <t>A30/A</t>
  </si>
  <si>
    <t>A15/A1</t>
  </si>
  <si>
    <t>D2W/D2P</t>
  </si>
  <si>
    <t>A31</t>
  </si>
  <si>
    <t>A32</t>
  </si>
  <si>
    <t>A31/A</t>
  </si>
  <si>
    <t>A32/A</t>
  </si>
  <si>
    <t>D111</t>
  </si>
  <si>
    <t>na realizację programów i projektów realizowanych z udziałem środków pochodzących z funduszy strukturalnych i Funduszu Spójności UE, w tym:</t>
  </si>
  <si>
    <t>D111W/D1W</t>
  </si>
  <si>
    <t>D111W/D111P</t>
  </si>
  <si>
    <t xml:space="preserve">  spłaty pożyczek udzielonych</t>
  </si>
  <si>
    <t xml:space="preserve">  nadwyżka z lat ubiegłych</t>
  </si>
  <si>
    <t xml:space="preserve">  papiery wartościowe</t>
  </si>
  <si>
    <t xml:space="preserve">  prywatyzacja majątku j.s.t.</t>
  </si>
  <si>
    <t xml:space="preserve"> ROZCHODY OGÓŁEM     z tego:</t>
  </si>
  <si>
    <t xml:space="preserve">  spłaty kredytów i pożyczek</t>
  </si>
  <si>
    <t>D211</t>
  </si>
  <si>
    <t>D211W/D2W</t>
  </si>
  <si>
    <t>D211W/D211P</t>
  </si>
  <si>
    <t xml:space="preserve">  pożyczki</t>
  </si>
  <si>
    <t xml:space="preserve">  wykup obligacji samorządowych</t>
  </si>
  <si>
    <t>w tym wymagalne:</t>
  </si>
  <si>
    <r>
      <t xml:space="preserve">Plan 
(po zmianach)
</t>
    </r>
    <r>
      <rPr>
        <b/>
        <sz val="10"/>
        <color indexed="8"/>
        <rFont val="Arial"/>
        <family val="2"/>
        <charset val="238"/>
      </rPr>
      <t>R1</t>
    </r>
  </si>
  <si>
    <r>
      <t xml:space="preserve">Dochody 
wykonane
(wpływy minus zwroty) 
</t>
    </r>
    <r>
      <rPr>
        <b/>
        <sz val="10"/>
        <color indexed="8"/>
        <rFont val="Arial"/>
        <family val="2"/>
        <charset val="238"/>
      </rPr>
      <t>R4</t>
    </r>
  </si>
  <si>
    <r>
      <t xml:space="preserve">Obniżenie górnych stawek podatkowych
</t>
    </r>
    <r>
      <rPr>
        <b/>
        <sz val="10"/>
        <color indexed="8"/>
        <rFont val="Arial"/>
        <family val="2"/>
        <charset val="238"/>
      </rPr>
      <t>R7</t>
    </r>
  </si>
  <si>
    <r>
      <t xml:space="preserve">Ulgi i zwolnienia
</t>
    </r>
    <r>
      <rPr>
        <b/>
        <sz val="10"/>
        <color indexed="8"/>
        <rFont val="Arial"/>
        <family val="2"/>
        <charset val="238"/>
      </rPr>
      <t>R8</t>
    </r>
  </si>
  <si>
    <r>
      <t xml:space="preserve">Umorzenie zaległości podatkowych
</t>
    </r>
    <r>
      <rPr>
        <b/>
        <sz val="10"/>
        <color indexed="8"/>
        <rFont val="Arial"/>
        <family val="2"/>
        <charset val="238"/>
      </rPr>
      <t>R11Z</t>
    </r>
  </si>
  <si>
    <r>
      <t xml:space="preserve">Rozłożenie na raty, odroczenie terminu płatności
</t>
    </r>
    <r>
      <rPr>
        <b/>
        <sz val="10"/>
        <color indexed="8"/>
        <rFont val="Arial"/>
        <family val="2"/>
        <charset val="238"/>
      </rPr>
      <t>R11R</t>
    </r>
  </si>
  <si>
    <r>
      <t xml:space="preserve">Potrącenia 
</t>
    </r>
    <r>
      <rPr>
        <b/>
        <sz val="10"/>
        <color indexed="8"/>
        <rFont val="Arial"/>
        <family val="2"/>
        <charset val="238"/>
      </rPr>
      <t>R3</t>
    </r>
  </si>
  <si>
    <t>uzupełnienie subwencji ogólnej</t>
  </si>
  <si>
    <t xml:space="preserve">podatek od dział. gosp. osób fizycznych, opłacany w formie karty podatkowej </t>
  </si>
  <si>
    <t>część równoważąca</t>
  </si>
  <si>
    <t>część rekompensująca</t>
  </si>
  <si>
    <t>część oświatowa</t>
  </si>
  <si>
    <t>część wyrównawcza</t>
  </si>
  <si>
    <t>pozostałe wydatki</t>
  </si>
  <si>
    <t>wydatki na obsługę długu</t>
  </si>
  <si>
    <t>dotacje</t>
  </si>
  <si>
    <r>
      <t xml:space="preserve">powstałe w latach ubiegłych
</t>
    </r>
    <r>
      <rPr>
        <b/>
        <sz val="10"/>
        <rFont val="Arial"/>
        <family val="2"/>
        <charset val="238"/>
      </rPr>
      <t>R12U</t>
    </r>
  </si>
  <si>
    <r>
      <t xml:space="preserve">powstałe w roku bieżącym
</t>
    </r>
    <r>
      <rPr>
        <b/>
        <sz val="10"/>
        <rFont val="Arial"/>
        <family val="2"/>
        <charset val="238"/>
      </rPr>
      <t>R12B</t>
    </r>
  </si>
  <si>
    <t>B=Σ§§</t>
  </si>
  <si>
    <t>PL</t>
  </si>
  <si>
    <t>SO</t>
  </si>
  <si>
    <t>SU</t>
  </si>
  <si>
    <t>PO</t>
  </si>
  <si>
    <t>UZ</t>
  </si>
  <si>
    <t>OT</t>
  </si>
  <si>
    <t>A = Σ §§</t>
  </si>
  <si>
    <t>ZA</t>
  </si>
  <si>
    <t>WW</t>
  </si>
  <si>
    <t>ZO</t>
  </si>
  <si>
    <t>LU</t>
  </si>
  <si>
    <t>RB</t>
  </si>
  <si>
    <t>WN</t>
  </si>
  <si>
    <t>P</t>
  </si>
  <si>
    <t>W</t>
  </si>
  <si>
    <r>
      <t xml:space="preserve">Plan 
(po zmianach)
</t>
    </r>
    <r>
      <rPr>
        <b/>
        <sz val="10"/>
        <rFont val="Arial"/>
        <family val="2"/>
        <charset val="238"/>
      </rPr>
      <t>R1</t>
    </r>
  </si>
  <si>
    <r>
      <t xml:space="preserve">Zaangażowanie
</t>
    </r>
    <r>
      <rPr>
        <b/>
        <sz val="10"/>
        <rFont val="Arial"/>
        <family val="2"/>
        <charset val="238"/>
      </rPr>
      <t>R10</t>
    </r>
  </si>
  <si>
    <r>
      <t xml:space="preserve">Wydatki
 wykonane
</t>
    </r>
    <r>
      <rPr>
        <b/>
        <sz val="10"/>
        <rFont val="Arial"/>
        <family val="2"/>
        <charset val="238"/>
      </rPr>
      <t>R4</t>
    </r>
  </si>
  <si>
    <r>
      <t xml:space="preserve">ogółem
</t>
    </r>
    <r>
      <rPr>
        <b/>
        <sz val="10"/>
        <rFont val="Arial"/>
        <family val="2"/>
        <charset val="238"/>
      </rPr>
      <t>R11</t>
    </r>
  </si>
  <si>
    <t>A16/A1</t>
  </si>
  <si>
    <t>A17/A1</t>
  </si>
  <si>
    <t>A33</t>
  </si>
  <si>
    <t>A34</t>
  </si>
  <si>
    <t>opłata skarbowa</t>
  </si>
  <si>
    <t>opłata eksploatacyjna</t>
  </si>
  <si>
    <t>opłata targowa</t>
  </si>
  <si>
    <t>- część gminna</t>
  </si>
  <si>
    <t>- część powiatowa</t>
  </si>
  <si>
    <t>- pozostałe</t>
  </si>
  <si>
    <t>Subwencja ogólna dla gmin z tego:</t>
  </si>
  <si>
    <t>Subwencja ogólna dla powiatów z tego:</t>
  </si>
  <si>
    <t>A35</t>
  </si>
  <si>
    <t>A36</t>
  </si>
  <si>
    <t>A37</t>
  </si>
  <si>
    <t>A38</t>
  </si>
  <si>
    <t>A39</t>
  </si>
  <si>
    <t>A40</t>
  </si>
  <si>
    <t>A41</t>
  </si>
  <si>
    <t>A42</t>
  </si>
  <si>
    <t>A43</t>
  </si>
  <si>
    <t>A44</t>
  </si>
  <si>
    <t>A45</t>
  </si>
  <si>
    <t>A46</t>
  </si>
  <si>
    <t>A47</t>
  </si>
  <si>
    <t>A33/A</t>
  </si>
  <si>
    <t>A34/A</t>
  </si>
  <si>
    <t>A35/A</t>
  </si>
  <si>
    <t>#</t>
  </si>
  <si>
    <t>Razem dochody własne 
z tego:</t>
  </si>
  <si>
    <t>podatek dochodowy od osób prawnych - 
część gminna</t>
  </si>
  <si>
    <t>podatek dochodowy od osób prawnych - 
część powiatowa</t>
  </si>
  <si>
    <t>podatek dochodowy od osób fizycznych - 
część gminna</t>
  </si>
  <si>
    <t>podatek dochodowy od osób fizycznych - 
część powiatowa</t>
  </si>
  <si>
    <t>Dotacje celowe 
z tego:</t>
  </si>
  <si>
    <t>Subwencja ogólna 
z tego:</t>
  </si>
  <si>
    <t>WYDATKI OGÓŁEM 
z tego:</t>
  </si>
  <si>
    <t>wydatki bieżące 
z tego:</t>
  </si>
  <si>
    <t>Przychody ogółem 
z tego:</t>
  </si>
  <si>
    <t>Rozchody ogółem 
z tego:</t>
  </si>
  <si>
    <t>kwartał</t>
  </si>
  <si>
    <t>rok</t>
  </si>
  <si>
    <t>stanNa</t>
  </si>
  <si>
    <t>Symbol=D1</t>
  </si>
  <si>
    <t>Symbol=D11</t>
  </si>
  <si>
    <t>Symbol=D111</t>
  </si>
  <si>
    <t>Symbol=D12</t>
  </si>
  <si>
    <t>Symbol=D13</t>
  </si>
  <si>
    <t>Symbol=D14</t>
  </si>
  <si>
    <t>Symbol=D15</t>
  </si>
  <si>
    <t>Symbol=D16</t>
  </si>
  <si>
    <t>Symbol=D2</t>
  </si>
  <si>
    <t>Symbol=D21</t>
  </si>
  <si>
    <t>Symbol=D211</t>
  </si>
  <si>
    <t>Symbol=D22</t>
  </si>
  <si>
    <t>paragraf zawiera(002) i dzial zawiera(756) i rozdzial zawiera(75621)</t>
  </si>
  <si>
    <t>paragraf zawiera(002) i dzial zawiera(756) i rozdzial zawiera(75622)</t>
  </si>
  <si>
    <t>paragraf zawiera(001) i dzial zawiera(756) i rozdzial zawiera(75621)</t>
  </si>
  <si>
    <t>paragraf zawiera(001) i dzial zawiera(756) i rozdzial zawiera(75622)</t>
  </si>
  <si>
    <t>paragraf zawiera(032)</t>
  </si>
  <si>
    <t>paragraf zawiera(031)</t>
  </si>
  <si>
    <t>paragraf zawiera(033)</t>
  </si>
  <si>
    <t>paragraf zawiera(034)</t>
  </si>
  <si>
    <t>paragraf zawiera(035)</t>
  </si>
  <si>
    <t>paragraf zawiera(036)</t>
  </si>
  <si>
    <t>paragraf zawiera(050)</t>
  </si>
  <si>
    <t>paragraf zawiera(041)</t>
  </si>
  <si>
    <t>paragraf zawiera(046)</t>
  </si>
  <si>
    <t>paragraf zawiera(043)</t>
  </si>
  <si>
    <t>paragraf zawiera(202,632)</t>
  </si>
  <si>
    <t>paragraf zawiera(632)</t>
  </si>
  <si>
    <t>paragraf zawiera(212,642)</t>
  </si>
  <si>
    <t>paragraf zawiera(642)</t>
  </si>
  <si>
    <t>paragraf zawiera(231,232,233,288,661,662,663,664)</t>
  </si>
  <si>
    <t>paragraf zawiera(661,662,663,664)</t>
  </si>
  <si>
    <t>paragraf zawiera(244,626)</t>
  </si>
  <si>
    <t>paragraf zawiera(626)</t>
  </si>
  <si>
    <t>paragraf zawiera(292) i dzial zawiera(758) i rozdzial zawiera(75801)</t>
  </si>
  <si>
    <t>paragraf zawiera(292) i dzial zawiera(758) i rozdzial zawiera(75807)</t>
  </si>
  <si>
    <t>paragraf zawiera(292) i dzial zawiera(758) i rozdzial zawiera(75805)</t>
  </si>
  <si>
    <t>paragraf zawiera(292) i dzial zawiera(758) i rozdzial zawiera(75831)</t>
  </si>
  <si>
    <t>paragraf zawiera(292) i dzial zawiera(758) i rozdzial zawiera(75832)</t>
  </si>
  <si>
    <t>paragraf zawiera(292) i dzial zawiera(758) i rozdzial zawiera(75803)</t>
  </si>
  <si>
    <t>wydatki z tytułu udzielania poręczeń i gwarancji</t>
  </si>
  <si>
    <t>D23</t>
  </si>
  <si>
    <t>Symbol=D23</t>
  </si>
  <si>
    <t>D23W/D23P</t>
  </si>
  <si>
    <t>D23W/D2W</t>
  </si>
  <si>
    <t>paragraf zawiera(200,620)</t>
  </si>
  <si>
    <t>paragraf zawiera(620)</t>
  </si>
  <si>
    <t>A48</t>
  </si>
  <si>
    <t>A49</t>
  </si>
  <si>
    <t>Dotacje ogółem                       z tego:</t>
  </si>
  <si>
    <t>A50</t>
  </si>
  <si>
    <t>świadczenia na rzecz osób fizycznych</t>
  </si>
  <si>
    <r>
      <t xml:space="preserve">Dotacja </t>
    </r>
    <r>
      <rPr>
        <b/>
        <sz val="10"/>
        <color indexed="8"/>
        <rFont val="Arial"/>
        <family val="2"/>
        <charset val="238"/>
      </rPr>
      <t>§§ 200 i 620</t>
    </r>
  </si>
  <si>
    <r>
      <t xml:space="preserve">w tym: inwestycyjne </t>
    </r>
    <r>
      <rPr>
        <sz val="8"/>
        <color indexed="8"/>
        <rFont val="Arial"/>
        <family val="2"/>
        <charset val="238"/>
      </rPr>
      <t>§ 620</t>
    </r>
  </si>
  <si>
    <t>tytul</t>
  </si>
  <si>
    <t>majątkowe</t>
  </si>
  <si>
    <t>bieżące</t>
  </si>
  <si>
    <r>
      <t>A=</t>
    </r>
    <r>
      <rPr>
        <sz val="8"/>
        <color indexed="8"/>
        <rFont val="Arial"/>
        <family val="2"/>
        <charset val="238"/>
      </rPr>
      <t xml:space="preserve">∑ </t>
    </r>
    <r>
      <rPr>
        <sz val="8"/>
        <color indexed="8"/>
        <rFont val="Arial"/>
        <family val="2"/>
        <charset val="238"/>
      </rPr>
      <t>§§</t>
    </r>
  </si>
  <si>
    <t>AM</t>
  </si>
  <si>
    <t>AB</t>
  </si>
  <si>
    <t>AB=A-AM</t>
  </si>
  <si>
    <t>UE</t>
  </si>
  <si>
    <t>wydatki majątkowe</t>
  </si>
  <si>
    <t>wydatki bieżące</t>
  </si>
  <si>
    <t>UE1</t>
  </si>
  <si>
    <t>UE2</t>
  </si>
  <si>
    <t>UE2=UE-UE1</t>
  </si>
  <si>
    <t>WYDATKI OGÓŁEM UE z tego:</t>
  </si>
  <si>
    <t>UE1/UE</t>
  </si>
  <si>
    <t>UE2/UE</t>
  </si>
  <si>
    <t>AM/A</t>
  </si>
  <si>
    <t>AB/A</t>
  </si>
  <si>
    <t>w złotych</t>
  </si>
  <si>
    <t>A17=A1-A2-A3-A4-A5-A6-A7-A8-A9-A10-A11-A12-A13-A14-A15-A16</t>
  </si>
  <si>
    <t>paragraf zawiera(630)</t>
  </si>
  <si>
    <t>A51</t>
  </si>
  <si>
    <t>A52</t>
  </si>
  <si>
    <t>A36/A</t>
  </si>
  <si>
    <t>A37/A</t>
  </si>
  <si>
    <t>A38/A</t>
  </si>
  <si>
    <t>A39/A</t>
  </si>
  <si>
    <t>A40/A</t>
  </si>
  <si>
    <t>A41/A</t>
  </si>
  <si>
    <t>A42/A</t>
  </si>
  <si>
    <t>A43/A</t>
  </si>
  <si>
    <t>A44/A</t>
  </si>
  <si>
    <t>A45/A</t>
  </si>
  <si>
    <t>A46/A</t>
  </si>
  <si>
    <t>A47/A</t>
  </si>
  <si>
    <t>A48/A</t>
  </si>
  <si>
    <t>A49/A</t>
  </si>
  <si>
    <t>A50/A</t>
  </si>
  <si>
    <t>A51/A</t>
  </si>
  <si>
    <t>A52/A</t>
  </si>
  <si>
    <t>z tytułu pomocy finansowej udzielanej między jst na dofinansowanie własnych zadań</t>
  </si>
  <si>
    <t>A19=A20+A27+A34</t>
  </si>
  <si>
    <t>A20=A21+A23+A25</t>
  </si>
  <si>
    <t>A27=A28+A30+A32</t>
  </si>
  <si>
    <t xml:space="preserve"> E</t>
  </si>
  <si>
    <t>FINANSOWANIE DEFICYTU (E1+E2+E3+E4+E5)  z tego:</t>
  </si>
  <si>
    <t>Symbol=E</t>
  </si>
  <si>
    <t xml:space="preserve"> E1</t>
  </si>
  <si>
    <t>sprzedaż papierów wartościowych wyemitowanych przez jednostkę samorządu terytorialnego</t>
  </si>
  <si>
    <t>Symbol=E1</t>
  </si>
  <si>
    <t xml:space="preserve"> E2</t>
  </si>
  <si>
    <t>kredyty i pożyczki</t>
  </si>
  <si>
    <t>Symbol=E2</t>
  </si>
  <si>
    <t xml:space="preserve"> E3</t>
  </si>
  <si>
    <t>prywatyzacja majątku jednostki samorządu terytorialnego</t>
  </si>
  <si>
    <t>Symbol=E3</t>
  </si>
  <si>
    <t xml:space="preserve"> E4</t>
  </si>
  <si>
    <t>Symbol=E4</t>
  </si>
  <si>
    <t xml:space="preserve"> E5</t>
  </si>
  <si>
    <t>wolne środki jako nadwyżka środków pieniężnych na rachunku  bieżącym budżetu jednostki samorządu terytorialnego, wynikających  z rozliczeń wyemitowanych papierów wartościowych, kredytów i  pożyczek z lat ubiegłych</t>
  </si>
  <si>
    <t>Symbol=E5</t>
  </si>
  <si>
    <t>A53</t>
  </si>
  <si>
    <t>A54</t>
  </si>
  <si>
    <t>A53/A</t>
  </si>
  <si>
    <t>A54/A</t>
  </si>
  <si>
    <r>
      <t xml:space="preserve">Dotacja </t>
    </r>
    <r>
      <rPr>
        <b/>
        <sz val="10"/>
        <color indexed="8"/>
        <rFont val="Arial"/>
        <family val="2"/>
        <charset val="238"/>
      </rPr>
      <t>§§ 205 i 625</t>
    </r>
  </si>
  <si>
    <t>paragraf zawiera(205,625)</t>
  </si>
  <si>
    <t>paragraf zawiera(625)</t>
  </si>
  <si>
    <r>
      <t xml:space="preserve">Wydatki, które nie wygasły 
z upływem roku budżetowego) 
(art.263 ust. 2 ustawy 
o finansach publicznych) 
</t>
    </r>
    <r>
      <rPr>
        <b/>
        <sz val="10"/>
        <rFont val="Arial"/>
        <family val="2"/>
        <charset val="238"/>
      </rPr>
      <t>R9</t>
    </r>
  </si>
  <si>
    <t>paragraf zawiera(073,074,075,076,077,078,080,081,087)</t>
  </si>
  <si>
    <t>Dotacje §§ 200 i 620</t>
  </si>
  <si>
    <t>w tym: inwestycyjne § 620</t>
  </si>
  <si>
    <t>Dotacje §§ 205 i 625</t>
  </si>
  <si>
    <t>w tym: inwestycyjne § 625</t>
  </si>
  <si>
    <t>WYDATKI OGÓŁEM UE                    z tego:</t>
  </si>
  <si>
    <t>kredyty, pożyczki, emisja papierów wartościowych w tym:</t>
  </si>
  <si>
    <t>ze sprzedaży papierów wartościowych</t>
  </si>
  <si>
    <t>spłata  udzielonych pożyczek</t>
  </si>
  <si>
    <t>prywatyzacja majątku JST</t>
  </si>
  <si>
    <t>spłaty kredytów i pożyczek, wykup papierów wartościowych w tym:</t>
  </si>
  <si>
    <t>wykup papierów wartościowych</t>
  </si>
  <si>
    <t>wolne środki, o których mowa w art. 217 ust. 2 pkt 6 ustawy o finansach publicznych</t>
  </si>
  <si>
    <t>paragraf zawiera(271,278,630)</t>
  </si>
  <si>
    <t>paragraf zawiera(802,803) lub grupa zawiera(1800)</t>
  </si>
  <si>
    <t>finpar zawiera(1,2,5,6,7,8,9) lub grupa zawiera(1101,1102,1201,1202,1301,1302,1401,1402,1601,1602,1611,1612)</t>
  </si>
  <si>
    <t>B9=B3-B4-B5-B6-B7-B8</t>
  </si>
  <si>
    <t>paragraf zawiera(801,804,806,807,809,811,812,813) lub grupa zawiera(1810)</t>
  </si>
  <si>
    <t>niewykorzystane środki pieniężne o których mowa w art..217 ust.2 pkt.8 ustawy o finansach publicznych</t>
  </si>
  <si>
    <t>niewykorzystane środki pieniężne o których mowa w art.217 ust.2 pkt.8 ustawy o finansach publicznych</t>
  </si>
  <si>
    <t xml:space="preserve">otrzymane ze środków z Funduszu Przeciwdziałania COVID-19 (m.in. z Rządowego Funduszu Inwestycji Lokalnych) </t>
  </si>
  <si>
    <t>w tym: inwestycyjne</t>
  </si>
  <si>
    <t>A55</t>
  </si>
  <si>
    <t>A56</t>
  </si>
  <si>
    <t>na finansowanie lub dofinansowanie zadań inwestycyjnych obiektów zabytkowych oraz prac remontowych i konserwatorskich przy zabytkach</t>
  </si>
  <si>
    <t>paragraf zawiera (273, 656)</t>
  </si>
  <si>
    <t>paragraf zawiera (656)</t>
  </si>
  <si>
    <t>nadwyżka z lat ubiegłych, pomniejszona o niewykorzystane środki pieniężne, o których mowa w art. 217 ust. 2 pkt 8 ustawy o finansach publicznych</t>
  </si>
  <si>
    <t>niewykorzystane środki pieniężne na rachunku bieżącym budżetu, wynikające z rozliczenia dochodów i wydatków nimi finansowanych związanych ze szczególnymi zasadami wykonywania budżetu określonymi w odrębnych ustawach oraz wynikających z rozliczenia środków określonych w art. 5 ust. 1 pkt 2 ustawy o finansach publicznych i dotacji na realizację programu, projektu lub zadania finansowanego z udziałem tych środków</t>
  </si>
  <si>
    <t>spłaty udzielonych pożyczek w latach ubiegłych</t>
  </si>
  <si>
    <t>Symbol=E6</t>
  </si>
  <si>
    <t>Symbol=E7</t>
  </si>
  <si>
    <t xml:space="preserve"> E6</t>
  </si>
  <si>
    <t xml:space="preserve"> E7</t>
  </si>
  <si>
    <t>nadwyżka budżetu jednostki samorządu terytorialnego z lat ubiegłych, pomniejszona o środki określone w art. 217 ust. 2 pkt 8 ustawy o finansach publicznych</t>
  </si>
  <si>
    <t>wynagrodzenia i składki od nich naliczane</t>
  </si>
  <si>
    <t>A55/A</t>
  </si>
  <si>
    <t>A56/A</t>
  </si>
  <si>
    <t>A57/A</t>
  </si>
  <si>
    <t>A58/A</t>
  </si>
  <si>
    <t>A57</t>
  </si>
  <si>
    <t>A58</t>
  </si>
  <si>
    <t>A56=A57+A58</t>
  </si>
  <si>
    <t>A52=A53+A54+A55</t>
  </si>
  <si>
    <t>A49=A50+A51+A52+A56</t>
  </si>
  <si>
    <t>Dotacje ogółem 
z tego:</t>
  </si>
  <si>
    <t>Subwencja ogólna dla gmin 
z tego:</t>
  </si>
  <si>
    <t>Subwencja ogólna dla powiatów 
z tego:</t>
  </si>
  <si>
    <t>Dochody bieżące 
minus 
Wydatki bieżące</t>
  </si>
  <si>
    <t>udzielone pożyczki</t>
  </si>
  <si>
    <t>paragraf zawiera(218,609,610,637)</t>
  </si>
  <si>
    <t>paragraf zawiera(609,610,637)</t>
  </si>
  <si>
    <t>AUkr</t>
  </si>
  <si>
    <t>AUkrInw</t>
  </si>
  <si>
    <t>paragraf zawiera(210,638,253,639)</t>
  </si>
  <si>
    <t>paragraf zawiera(638,639)</t>
  </si>
  <si>
    <t>R4/R2</t>
  </si>
  <si>
    <t>R4/R3</t>
  </si>
  <si>
    <t>AUkr/A</t>
  </si>
  <si>
    <t>AUkrinw/A</t>
  </si>
  <si>
    <t>paragraf zawiera(275,276,279,618) i dzial zawiera(758) i rozdzial zawiera(75802,75819)</t>
  </si>
  <si>
    <t>paragraf zawiera(076,077,078,080,087,609,610,618,620,625,626,628,629,630,631,632,633,634,635,637,638,639,641,642,643,644,651,652,653,656,661,662,663,664,665,666,668,669,670,671)</t>
  </si>
  <si>
    <t>paragraf zawiera(601,603,605,606,610,613,614,615,617,619,620,621,622,623,625,630,637,647,648,649,656,657,658,659,661,662,663,664,665,666,669,672,680) lub grupa zawiera(1600,1601,1602,1610,1611,1612,1620,1630)</t>
  </si>
  <si>
    <t>paragraf zawiera(605,606,610,613,614,615,617,619,620,621,622,623,625,630,637,647,648,649,656,657,658,659,661,662,663,664,665,666,669,672,680) lub grupa zawiera(1600,1601,1602,1610,1611,1612)</t>
  </si>
  <si>
    <t>paragraf zawiera(401,402,404,405,406,407,408,409,410,411,412,417,418,471,474,475,478,479,480,483,484,485) lub grupa zawiera(1400,1401,1402,1403)</t>
  </si>
  <si>
    <t>paragraf zawiera(200,205,209,220,226,227,231,232,233,234,236,241,243,248,249,251,254,255,256,257,258,259,262,263,264,265,266,271,272,273,274,278,280,281,282,283,288,290) lub grupa zawiera(1200,1201,1202,1203)</t>
  </si>
  <si>
    <t>paragraf zawiera(302,303,304,305,307,311,320,321,324,325,326,328,329) lub grupa zawiera(1300,1301,1302,1303)</t>
  </si>
  <si>
    <t xml:space="preserve">Wydatki finansowane i współfinansowane środkami, o których mowa w art. 5 ust. 1 pkt 2 i 3  </t>
  </si>
  <si>
    <t>paragraf zawiera(601,603,605,606,610,613,614,615,617,619,620,621,622,623,625,630,637,647,648,649,656,657,658,659,661,662,663,664,665,666,669,672,680) i finpar zawiera(1,2,5,6,7,8,9) lub grupa zawiera(1601,1602,1611,1612)</t>
  </si>
  <si>
    <t>WYDATKI Z UDZIAŁEM ŚRODKÓW, O KTÓRYCH MOWA W ART. 5 UST. 1 pkt 2</t>
  </si>
  <si>
    <t>A1=A-A18-A49</t>
  </si>
  <si>
    <t>A18=A19+A45+A47</t>
  </si>
  <si>
    <t>na zadania z zakresu adm. Rządowej (*)</t>
  </si>
  <si>
    <t>na zadania własne (*)</t>
  </si>
  <si>
    <t>otrzymane z Funduszu Pomocy lub z innych środków (**)</t>
  </si>
  <si>
    <t>(**) na finansowanie lub dofinansowanie realizacji zadań w zakresie pomocy obywatelom Ukrainy</t>
  </si>
  <si>
    <t xml:space="preserve">(*) nie obejmuje zadań w zakresie pomocy obywatelom Ukrainy </t>
  </si>
  <si>
    <t>AUkrAdm</t>
  </si>
  <si>
    <t>na zadania z zakresu adm. rządowej w zakresie pomocy obywatelom Ukrainy</t>
  </si>
  <si>
    <t>paragraf zawiera(208,671)</t>
  </si>
  <si>
    <t>AUkrAdmInw</t>
  </si>
  <si>
    <t>paragraf zawiera(671)</t>
  </si>
  <si>
    <t>AUkrWła</t>
  </si>
  <si>
    <t>na zadania własne w zakresie pomocy obywatelom Ukrainy</t>
  </si>
  <si>
    <r>
      <t>paragraf zawiera(</t>
    </r>
    <r>
      <rPr>
        <sz val="8"/>
        <rFont val="Arial"/>
        <family val="2"/>
        <charset val="238"/>
      </rPr>
      <t>207,670</t>
    </r>
    <r>
      <rPr>
        <sz val="8"/>
        <color indexed="8"/>
        <rFont val="Arial"/>
        <family val="2"/>
        <charset val="238"/>
      </rPr>
      <t>)</t>
    </r>
  </si>
  <si>
    <t>AUkrWłaInw</t>
  </si>
  <si>
    <r>
      <t>paragraf zawiera(</t>
    </r>
    <r>
      <rPr>
        <sz val="8"/>
        <rFont val="Arial"/>
        <family val="2"/>
        <charset val="238"/>
      </rPr>
      <t>670</t>
    </r>
    <r>
      <rPr>
        <sz val="8"/>
        <color indexed="8"/>
        <rFont val="Arial"/>
        <family val="2"/>
        <charset val="238"/>
      </rPr>
      <t>)</t>
    </r>
  </si>
  <si>
    <t>AUkrAdm/A</t>
  </si>
  <si>
    <t>AUkrAdmInw/A</t>
  </si>
  <si>
    <t>AUkrWła/A</t>
  </si>
  <si>
    <t>AUkrWłaInw/A</t>
  </si>
  <si>
    <t>A34=AUkrAdm+AUkrWła+A35+A37+A39+A41+A43+AUkr</t>
  </si>
  <si>
    <t>paragraf zawiera(201,206,631,634)</t>
  </si>
  <si>
    <t>paragraf zawiera(631,634)</t>
  </si>
  <si>
    <t>paragraf zawiera(203,204,287,633)</t>
  </si>
  <si>
    <t>paragraf zawiera(633)</t>
  </si>
  <si>
    <t>paragraf zawiera(211,216,641,644)</t>
  </si>
  <si>
    <t>paragraf zawiera(641,644)</t>
  </si>
  <si>
    <t>paragraf zawiera(213,643)</t>
  </si>
  <si>
    <t>paragraf zawiera(643)</t>
  </si>
  <si>
    <t>Symbol=D17</t>
  </si>
  <si>
    <t>D17</t>
  </si>
  <si>
    <t>D18</t>
  </si>
  <si>
    <t>Symbol=D18</t>
  </si>
  <si>
    <t>inne źródła, w tym:</t>
  </si>
  <si>
    <t>środki z lokat dokonanych w latach ubiegłych</t>
  </si>
  <si>
    <t>D181</t>
  </si>
  <si>
    <t>Symbol=D181</t>
  </si>
  <si>
    <t>stan niespłaconych na koniec okresu sprawozdawczego zobowiązań przeznaczonych na cel , o którym mowa w art. 89 ust. 1 pkt. 1 ustawy o finansach publicznych</t>
  </si>
  <si>
    <t>D17W/D1W</t>
  </si>
  <si>
    <t>D17W/D17P</t>
  </si>
  <si>
    <t>D18W/D1W</t>
  </si>
  <si>
    <t>D18W/D18P</t>
  </si>
  <si>
    <t>D181W/D1W</t>
  </si>
  <si>
    <t>D181W/D181P</t>
  </si>
  <si>
    <t>inne cele, w tym:</t>
  </si>
  <si>
    <t>D231</t>
  </si>
  <si>
    <t>lokaty na okres wykraczający poza rok budżetowy</t>
  </si>
  <si>
    <t>Symbol=D231</t>
  </si>
  <si>
    <t>D231W/D2W</t>
  </si>
  <si>
    <t>D231W/D231P</t>
  </si>
  <si>
    <t xml:space="preserve"> E8</t>
  </si>
  <si>
    <t>Symbol=E8</t>
  </si>
  <si>
    <t>stan niespłaconych na koniec okresu sprawozdawczego zobowiązań przeznaczonych na cel , o którym mowa w art. 89 ust. 1 pkt 1 ustawy o finansach publicznych</t>
  </si>
  <si>
    <t>FINANSOWANIE DEFICYTU (E1+E2+E3+E4+E5+E6+E7+E8) 
z tego: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</si>
</sst>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z_ł_-;\-* #,##0.00\ _z_ł_-;_-* &quot;-&quot;??\ _z_ł_-;_-@_-"/>
    <numFmt numFmtId="164" formatCode="#,##0.0"/>
    <numFmt numFmtId="168" formatCode="dd/mm/yy\ h:mm;@"/>
  </numFmts>
  <fonts count="43" x14ac:knownFonts="1">
    <font>
      <sz val="10"/>
      <name val="Arial CE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sz val="9.5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"/>
      <family val="2"/>
      <charset val="238"/>
    </font>
    <font>
      <sz val="16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10"/>
      <name val="Arial CE"/>
      <charset val="238"/>
    </font>
    <font>
      <sz val="14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color rgb="FF242424"/>
      <name val="Arial"/>
      <family val="2"/>
      <charset val="238"/>
    </font>
  </fonts>
  <fills count="24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6"/>
      </patternFill>
    </fill>
    <fill>
      <patternFill patternType="solid">
        <fgColor indexed="14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indexed="45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3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2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3" borderId="0" applyNumberFormat="0" applyBorder="0" applyAlignment="0" applyProtection="0"/>
    <xf numFmtId="0" fontId="14" fillId="8" borderId="0" applyNumberFormat="0" applyBorder="0" applyAlignment="0" applyProtection="0"/>
    <xf numFmtId="0" fontId="14" fillId="7" borderId="0" applyNumberFormat="0" applyBorder="0" applyAlignment="0" applyProtection="0"/>
    <xf numFmtId="0" fontId="14" fillId="9" borderId="0" applyNumberFormat="0" applyBorder="0" applyAlignment="0" applyProtection="0"/>
    <xf numFmtId="0" fontId="14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3" borderId="0" applyNumberFormat="0" applyBorder="0" applyAlignment="0" applyProtection="0"/>
    <xf numFmtId="0" fontId="15" fillId="8" borderId="0" applyNumberFormat="0" applyBorder="0" applyAlignment="0" applyProtection="0"/>
    <xf numFmtId="0" fontId="15" fillId="7" borderId="0" applyNumberFormat="0" applyBorder="0" applyAlignment="0" applyProtection="0"/>
    <xf numFmtId="0" fontId="15" fillId="10" borderId="0" applyNumberFormat="0" applyBorder="0" applyAlignment="0" applyProtection="0"/>
    <xf numFmtId="0" fontId="15" fillId="6" borderId="0" applyNumberFormat="0" applyBorder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13" borderId="0" applyNumberFormat="0" applyBorder="0" applyAlignment="0" applyProtection="0"/>
    <xf numFmtId="0" fontId="15" fillId="10" borderId="0" applyNumberFormat="0" applyBorder="0" applyAlignment="0" applyProtection="0"/>
    <xf numFmtId="0" fontId="15" fillId="14" borderId="0" applyNumberFormat="0" applyBorder="0" applyAlignment="0" applyProtection="0"/>
    <xf numFmtId="0" fontId="16" fillId="15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18" borderId="0" applyNumberFormat="0" applyBorder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6" applyNumberFormat="0" applyFill="0" applyAlignment="0" applyProtection="0"/>
    <xf numFmtId="0" fontId="23" fillId="0" borderId="0" applyNumberFormat="0" applyFill="0" applyBorder="0" applyAlignment="0" applyProtection="0"/>
    <xf numFmtId="0" fontId="24" fillId="6" borderId="1" applyNumberFormat="0" applyAlignment="0" applyProtection="0"/>
    <xf numFmtId="0" fontId="25" fillId="0" borderId="7" applyNumberFormat="0" applyFill="0" applyAlignment="0" applyProtection="0"/>
    <xf numFmtId="0" fontId="26" fillId="8" borderId="0" applyNumberFormat="0" applyBorder="0" applyAlignment="0" applyProtection="0"/>
    <xf numFmtId="0" fontId="39" fillId="0" borderId="0"/>
    <xf numFmtId="0" fontId="39" fillId="0" borderId="0"/>
    <xf numFmtId="0" fontId="1" fillId="4" borderId="8" applyNumberFormat="0" applyFont="0" applyAlignment="0" applyProtection="0"/>
    <xf numFmtId="0" fontId="33" fillId="4" borderId="8" applyNumberFormat="0" applyFont="0" applyAlignment="0" applyProtection="0"/>
    <xf numFmtId="0" fontId="27" fillId="16" borderId="3" applyNumberFormat="0" applyAlignment="0" applyProtection="0"/>
    <xf numFmtId="0" fontId="28" fillId="0" borderId="0" applyNumberFormat="0" applyFill="0" applyBorder="0" applyAlignment="0" applyProtection="0"/>
    <xf numFmtId="0" fontId="29" fillId="0" borderId="9" applyNumberFormat="0" applyFill="0" applyAlignment="0" applyProtection="0"/>
    <xf numFmtId="0" fontId="30" fillId="0" borderId="0" applyNumberFormat="0" applyFill="0" applyBorder="0" applyAlignment="0" applyProtection="0"/>
  </cellStyleXfs>
  <cellXfs count="272">
    <xf numFmtId="0" fontId="0" fillId="0" borderId="0" xfId="0"/>
    <xf numFmtId="0" fontId="2" fillId="0" borderId="0" xfId="0" applyFont="1"/>
    <xf numFmtId="164" fontId="2" fillId="0" borderId="0" xfId="0" applyNumberFormat="1" applyFont="1"/>
    <xf numFmtId="164" fontId="2" fillId="0" borderId="0" xfId="0" applyNumberFormat="1" applyFont="1" applyFill="1"/>
    <xf numFmtId="0" fontId="8" fillId="0" borderId="0" xfId="0" applyFont="1" applyFill="1" applyAlignment="1">
      <alignment vertical="center"/>
    </xf>
    <xf numFmtId="0" fontId="2" fillId="0" borderId="0" xfId="0" applyFont="1" applyFill="1"/>
    <xf numFmtId="0" fontId="5" fillId="0" borderId="0" xfId="0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left" vertical="center"/>
    </xf>
    <xf numFmtId="3" fontId="5" fillId="0" borderId="0" xfId="0" applyNumberFormat="1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center" vertical="center"/>
    </xf>
    <xf numFmtId="0" fontId="2" fillId="0" borderId="0" xfId="0" applyFont="1" applyBorder="1"/>
    <xf numFmtId="0" fontId="3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 vertical="center"/>
    </xf>
    <xf numFmtId="0" fontId="4" fillId="19" borderId="10" xfId="0" applyFont="1" applyFill="1" applyBorder="1" applyAlignment="1">
      <alignment horizontal="center" vertical="center" wrapText="1"/>
    </xf>
    <xf numFmtId="0" fontId="4" fillId="19" borderId="10" xfId="0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0" borderId="10" xfId="0" applyFont="1" applyBorder="1" applyAlignment="1">
      <alignment horizontal="left" vertical="center" wrapText="1"/>
    </xf>
    <xf numFmtId="0" fontId="7" fillId="20" borderId="10" xfId="0" applyFont="1" applyFill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 indent="1"/>
    </xf>
    <xf numFmtId="0" fontId="4" fillId="20" borderId="10" xfId="0" applyFont="1" applyFill="1" applyBorder="1" applyAlignment="1">
      <alignment horizontal="left" vertical="center" wrapText="1" indent="1"/>
    </xf>
    <xf numFmtId="4" fontId="4" fillId="20" borderId="10" xfId="0" applyNumberFormat="1" applyFont="1" applyFill="1" applyBorder="1" applyAlignment="1">
      <alignment horizontal="right" vertical="center"/>
    </xf>
    <xf numFmtId="4" fontId="4" fillId="0" borderId="10" xfId="0" applyNumberFormat="1" applyFont="1" applyFill="1" applyBorder="1" applyAlignment="1">
      <alignment horizontal="right" vertical="center"/>
    </xf>
    <xf numFmtId="4" fontId="13" fillId="20" borderId="10" xfId="0" applyNumberFormat="1" applyFont="1" applyFill="1" applyBorder="1" applyAlignment="1">
      <alignment horizontal="right" vertical="center"/>
    </xf>
    <xf numFmtId="4" fontId="11" fillId="0" borderId="10" xfId="0" applyNumberFormat="1" applyFont="1" applyBorder="1" applyAlignment="1">
      <alignment horizontal="right" vertical="center"/>
    </xf>
    <xf numFmtId="4" fontId="11" fillId="0" borderId="11" xfId="0" applyNumberFormat="1" applyFont="1" applyBorder="1" applyAlignment="1">
      <alignment horizontal="right" vertical="center"/>
    </xf>
    <xf numFmtId="4" fontId="11" fillId="20" borderId="10" xfId="0" applyNumberFormat="1" applyFont="1" applyFill="1" applyBorder="1" applyAlignment="1">
      <alignment horizontal="right" vertical="center"/>
    </xf>
    <xf numFmtId="4" fontId="6" fillId="0" borderId="10" xfId="0" applyNumberFormat="1" applyFont="1" applyBorder="1" applyAlignment="1">
      <alignment horizontal="right" vertical="center"/>
    </xf>
    <xf numFmtId="4" fontId="6" fillId="20" borderId="10" xfId="0" applyNumberFormat="1" applyFont="1" applyFill="1" applyBorder="1" applyAlignment="1">
      <alignment horizontal="right" vertical="center"/>
    </xf>
    <xf numFmtId="4" fontId="6" fillId="0" borderId="0" xfId="0" applyNumberFormat="1" applyFont="1" applyBorder="1" applyAlignment="1">
      <alignment horizontal="right" vertical="center"/>
    </xf>
    <xf numFmtId="4" fontId="13" fillId="0" borderId="10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horizontal="right" vertical="center"/>
    </xf>
    <xf numFmtId="0" fontId="6" fillId="0" borderId="13" xfId="0" applyFont="1" applyFill="1" applyBorder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64" fontId="6" fillId="0" borderId="0" xfId="0" applyNumberFormat="1" applyFont="1" applyFill="1" applyAlignment="1">
      <alignment horizontal="right" vertical="center"/>
    </xf>
    <xf numFmtId="4" fontId="7" fillId="0" borderId="10" xfId="0" applyNumberFormat="1" applyFont="1" applyFill="1" applyBorder="1" applyAlignment="1">
      <alignment horizontal="right" vertical="center"/>
    </xf>
    <xf numFmtId="4" fontId="7" fillId="20" borderId="10" xfId="0" applyNumberFormat="1" applyFont="1" applyFill="1" applyBorder="1" applyAlignment="1">
      <alignment horizontal="right" vertical="center"/>
    </xf>
    <xf numFmtId="0" fontId="4" fillId="20" borderId="10" xfId="0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1"/>
    </xf>
    <xf numFmtId="0" fontId="2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4" fontId="7" fillId="0" borderId="0" xfId="0" applyNumberFormat="1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left" vertical="center" wrapText="1"/>
    </xf>
    <xf numFmtId="0" fontId="7" fillId="0" borderId="10" xfId="0" quotePrefix="1" applyFont="1" applyFill="1" applyBorder="1" applyAlignment="1">
      <alignment horizontal="left" vertical="center" wrapText="1" indent="1"/>
    </xf>
    <xf numFmtId="0" fontId="4" fillId="0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1"/>
    </xf>
    <xf numFmtId="4" fontId="7" fillId="0" borderId="14" xfId="0" applyNumberFormat="1" applyFont="1" applyFill="1" applyBorder="1" applyAlignment="1">
      <alignment horizontal="left" vertical="center"/>
    </xf>
    <xf numFmtId="0" fontId="2" fillId="0" borderId="10" xfId="0" applyFont="1" applyBorder="1"/>
    <xf numFmtId="168" fontId="2" fillId="0" borderId="10" xfId="0" applyNumberFormat="1" applyFont="1" applyBorder="1"/>
    <xf numFmtId="4" fontId="4" fillId="20" borderId="12" xfId="0" applyNumberFormat="1" applyFont="1" applyFill="1" applyBorder="1" applyAlignment="1">
      <alignment horizontal="left" vertical="center"/>
    </xf>
    <xf numFmtId="4" fontId="4" fillId="20" borderId="14" xfId="0" applyNumberFormat="1" applyFont="1" applyFill="1" applyBorder="1" applyAlignment="1">
      <alignment horizontal="left" vertical="center"/>
    </xf>
    <xf numFmtId="4" fontId="4" fillId="20" borderId="13" xfId="0" applyNumberFormat="1" applyFont="1" applyFill="1" applyBorder="1" applyAlignment="1">
      <alignment horizontal="left" vertical="center"/>
    </xf>
    <xf numFmtId="4" fontId="4" fillId="20" borderId="0" xfId="0" applyNumberFormat="1" applyFont="1" applyFill="1" applyBorder="1" applyAlignment="1">
      <alignment horizontal="right" vertical="center"/>
    </xf>
    <xf numFmtId="0" fontId="4" fillId="20" borderId="0" xfId="0" applyFont="1" applyFill="1" applyBorder="1" applyAlignment="1">
      <alignment horizontal="left" vertical="center" wrapText="1" indent="1"/>
    </xf>
    <xf numFmtId="4" fontId="4" fillId="20" borderId="0" xfId="0" applyNumberFormat="1" applyFont="1" applyFill="1" applyBorder="1" applyAlignment="1">
      <alignment vertical="center"/>
    </xf>
    <xf numFmtId="0" fontId="10" fillId="0" borderId="10" xfId="0" applyFont="1" applyBorder="1" applyAlignment="1">
      <alignment horizontal="right"/>
    </xf>
    <xf numFmtId="0" fontId="7" fillId="0" borderId="10" xfId="0" applyFont="1" applyBorder="1" applyAlignment="1">
      <alignment horizontal="right" vertical="center"/>
    </xf>
    <xf numFmtId="0" fontId="6" fillId="19" borderId="10" xfId="0" applyNumberFormat="1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/>
    </xf>
    <xf numFmtId="0" fontId="10" fillId="19" borderId="10" xfId="0" applyFont="1" applyFill="1" applyBorder="1" applyAlignment="1">
      <alignment horizontal="center" vertical="center" wrapText="1"/>
    </xf>
    <xf numFmtId="4" fontId="11" fillId="20" borderId="10" xfId="28" applyNumberFormat="1" applyFont="1" applyFill="1" applyBorder="1" applyAlignment="1">
      <alignment horizontal="center" vertical="center"/>
    </xf>
    <xf numFmtId="4" fontId="6" fillId="0" borderId="10" xfId="0" applyNumberFormat="1" applyFont="1" applyBorder="1" applyAlignment="1">
      <alignment horizontal="center" vertical="center"/>
    </xf>
    <xf numFmtId="4" fontId="6" fillId="20" borderId="10" xfId="0" applyNumberFormat="1" applyFont="1" applyFill="1" applyBorder="1" applyAlignment="1">
      <alignment horizontal="center" vertical="center"/>
    </xf>
    <xf numFmtId="4" fontId="11" fillId="20" borderId="10" xfId="0" applyNumberFormat="1" applyFont="1" applyFill="1" applyBorder="1" applyAlignment="1">
      <alignment horizontal="center" vertical="center"/>
    </xf>
    <xf numFmtId="4" fontId="6" fillId="21" borderId="10" xfId="0" applyNumberFormat="1" applyFont="1" applyFill="1" applyBorder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6" fillId="19" borderId="15" xfId="0" applyFont="1" applyFill="1" applyBorder="1" applyAlignment="1">
      <alignment horizontal="center"/>
    </xf>
    <xf numFmtId="0" fontId="4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164" fontId="35" fillId="22" borderId="10" xfId="0" applyNumberFormat="1" applyFont="1" applyFill="1" applyBorder="1" applyAlignment="1">
      <alignment horizontal="center" vertical="center"/>
    </xf>
    <xf numFmtId="4" fontId="36" fillId="0" borderId="10" xfId="0" applyNumberFormat="1" applyFont="1" applyBorder="1" applyAlignment="1">
      <alignment horizontal="center" vertical="center"/>
    </xf>
    <xf numFmtId="164" fontId="36" fillId="0" borderId="10" xfId="0" applyNumberFormat="1" applyFont="1" applyFill="1" applyBorder="1" applyAlignment="1">
      <alignment horizontal="center" vertical="center"/>
    </xf>
    <xf numFmtId="4" fontId="36" fillId="0" borderId="10" xfId="0" applyNumberFormat="1" applyFont="1" applyFill="1" applyBorder="1" applyAlignment="1">
      <alignment horizontal="center" vertical="center"/>
    </xf>
    <xf numFmtId="4" fontId="36" fillId="22" borderId="10" xfId="0" applyNumberFormat="1" applyFont="1" applyFill="1" applyBorder="1" applyAlignment="1">
      <alignment horizontal="center" vertical="center"/>
    </xf>
    <xf numFmtId="164" fontId="36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Alignment="1">
      <alignment horizontal="center" vertical="center"/>
    </xf>
    <xf numFmtId="164" fontId="36" fillId="20" borderId="10" xfId="0" applyNumberFormat="1" applyFont="1" applyFill="1" applyBorder="1" applyAlignment="1">
      <alignment horizontal="center" vertical="center"/>
    </xf>
    <xf numFmtId="4" fontId="36" fillId="23" borderId="10" xfId="0" applyNumberFormat="1" applyFont="1" applyFill="1" applyBorder="1" applyAlignment="1">
      <alignment horizontal="center" vertical="center"/>
    </xf>
    <xf numFmtId="164" fontId="36" fillId="23" borderId="10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164" fontId="37" fillId="0" borderId="0" xfId="0" applyNumberFormat="1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/>
    </xf>
    <xf numFmtId="164" fontId="37" fillId="0" borderId="0" xfId="0" applyNumberFormat="1" applyFont="1" applyFill="1" applyAlignment="1">
      <alignment horizontal="center"/>
    </xf>
    <xf numFmtId="0" fontId="5" fillId="0" borderId="0" xfId="0" applyFont="1" applyFill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64" fontId="2" fillId="0" borderId="0" xfId="0" applyNumberFormat="1" applyFont="1" applyFill="1" applyAlignment="1">
      <alignment horizontal="center"/>
    </xf>
    <xf numFmtId="0" fontId="2" fillId="0" borderId="0" xfId="0" applyFont="1" applyBorder="1" applyAlignment="1">
      <alignment horizontal="center"/>
    </xf>
    <xf numFmtId="164" fontId="38" fillId="22" borderId="10" xfId="0" applyNumberFormat="1" applyFont="1" applyFill="1" applyBorder="1" applyAlignment="1">
      <alignment horizontal="center" vertical="center"/>
    </xf>
    <xf numFmtId="4" fontId="37" fillId="0" borderId="0" xfId="0" applyNumberFormat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/>
    </xf>
    <xf numFmtId="164" fontId="37" fillId="0" borderId="0" xfId="0" applyNumberFormat="1" applyFont="1" applyAlignment="1">
      <alignment horizontal="center"/>
    </xf>
    <xf numFmtId="0" fontId="37" fillId="0" borderId="0" xfId="0" applyFont="1" applyAlignment="1">
      <alignment horizontal="center"/>
    </xf>
    <xf numFmtId="0" fontId="37" fillId="0" borderId="0" xfId="0" applyFont="1" applyBorder="1" applyAlignment="1">
      <alignment horizontal="center"/>
    </xf>
    <xf numFmtId="164" fontId="38" fillId="0" borderId="10" xfId="0" applyNumberFormat="1" applyFont="1" applyFill="1" applyBorder="1" applyAlignment="1">
      <alignment horizontal="center" vertical="center"/>
    </xf>
    <xf numFmtId="164" fontId="38" fillId="20" borderId="10" xfId="28" applyNumberFormat="1" applyFont="1" applyFill="1" applyBorder="1" applyAlignment="1">
      <alignment horizontal="center" vertical="center"/>
    </xf>
    <xf numFmtId="164" fontId="38" fillId="23" borderId="10" xfId="28" applyNumberFormat="1" applyFont="1" applyFill="1" applyBorder="1" applyAlignment="1">
      <alignment horizontal="center" vertical="center"/>
    </xf>
    <xf numFmtId="164" fontId="38" fillId="23" borderId="10" xfId="0" applyNumberFormat="1" applyFont="1" applyFill="1" applyBorder="1" applyAlignment="1">
      <alignment horizontal="center" vertical="center"/>
    </xf>
    <xf numFmtId="164" fontId="38" fillId="0" borderId="10" xfId="28" applyNumberFormat="1" applyFont="1" applyFill="1" applyBorder="1" applyAlignment="1">
      <alignment horizontal="center" vertical="center"/>
    </xf>
    <xf numFmtId="164" fontId="38" fillId="22" borderId="10" xfId="28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10" xfId="0" applyFont="1" applyBorder="1" applyAlignment="1">
      <alignment horizontal="center"/>
    </xf>
    <xf numFmtId="0" fontId="6" fillId="19" borderId="15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4" fontId="38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/>
    </xf>
    <xf numFmtId="4" fontId="35" fillId="0" borderId="0" xfId="0" applyNumberFormat="1" applyFont="1" applyFill="1" applyBorder="1" applyAlignment="1">
      <alignment horizontal="center" vertical="center" wrapText="1"/>
    </xf>
    <xf numFmtId="4" fontId="36" fillId="0" borderId="0" xfId="0" applyNumberFormat="1" applyFont="1" applyFill="1" applyBorder="1" applyAlignment="1">
      <alignment horizontal="center" vertical="center" wrapText="1"/>
    </xf>
    <xf numFmtId="3" fontId="35" fillId="0" borderId="16" xfId="0" applyNumberFormat="1" applyFont="1" applyBorder="1" applyAlignment="1">
      <alignment horizontal="center" vertical="center"/>
    </xf>
    <xf numFmtId="164" fontId="37" fillId="0" borderId="16" xfId="0" applyNumberFormat="1" applyFont="1" applyBorder="1" applyAlignment="1">
      <alignment horizontal="center"/>
    </xf>
    <xf numFmtId="0" fontId="37" fillId="0" borderId="16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4" fontId="35" fillId="0" borderId="12" xfId="0" applyNumberFormat="1" applyFont="1" applyFill="1" applyBorder="1" applyAlignment="1">
      <alignment horizontal="center" vertical="center" wrapText="1"/>
    </xf>
    <xf numFmtId="164" fontId="38" fillId="0" borderId="1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horizontal="right" vertical="center"/>
    </xf>
    <xf numFmtId="0" fontId="10" fillId="20" borderId="10" xfId="0" applyFont="1" applyFill="1" applyBorder="1" applyAlignment="1">
      <alignment horizontal="left" vertical="center" wrapText="1"/>
    </xf>
    <xf numFmtId="0" fontId="40" fillId="0" borderId="10" xfId="45" applyFont="1" applyFill="1" applyBorder="1" applyAlignment="1">
      <alignment horizontal="left" vertical="center" wrapText="1"/>
    </xf>
    <xf numFmtId="0" fontId="7" fillId="22" borderId="10" xfId="0" applyFont="1" applyFill="1" applyBorder="1" applyAlignment="1">
      <alignment horizontal="left" vertical="center" wrapText="1"/>
    </xf>
    <xf numFmtId="0" fontId="10" fillId="22" borderId="10" xfId="0" applyFont="1" applyFill="1" applyBorder="1" applyAlignment="1">
      <alignment horizontal="left" vertical="center" wrapText="1"/>
    </xf>
    <xf numFmtId="4" fontId="35" fillId="22" borderId="10" xfId="0" applyNumberFormat="1" applyFont="1" applyFill="1" applyBorder="1" applyAlignment="1">
      <alignment horizontal="right" vertical="center"/>
    </xf>
    <xf numFmtId="4" fontId="36" fillId="0" borderId="10" xfId="0" applyNumberFormat="1" applyFont="1" applyBorder="1" applyAlignment="1">
      <alignment horizontal="right" vertical="center"/>
    </xf>
    <xf numFmtId="4" fontId="36" fillId="0" borderId="10" xfId="0" applyNumberFormat="1" applyFont="1" applyFill="1" applyBorder="1" applyAlignment="1">
      <alignment horizontal="right" vertical="center"/>
    </xf>
    <xf numFmtId="4" fontId="37" fillId="0" borderId="10" xfId="0" applyNumberFormat="1" applyFont="1" applyFill="1" applyBorder="1" applyAlignment="1">
      <alignment horizontal="right" vertical="center"/>
    </xf>
    <xf numFmtId="4" fontId="37" fillId="0" borderId="10" xfId="0" applyNumberFormat="1" applyFont="1" applyBorder="1" applyAlignment="1">
      <alignment horizontal="right" vertical="center"/>
    </xf>
    <xf numFmtId="4" fontId="36" fillId="23" borderId="10" xfId="0" applyNumberFormat="1" applyFont="1" applyFill="1" applyBorder="1" applyAlignment="1">
      <alignment horizontal="right" vertical="center"/>
    </xf>
    <xf numFmtId="4" fontId="36" fillId="22" borderId="10" xfId="0" applyNumberFormat="1" applyFont="1" applyFill="1" applyBorder="1" applyAlignment="1">
      <alignment horizontal="right" vertical="center"/>
    </xf>
    <xf numFmtId="4" fontId="38" fillId="22" borderId="10" xfId="0" applyNumberFormat="1" applyFont="1" applyFill="1" applyBorder="1" applyAlignment="1">
      <alignment horizontal="right" vertical="center"/>
    </xf>
    <xf numFmtId="4" fontId="35" fillId="22" borderId="10" xfId="0" applyNumberFormat="1" applyFont="1" applyFill="1" applyBorder="1" applyAlignment="1">
      <alignment horizontal="right" vertical="center" wrapText="1"/>
    </xf>
    <xf numFmtId="4" fontId="36" fillId="0" borderId="10" xfId="0" applyNumberFormat="1" applyFont="1" applyFill="1" applyBorder="1" applyAlignment="1">
      <alignment horizontal="right" vertical="center" wrapText="1"/>
    </xf>
    <xf numFmtId="4" fontId="36" fillId="0" borderId="15" xfId="0" applyNumberFormat="1" applyFont="1" applyFill="1" applyBorder="1" applyAlignment="1">
      <alignment horizontal="right" vertical="center" wrapText="1"/>
    </xf>
    <xf numFmtId="4" fontId="36" fillId="22" borderId="17" xfId="0" applyNumberFormat="1" applyFont="1" applyFill="1" applyBorder="1" applyAlignment="1">
      <alignment horizontal="right" vertical="center" wrapText="1"/>
    </xf>
    <xf numFmtId="4" fontId="36" fillId="22" borderId="11" xfId="0" applyNumberFormat="1" applyFont="1" applyFill="1" applyBorder="1" applyAlignment="1">
      <alignment horizontal="right" vertical="center" wrapText="1"/>
    </xf>
    <xf numFmtId="4" fontId="36" fillId="0" borderId="18" xfId="0" applyNumberFormat="1" applyFont="1" applyFill="1" applyBorder="1" applyAlignment="1">
      <alignment horizontal="right" vertical="center" wrapText="1"/>
    </xf>
    <xf numFmtId="4" fontId="38" fillId="20" borderId="15" xfId="0" applyNumberFormat="1" applyFont="1" applyFill="1" applyBorder="1" applyAlignment="1">
      <alignment horizontal="right" vertical="center"/>
    </xf>
    <xf numFmtId="4" fontId="37" fillId="0" borderId="15" xfId="0" applyNumberFormat="1" applyFont="1" applyBorder="1" applyAlignment="1">
      <alignment horizontal="right" vertical="center"/>
    </xf>
    <xf numFmtId="4" fontId="37" fillId="0" borderId="15" xfId="0" applyNumberFormat="1" applyFont="1" applyFill="1" applyBorder="1" applyAlignment="1">
      <alignment horizontal="right" vertical="center"/>
    </xf>
    <xf numFmtId="4" fontId="38" fillId="22" borderId="15" xfId="0" applyNumberFormat="1" applyFont="1" applyFill="1" applyBorder="1" applyAlignment="1">
      <alignment horizontal="right" vertical="center"/>
    </xf>
    <xf numFmtId="0" fontId="6" fillId="0" borderId="19" xfId="0" applyFont="1" applyBorder="1" applyAlignment="1">
      <alignment horizontal="center"/>
    </xf>
    <xf numFmtId="168" fontId="6" fillId="0" borderId="11" xfId="0" applyNumberFormat="1" applyFont="1" applyBorder="1" applyAlignment="1">
      <alignment horizontal="center"/>
    </xf>
    <xf numFmtId="0" fontId="34" fillId="0" borderId="0" xfId="0" applyFont="1" applyAlignment="1">
      <alignment vertical="center"/>
    </xf>
    <xf numFmtId="0" fontId="7" fillId="22" borderId="10" xfId="0" applyFont="1" applyFill="1" applyBorder="1" applyAlignment="1">
      <alignment horizontal="left" vertical="center" wrapText="1" indent="1"/>
    </xf>
    <xf numFmtId="0" fontId="4" fillId="0" borderId="10" xfId="0" applyFont="1" applyBorder="1" applyAlignment="1">
      <alignment horizontal="left" vertical="center" wrapText="1" indent="2"/>
    </xf>
    <xf numFmtId="0" fontId="7" fillId="22" borderId="10" xfId="0" applyFont="1" applyFill="1" applyBorder="1" applyAlignment="1">
      <alignment horizontal="left" vertical="center" wrapText="1" indent="2"/>
    </xf>
    <xf numFmtId="0" fontId="7" fillId="20" borderId="10" xfId="0" quotePrefix="1" applyFont="1" applyFill="1" applyBorder="1" applyAlignment="1">
      <alignment horizontal="left" vertical="center" wrapText="1" indent="2"/>
    </xf>
    <xf numFmtId="0" fontId="7" fillId="22" borderId="10" xfId="0" quotePrefix="1" applyFont="1" applyFill="1" applyBorder="1" applyAlignment="1">
      <alignment horizontal="left" vertical="center" wrapText="1" indent="2"/>
    </xf>
    <xf numFmtId="0" fontId="4" fillId="0" borderId="10" xfId="0" applyFont="1" applyFill="1" applyBorder="1" applyAlignment="1">
      <alignment horizontal="left" vertical="center" wrapText="1" indent="3"/>
    </xf>
    <xf numFmtId="0" fontId="4" fillId="23" borderId="10" xfId="0" applyFont="1" applyFill="1" applyBorder="1" applyAlignment="1">
      <alignment horizontal="left" vertical="center" wrapText="1" indent="3"/>
    </xf>
    <xf numFmtId="0" fontId="4" fillId="0" borderId="10" xfId="0" applyFont="1" applyFill="1" applyBorder="1" applyAlignment="1">
      <alignment horizontal="left" vertical="center" wrapText="1" indent="4"/>
    </xf>
    <xf numFmtId="0" fontId="7" fillId="22" borderId="10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1"/>
    </xf>
    <xf numFmtId="0" fontId="6" fillId="0" borderId="10" xfId="0" applyFont="1" applyFill="1" applyBorder="1" applyAlignment="1">
      <alignment horizontal="left" vertical="top" wrapText="1" indent="2"/>
    </xf>
    <xf numFmtId="0" fontId="7" fillId="0" borderId="10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/>
    </xf>
    <xf numFmtId="0" fontId="10" fillId="0" borderId="10" xfId="0" applyFont="1" applyFill="1" applyBorder="1" applyAlignment="1">
      <alignment horizontal="right"/>
    </xf>
    <xf numFmtId="0" fontId="40" fillId="0" borderId="10" xfId="45" applyFont="1" applyFill="1" applyBorder="1" applyAlignment="1">
      <alignment horizontal="left" vertical="center" wrapText="1" indent="1"/>
    </xf>
    <xf numFmtId="0" fontId="2" fillId="0" borderId="0" xfId="45" applyFont="1" applyFill="1" applyAlignment="1">
      <alignment horizontal="center" vertical="center"/>
    </xf>
    <xf numFmtId="0" fontId="7" fillId="0" borderId="11" xfId="0" applyFont="1" applyBorder="1" applyAlignment="1">
      <alignment horizontal="left" vertical="center" wrapText="1"/>
    </xf>
    <xf numFmtId="0" fontId="10" fillId="0" borderId="16" xfId="45" applyFont="1" applyFill="1" applyBorder="1" applyAlignment="1">
      <alignment horizontal="left" vertical="center"/>
    </xf>
    <xf numFmtId="0" fontId="2" fillId="0" borderId="0" xfId="0" applyFont="1" applyBorder="1" applyAlignment="1">
      <alignment vertical="center" wrapText="1"/>
    </xf>
    <xf numFmtId="4" fontId="13" fillId="20" borderId="0" xfId="0" applyNumberFormat="1" applyFont="1" applyFill="1" applyBorder="1" applyAlignment="1">
      <alignment horizontal="right" vertical="center"/>
    </xf>
    <xf numFmtId="4" fontId="7" fillId="0" borderId="0" xfId="0" applyNumberFormat="1" applyFont="1" applyFill="1" applyBorder="1" applyAlignment="1">
      <alignment horizontal="right" vertical="center"/>
    </xf>
    <xf numFmtId="0" fontId="42" fillId="0" borderId="0" xfId="0" applyFont="1"/>
    <xf numFmtId="0" fontId="42" fillId="0" borderId="0" xfId="0" applyFont="1"/>
    <xf numFmtId="0" fontId="2" fillId="0" borderId="10" xfId="0" applyFont="1" applyBorder="1" applyAlignment="1">
      <alignment horizontal="center" vertical="center"/>
    </xf>
    <xf numFmtId="0" fontId="40" fillId="0" borderId="0" xfId="45" applyFont="1" applyAlignment="1">
      <alignment horizontal="center" vertical="center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0" xfId="0" applyFont="1" applyFill="1" applyBorder="1" applyAlignment="1">
      <alignment horizontal="left" vertical="center" wrapText="1" indent="2"/>
    </xf>
    <xf numFmtId="0" fontId="40" fillId="0" borderId="10" xfId="46" applyFont="1" applyBorder="1" applyAlignment="1">
      <alignment horizontal="left" vertical="center" wrapText="1" indent="1"/>
    </xf>
    <xf numFmtId="0" fontId="6" fillId="19" borderId="10" xfId="0" applyFont="1" applyFill="1" applyBorder="1" applyAlignment="1">
      <alignment horizontal="center" vertical="center" wrapText="1"/>
    </xf>
    <xf numFmtId="0" fontId="6" fillId="19" borderId="10" xfId="0" applyFont="1" applyFill="1" applyBorder="1" applyAlignment="1">
      <alignment horizontal="center" vertical="center"/>
    </xf>
    <xf numFmtId="0" fontId="7" fillId="19" borderId="10" xfId="0" applyFont="1" applyFill="1" applyBorder="1" applyAlignment="1">
      <alignment horizontal="center" vertical="center"/>
    </xf>
    <xf numFmtId="0" fontId="13" fillId="19" borderId="10" xfId="0" applyFont="1" applyFill="1" applyBorder="1" applyAlignment="1">
      <alignment horizontal="center" vertical="center"/>
    </xf>
    <xf numFmtId="0" fontId="4" fillId="19" borderId="10" xfId="0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center" wrapText="1"/>
    </xf>
    <xf numFmtId="0" fontId="6" fillId="19" borderId="19" xfId="0" applyFont="1" applyFill="1" applyBorder="1" applyAlignment="1">
      <alignment horizontal="center" vertical="center" wrapText="1"/>
    </xf>
    <xf numFmtId="0" fontId="6" fillId="19" borderId="21" xfId="0" applyFont="1" applyFill="1" applyBorder="1" applyAlignment="1">
      <alignment horizontal="center" vertical="center" wrapText="1"/>
    </xf>
    <xf numFmtId="0" fontId="6" fillId="19" borderId="11" xfId="0" applyFont="1" applyFill="1" applyBorder="1" applyAlignment="1">
      <alignment horizontal="center" vertical="center" wrapText="1"/>
    </xf>
    <xf numFmtId="0" fontId="4" fillId="19" borderId="15" xfId="0" applyFont="1" applyFill="1" applyBorder="1" applyAlignment="1">
      <alignment horizontal="center" vertical="center"/>
    </xf>
    <xf numFmtId="0" fontId="4" fillId="19" borderId="20" xfId="0" applyFont="1" applyFill="1" applyBorder="1" applyAlignment="1">
      <alignment horizontal="center" vertical="center"/>
    </xf>
    <xf numFmtId="0" fontId="4" fillId="19" borderId="18" xfId="0" applyFont="1" applyFill="1" applyBorder="1" applyAlignment="1">
      <alignment horizontal="center" vertical="center"/>
    </xf>
    <xf numFmtId="0" fontId="6" fillId="19" borderId="18" xfId="0" applyFont="1" applyFill="1" applyBorder="1" applyAlignment="1">
      <alignment horizontal="center" vertical="center" wrapText="1"/>
    </xf>
    <xf numFmtId="0" fontId="6" fillId="19" borderId="15" xfId="0" applyNumberFormat="1" applyFont="1" applyFill="1" applyBorder="1" applyAlignment="1">
      <alignment horizontal="center" vertical="center" wrapText="1"/>
    </xf>
    <xf numFmtId="0" fontId="6" fillId="19" borderId="18" xfId="0" applyNumberFormat="1" applyFont="1" applyFill="1" applyBorder="1" applyAlignment="1">
      <alignment horizontal="center" vertical="center" wrapText="1"/>
    </xf>
    <xf numFmtId="0" fontId="6" fillId="19" borderId="15" xfId="0" applyFont="1" applyFill="1" applyBorder="1" applyAlignment="1">
      <alignment horizontal="center" vertical="top" wrapText="1"/>
    </xf>
    <xf numFmtId="0" fontId="0" fillId="0" borderId="18" xfId="0" applyBorder="1" applyAlignment="1">
      <alignment horizontal="center" vertical="top" wrapText="1"/>
    </xf>
    <xf numFmtId="0" fontId="4" fillId="19" borderId="10" xfId="0" applyFont="1" applyFill="1" applyBorder="1" applyAlignment="1">
      <alignment horizontal="center" vertical="center"/>
    </xf>
    <xf numFmtId="168" fontId="6" fillId="0" borderId="15" xfId="0" applyNumberFormat="1" applyFont="1" applyBorder="1" applyAlignment="1">
      <alignment horizontal="center"/>
    </xf>
    <xf numFmtId="168" fontId="6" fillId="0" borderId="18" xfId="0" applyNumberFormat="1" applyFont="1" applyBorder="1" applyAlignment="1">
      <alignment horizontal="center"/>
    </xf>
    <xf numFmtId="0" fontId="6" fillId="19" borderId="18" xfId="0" applyFont="1" applyFill="1" applyBorder="1" applyAlignment="1">
      <alignment horizontal="center" vertical="center"/>
    </xf>
    <xf numFmtId="4" fontId="35" fillId="0" borderId="0" xfId="0" applyNumberFormat="1" applyFont="1" applyFill="1" applyBorder="1" applyAlignment="1">
      <alignment horizontal="center" vertical="center" wrapText="1"/>
    </xf>
    <xf numFmtId="4" fontId="4" fillId="20" borderId="10" xfId="0" applyNumberFormat="1" applyFont="1" applyFill="1" applyBorder="1" applyAlignment="1">
      <alignment vertical="center"/>
    </xf>
    <xf numFmtId="4" fontId="4" fillId="0" borderId="10" xfId="0" applyNumberFormat="1" applyFont="1" applyFill="1" applyBorder="1" applyAlignment="1">
      <alignment vertical="center"/>
    </xf>
    <xf numFmtId="4" fontId="4" fillId="0" borderId="15" xfId="0" applyNumberFormat="1" applyFont="1" applyFill="1" applyBorder="1" applyAlignment="1">
      <alignment vertical="top" wrapText="1"/>
    </xf>
    <xf numFmtId="4" fontId="4" fillId="0" borderId="20" xfId="0" applyNumberFormat="1" applyFont="1" applyFill="1" applyBorder="1" applyAlignment="1">
      <alignment vertical="top" wrapText="1"/>
    </xf>
    <xf numFmtId="4" fontId="4" fillId="0" borderId="18" xfId="0" applyNumberFormat="1" applyFont="1" applyFill="1" applyBorder="1" applyAlignment="1">
      <alignment vertical="top" wrapText="1"/>
    </xf>
    <xf numFmtId="4" fontId="6" fillId="20" borderId="10" xfId="0" applyNumberFormat="1" applyFont="1" applyFill="1" applyBorder="1" applyAlignment="1">
      <alignment vertical="center"/>
    </xf>
    <xf numFmtId="4" fontId="8" fillId="20" borderId="15" xfId="0" applyNumberFormat="1" applyFont="1" applyFill="1" applyBorder="1" applyAlignment="1">
      <alignment horizontal="center" vertical="center"/>
    </xf>
    <xf numFmtId="4" fontId="8" fillId="20" borderId="20" xfId="0" applyNumberFormat="1" applyFont="1" applyFill="1" applyBorder="1" applyAlignment="1">
      <alignment horizontal="center" vertical="center"/>
    </xf>
    <xf numFmtId="4" fontId="8" fillId="20" borderId="18" xfId="0" applyNumberFormat="1" applyFont="1" applyFill="1" applyBorder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4" fontId="8" fillId="21" borderId="15" xfId="0" applyNumberFormat="1" applyFont="1" applyFill="1" applyBorder="1" applyAlignment="1">
      <alignment horizontal="center" vertical="center"/>
    </xf>
    <xf numFmtId="4" fontId="8" fillId="21" borderId="20" xfId="0" applyNumberFormat="1" applyFont="1" applyFill="1" applyBorder="1" applyAlignment="1">
      <alignment horizontal="center" vertical="center"/>
    </xf>
    <xf numFmtId="4" fontId="8" fillId="21" borderId="18" xfId="0" applyNumberFormat="1" applyFont="1" applyFill="1" applyBorder="1" applyAlignment="1">
      <alignment horizontal="center" vertical="center"/>
    </xf>
    <xf numFmtId="0" fontId="6" fillId="19" borderId="10" xfId="0" applyFont="1" applyFill="1" applyBorder="1" applyAlignment="1">
      <alignment horizontal="center"/>
    </xf>
    <xf numFmtId="4" fontId="8" fillId="0" borderId="15" xfId="0" applyNumberFormat="1" applyFont="1" applyBorder="1" applyAlignment="1">
      <alignment horizontal="center" vertical="center"/>
    </xf>
    <xf numFmtId="4" fontId="8" fillId="0" borderId="20" xfId="0" applyNumberFormat="1" applyFont="1" applyBorder="1" applyAlignment="1">
      <alignment horizontal="center" vertical="center"/>
    </xf>
    <xf numFmtId="4" fontId="8" fillId="0" borderId="18" xfId="0" applyNumberFormat="1" applyFont="1" applyBorder="1" applyAlignment="1">
      <alignment horizontal="center" vertical="center"/>
    </xf>
    <xf numFmtId="0" fontId="6" fillId="22" borderId="10" xfId="0" applyFont="1" applyFill="1" applyBorder="1" applyAlignment="1">
      <alignment horizontal="left" vertical="center" wrapText="1"/>
    </xf>
    <xf numFmtId="4" fontId="7" fillId="20" borderId="10" xfId="0" applyNumberFormat="1" applyFont="1" applyFill="1" applyBorder="1" applyAlignment="1">
      <alignment horizontal="left" vertical="center" wrapText="1"/>
    </xf>
    <xf numFmtId="4" fontId="10" fillId="0" borderId="10" xfId="0" applyNumberFormat="1" applyFont="1" applyBorder="1" applyAlignment="1">
      <alignment horizontal="left" vertical="center"/>
    </xf>
    <xf numFmtId="0" fontId="6" fillId="19" borderId="10" xfId="0" applyFont="1" applyFill="1" applyBorder="1" applyAlignment="1">
      <alignment horizontal="center" vertical="top" wrapText="1"/>
    </xf>
    <xf numFmtId="0" fontId="10" fillId="19" borderId="10" xfId="0" applyFont="1" applyFill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 wrapText="1"/>
    </xf>
    <xf numFmtId="4" fontId="4" fillId="20" borderId="15" xfId="0" applyNumberFormat="1" applyFont="1" applyFill="1" applyBorder="1" applyAlignment="1">
      <alignment horizontal="left" vertical="center"/>
    </xf>
    <xf numFmtId="4" fontId="4" fillId="20" borderId="20" xfId="0" applyNumberFormat="1" applyFont="1" applyFill="1" applyBorder="1" applyAlignment="1">
      <alignment horizontal="left" vertical="center"/>
    </xf>
    <xf numFmtId="4" fontId="4" fillId="20" borderId="18" xfId="0" applyNumberFormat="1" applyFont="1" applyFill="1" applyBorder="1" applyAlignment="1">
      <alignment horizontal="left" vertical="center"/>
    </xf>
    <xf numFmtId="0" fontId="6" fillId="22" borderId="10" xfId="0" applyFont="1" applyFill="1" applyBorder="1" applyAlignment="1">
      <alignment horizontal="left" vertical="center" wrapText="1" indent="1"/>
    </xf>
    <xf numFmtId="4" fontId="4" fillId="20" borderId="10" xfId="0" applyNumberFormat="1" applyFont="1" applyFill="1" applyBorder="1" applyAlignment="1">
      <alignment horizontal="left" vertical="center"/>
    </xf>
    <xf numFmtId="4" fontId="7" fillId="0" borderId="10" xfId="0" applyNumberFormat="1" applyFont="1" applyFill="1" applyBorder="1" applyAlignment="1">
      <alignment vertical="center"/>
    </xf>
    <xf numFmtId="4" fontId="7" fillId="20" borderId="10" xfId="0" applyNumberFormat="1" applyFont="1" applyFill="1" applyBorder="1" applyAlignment="1">
      <alignment vertical="center"/>
    </xf>
    <xf numFmtId="4" fontId="4" fillId="20" borderId="15" xfId="0" applyNumberFormat="1" applyFont="1" applyFill="1" applyBorder="1" applyAlignment="1">
      <alignment vertical="top" wrapText="1"/>
    </xf>
    <xf numFmtId="4" fontId="4" fillId="20" borderId="20" xfId="0" applyNumberFormat="1" applyFont="1" applyFill="1" applyBorder="1" applyAlignment="1">
      <alignment vertical="top" wrapText="1"/>
    </xf>
    <xf numFmtId="4" fontId="4" fillId="20" borderId="18" xfId="0" applyNumberFormat="1" applyFont="1" applyFill="1" applyBorder="1" applyAlignment="1">
      <alignment vertical="top" wrapText="1"/>
    </xf>
    <xf numFmtId="0" fontId="2" fillId="0" borderId="10" xfId="0" applyFont="1" applyBorder="1" applyAlignment="1">
      <alignment vertical="center" wrapText="1"/>
    </xf>
    <xf numFmtId="4" fontId="7" fillId="20" borderId="15" xfId="0" applyNumberFormat="1" applyFont="1" applyFill="1" applyBorder="1" applyAlignment="1">
      <alignment vertical="center"/>
    </xf>
    <xf numFmtId="4" fontId="7" fillId="20" borderId="20" xfId="0" applyNumberFormat="1" applyFont="1" applyFill="1" applyBorder="1" applyAlignment="1">
      <alignment vertical="center"/>
    </xf>
    <xf numFmtId="4" fontId="7" fillId="20" borderId="18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top" wrapText="1"/>
    </xf>
    <xf numFmtId="0" fontId="2" fillId="0" borderId="20" xfId="0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6" fillId="21" borderId="10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center" vertical="center"/>
    </xf>
    <xf numFmtId="4" fontId="4" fillId="0" borderId="10" xfId="0" applyNumberFormat="1" applyFont="1" applyBorder="1" applyAlignment="1">
      <alignment horizontal="left" vertical="center"/>
    </xf>
    <xf numFmtId="0" fontId="10" fillId="22" borderId="10" xfId="0" applyFont="1" applyFill="1" applyBorder="1" applyAlignment="1">
      <alignment horizontal="left" vertical="center" wrapText="1"/>
    </xf>
    <xf numFmtId="0" fontId="10" fillId="20" borderId="10" xfId="0" applyFont="1" applyFill="1" applyBorder="1" applyAlignment="1">
      <alignment horizontal="left" vertical="center"/>
    </xf>
    <xf numFmtId="3" fontId="7" fillId="0" borderId="10" xfId="0" applyNumberFormat="1" applyFont="1" applyBorder="1" applyAlignment="1">
      <alignment horizontal="left" vertical="center"/>
    </xf>
    <xf numFmtId="0" fontId="0" fillId="0" borderId="10" xfId="0" applyBorder="1" applyAlignment="1">
      <alignment horizontal="left"/>
    </xf>
    <xf numFmtId="4" fontId="4" fillId="20" borderId="10" xfId="0" applyNumberFormat="1" applyFont="1" applyFill="1" applyBorder="1" applyAlignment="1">
      <alignment horizontal="left" vertical="center" wrapText="1"/>
    </xf>
    <xf numFmtId="4" fontId="4" fillId="20" borderId="15" xfId="0" applyNumberFormat="1" applyFont="1" applyFill="1" applyBorder="1" applyAlignment="1">
      <alignment horizontal="left" vertical="center" wrapText="1"/>
    </xf>
    <xf numFmtId="4" fontId="4" fillId="20" borderId="20" xfId="0" applyNumberFormat="1" applyFont="1" applyFill="1" applyBorder="1" applyAlignment="1">
      <alignment horizontal="left" vertical="center" wrapText="1"/>
    </xf>
    <xf numFmtId="4" fontId="4" fillId="20" borderId="18" xfId="0" applyNumberFormat="1" applyFont="1" applyFill="1" applyBorder="1" applyAlignment="1">
      <alignment horizontal="left" vertical="center" wrapText="1"/>
    </xf>
    <xf numFmtId="3" fontId="7" fillId="0" borderId="15" xfId="0" applyNumberFormat="1" applyFont="1" applyBorder="1" applyAlignment="1">
      <alignment horizontal="left" vertical="center" wrapText="1"/>
    </xf>
    <xf numFmtId="0" fontId="0" fillId="0" borderId="20" xfId="0" applyBorder="1" applyAlignment="1">
      <alignment horizontal="left" wrapText="1"/>
    </xf>
    <xf numFmtId="0" fontId="0" fillId="0" borderId="18" xfId="0" applyBorder="1" applyAlignment="1">
      <alignment horizontal="left" wrapText="1"/>
    </xf>
    <xf numFmtId="4" fontId="7" fillId="20" borderId="10" xfId="0" applyNumberFormat="1" applyFont="1" applyFill="1" applyBorder="1" applyAlignment="1">
      <alignment horizontal="left" vertical="center"/>
    </xf>
    <xf numFmtId="4" fontId="7" fillId="0" borderId="10" xfId="0" applyNumberFormat="1" applyFont="1" applyBorder="1" applyAlignment="1">
      <alignment horizontal="left" vertical="center"/>
    </xf>
    <xf numFmtId="4" fontId="6" fillId="0" borderId="10" xfId="0" applyNumberFormat="1" applyFont="1" applyFill="1" applyBorder="1" applyAlignment="1">
      <alignment vertical="center"/>
    </xf>
    <xf numFmtId="4" fontId="4" fillId="0" borderId="10" xfId="0" applyNumberFormat="1" applyFont="1" applyFill="1" applyBorder="1" applyAlignment="1">
      <alignment horizontal="left" vertical="center"/>
    </xf>
    <xf numFmtId="0" fontId="6" fillId="20" borderId="15" xfId="0" applyFont="1" applyFill="1" applyBorder="1" applyAlignment="1">
      <alignment horizontal="left" vertical="center" wrapText="1"/>
    </xf>
    <xf numFmtId="0" fontId="6" fillId="20" borderId="18" xfId="0" applyFont="1" applyFill="1" applyBorder="1" applyAlignment="1">
      <alignment horizontal="left" vertical="center" wrapText="1"/>
    </xf>
    <xf numFmtId="4" fontId="4" fillId="0" borderId="10" xfId="0" applyNumberFormat="1" applyFont="1" applyBorder="1" applyAlignment="1">
      <alignment horizontal="left" vertical="center" wrapText="1"/>
    </xf>
    <xf numFmtId="4" fontId="10" fillId="20" borderId="15" xfId="0" applyNumberFormat="1" applyFont="1" applyFill="1" applyBorder="1" applyAlignment="1">
      <alignment horizontal="center" vertical="center"/>
    </xf>
    <xf numFmtId="4" fontId="10" fillId="20" borderId="20" xfId="0" applyNumberFormat="1" applyFont="1" applyFill="1" applyBorder="1" applyAlignment="1">
      <alignment horizontal="center" vertical="center"/>
    </xf>
    <xf numFmtId="4" fontId="10" fillId="20" borderId="18" xfId="0" applyNumberFormat="1" applyFont="1" applyFill="1" applyBorder="1" applyAlignment="1">
      <alignment horizontal="center" vertical="center"/>
    </xf>
    <xf numFmtId="0" fontId="6" fillId="19" borderId="10" xfId="0" applyNumberFormat="1" applyFont="1" applyFill="1" applyBorder="1" applyAlignment="1">
      <alignment horizontal="center" vertical="center" wrapText="1"/>
    </xf>
    <xf numFmtId="0" fontId="10" fillId="20" borderId="15" xfId="0" applyFont="1" applyFill="1" applyBorder="1" applyAlignment="1">
      <alignment horizontal="left" vertical="center" wrapText="1"/>
    </xf>
    <xf numFmtId="0" fontId="10" fillId="20" borderId="18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 indent="1"/>
    </xf>
    <xf numFmtId="0" fontId="6" fillId="0" borderId="15" xfId="0" applyFont="1" applyBorder="1" applyAlignment="1">
      <alignment horizontal="left" vertical="center" wrapText="1" indent="1"/>
    </xf>
    <xf numFmtId="0" fontId="6" fillId="0" borderId="18" xfId="0" applyFont="1" applyBorder="1" applyAlignment="1">
      <alignment horizontal="left" vertical="center" wrapText="1" indent="1"/>
    </xf>
    <xf numFmtId="0" fontId="6" fillId="21" borderId="10" xfId="0" applyFont="1" applyFill="1" applyBorder="1" applyAlignment="1">
      <alignment horizontal="left" vertical="center" wrapText="1" indent="1"/>
    </xf>
  </cellXfs>
  <cellStyles count="53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Accent1" xfId="19"/>
    <cellStyle name="Accent2" xfId="20"/>
    <cellStyle name="Accent3" xfId="21"/>
    <cellStyle name="Accent4" xfId="22"/>
    <cellStyle name="Accent5" xfId="23"/>
    <cellStyle name="Accent6" xfId="24"/>
    <cellStyle name="Bad" xfId="25"/>
    <cellStyle name="Calculation" xfId="26"/>
    <cellStyle name="Check Cell" xfId="27"/>
    <cellStyle name="Dziesiętny 2" xfId="28"/>
    <cellStyle name="Dziesiętny 2 2" xfId="29"/>
    <cellStyle name="Dziesiętny 3" xfId="30"/>
    <cellStyle name="Dziesiętny 3 2" xfId="31"/>
    <cellStyle name="Dziesiętny 3 3" xfId="32"/>
    <cellStyle name="Dziesiętny 3 4" xfId="33"/>
    <cellStyle name="Dziesiętny 4" xfId="34"/>
    <cellStyle name="Dziesiętny 5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alny" xfId="0" builtinId="0"/>
    <cellStyle name="Normalny 2" xfId="45"/>
    <cellStyle name="Normalny 2 2" xfId="46"/>
    <cellStyle name="Note" xfId="47"/>
    <cellStyle name="Note 2" xfId="48"/>
    <cellStyle name="Output" xfId="49"/>
    <cellStyle name="Title" xfId="50"/>
    <cellStyle name="Total" xfId="51"/>
    <cellStyle name="Warning Text" xfId="52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5F5F5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CDCD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>
    <outlinePr summaryBelow="0"/>
  </sheetPr>
  <dimension ref="A1:Z140"/>
  <sheetViews>
    <sheetView tabSelected="1" topLeftCell="B1" zoomScaleNormal="100" workbookViewId="0"/>
  </sheetViews>
  <sheetFormatPr defaultRowHeight="12.75" outlineLevelRow="1" outlineLevelCol="1" x14ac:dyDescent="0.2"/>
  <cols>
    <col min="1" max="1" width="5.7109375" style="73" hidden="1" customWidth="1"/>
    <col min="2" max="2" width="30.7109375" style="73" customWidth="1"/>
    <col min="3" max="4" width="14.5703125" style="73" customWidth="1"/>
    <col min="5" max="5" width="14.5703125" style="73" customWidth="1" outlineLevel="1"/>
    <col min="6" max="6" width="13.85546875" style="73" customWidth="1" outlineLevel="1"/>
    <col min="7" max="7" width="13" style="73" customWidth="1" outlineLevel="1"/>
    <col min="8" max="9" width="12.28515625" style="73" customWidth="1" outlineLevel="1"/>
    <col min="10" max="10" width="13" style="73" customWidth="1"/>
    <col min="11" max="11" width="7.42578125" style="73" customWidth="1"/>
    <col min="12" max="12" width="8.85546875" style="73" customWidth="1"/>
    <col min="13" max="13" width="8.140625" style="73" customWidth="1"/>
    <col min="14" max="16384" width="9.140625" style="73"/>
  </cols>
  <sheetData>
    <row r="1" spans="2:13" ht="27.75" customHeight="1" x14ac:dyDescent="0.2">
      <c r="B1" s="148" t="str">
        <f>CONCATENATE("Informacja z wykonania budżetów miast na prawach powiatu za ",$D$137," ",$C$138," rok    ",$C$140,"")</f>
        <v xml:space="preserve">Informacja z wykonania budżetów miast na prawach powiatu za II Kwartały 2023 rok    </v>
      </c>
      <c r="C1" s="148"/>
      <c r="D1" s="148"/>
      <c r="E1" s="148"/>
      <c r="F1" s="148"/>
      <c r="G1" s="148"/>
      <c r="H1" s="148"/>
      <c r="I1" s="148"/>
      <c r="J1" s="148"/>
      <c r="K1" s="148"/>
      <c r="L1" s="148"/>
      <c r="M1" s="148"/>
    </row>
    <row r="2" spans="2:13" ht="63" customHeight="1" x14ac:dyDescent="0.2">
      <c r="B2" s="180" t="s">
        <v>0</v>
      </c>
      <c r="C2" s="16" t="s">
        <v>174</v>
      </c>
      <c r="D2" s="16" t="s">
        <v>175</v>
      </c>
      <c r="E2" s="16" t="s">
        <v>176</v>
      </c>
      <c r="F2" s="16" t="s">
        <v>177</v>
      </c>
      <c r="G2" s="16" t="s">
        <v>178</v>
      </c>
      <c r="H2" s="16" t="s">
        <v>179</v>
      </c>
      <c r="I2" s="16" t="s">
        <v>180</v>
      </c>
      <c r="J2" s="17" t="s">
        <v>2</v>
      </c>
      <c r="K2" s="16" t="s">
        <v>65</v>
      </c>
      <c r="L2" s="16" t="s">
        <v>3</v>
      </c>
    </row>
    <row r="3" spans="2:13" x14ac:dyDescent="0.2">
      <c r="B3" s="180"/>
      <c r="C3" s="187" t="s">
        <v>327</v>
      </c>
      <c r="D3" s="188"/>
      <c r="E3" s="188"/>
      <c r="F3" s="188"/>
      <c r="G3" s="188"/>
      <c r="H3" s="188"/>
      <c r="I3" s="189"/>
      <c r="J3" s="195" t="s">
        <v>4</v>
      </c>
      <c r="K3" s="195"/>
      <c r="L3" s="195"/>
    </row>
    <row r="4" spans="2:13" x14ac:dyDescent="0.2">
      <c r="B4" s="17">
        <v>1</v>
      </c>
      <c r="C4" s="19">
        <v>2</v>
      </c>
      <c r="D4" s="19">
        <v>3</v>
      </c>
      <c r="E4" s="19">
        <v>4</v>
      </c>
      <c r="F4" s="19">
        <v>5</v>
      </c>
      <c r="G4" s="19">
        <v>6</v>
      </c>
      <c r="H4" s="19">
        <v>7</v>
      </c>
      <c r="I4" s="19">
        <v>8</v>
      </c>
      <c r="J4" s="19">
        <v>9</v>
      </c>
      <c r="K4" s="19">
        <v>10</v>
      </c>
      <c r="L4" s="19">
        <v>11</v>
      </c>
    </row>
    <row r="5" spans="2:13" ht="12.95" customHeight="1" x14ac:dyDescent="0.2">
      <c r="B5" s="126" t="s">
        <v>5</v>
      </c>
      <c r="C5" s="128">
        <f>109141899361.27</f>
        <v>109141899361.27</v>
      </c>
      <c r="D5" s="128">
        <f>57069044580.58</f>
        <v>57069044580.580002</v>
      </c>
      <c r="E5" s="128">
        <f>355625288.44</f>
        <v>355625288.44</v>
      </c>
      <c r="F5" s="128">
        <f>71122833.39</f>
        <v>71122833.390000001</v>
      </c>
      <c r="G5" s="128">
        <f>10596186.92</f>
        <v>10596186.92</v>
      </c>
      <c r="H5" s="128">
        <f>70565592.43</f>
        <v>70565592.430000007</v>
      </c>
      <c r="I5" s="128">
        <f>737095.39</f>
        <v>737095.39</v>
      </c>
      <c r="J5" s="74">
        <f t="shared" ref="J5:J73" si="0">IF($D$5=0,"",100*$D5/$D$5)</f>
        <v>100</v>
      </c>
      <c r="K5" s="74">
        <f t="shared" ref="K5:K49" si="1">IF(C5=0,"",100*D5/C5)</f>
        <v>52.288850491483629</v>
      </c>
      <c r="L5" s="74"/>
    </row>
    <row r="6" spans="2:13" ht="25.5" customHeight="1" x14ac:dyDescent="0.2">
      <c r="B6" s="149" t="s">
        <v>241</v>
      </c>
      <c r="C6" s="128">
        <f>C5-C23-C60</f>
        <v>66926396176.490005</v>
      </c>
      <c r="D6" s="128">
        <f>D5-D23-D60</f>
        <v>34189533347.07</v>
      </c>
      <c r="E6" s="128">
        <f>E5</f>
        <v>355625288.44</v>
      </c>
      <c r="F6" s="128">
        <f>F5</f>
        <v>71122833.390000001</v>
      </c>
      <c r="G6" s="128">
        <f>G5</f>
        <v>10596186.92</v>
      </c>
      <c r="H6" s="128">
        <f>H5</f>
        <v>70565592.430000007</v>
      </c>
      <c r="I6" s="128">
        <f>I5</f>
        <v>737095.39</v>
      </c>
      <c r="J6" s="74">
        <f t="shared" si="0"/>
        <v>59.909069090503642</v>
      </c>
      <c r="K6" s="74">
        <f t="shared" si="1"/>
        <v>51.085274720171093</v>
      </c>
      <c r="L6" s="74">
        <f t="shared" ref="L6:L22" si="2">IF($D$6=0,"",100*$D6/$D$6)</f>
        <v>100</v>
      </c>
    </row>
    <row r="7" spans="2:13" ht="33.75" outlineLevel="1" x14ac:dyDescent="0.2">
      <c r="B7" s="150" t="s">
        <v>242</v>
      </c>
      <c r="C7" s="129">
        <f>4125436276</f>
        <v>4125436276</v>
      </c>
      <c r="D7" s="129">
        <f>2062717968</f>
        <v>2062717968</v>
      </c>
      <c r="E7" s="129">
        <f>0</f>
        <v>0</v>
      </c>
      <c r="F7" s="129">
        <f>0</f>
        <v>0</v>
      </c>
      <c r="G7" s="129">
        <f>0</f>
        <v>0</v>
      </c>
      <c r="H7" s="129">
        <f>0</f>
        <v>0</v>
      </c>
      <c r="I7" s="129">
        <f>0</f>
        <v>0</v>
      </c>
      <c r="J7" s="76">
        <f t="shared" si="0"/>
        <v>3.6144252688294021</v>
      </c>
      <c r="K7" s="76">
        <f t="shared" si="1"/>
        <v>49.999995879223711</v>
      </c>
      <c r="L7" s="76">
        <f t="shared" si="2"/>
        <v>6.0331854987917595</v>
      </c>
    </row>
    <row r="8" spans="2:13" ht="33.75" outlineLevel="1" x14ac:dyDescent="0.2">
      <c r="B8" s="49" t="s">
        <v>243</v>
      </c>
      <c r="C8" s="130">
        <f>860746764</f>
        <v>860746764</v>
      </c>
      <c r="D8" s="130">
        <f>430373196</f>
        <v>430373196</v>
      </c>
      <c r="E8" s="130">
        <f>0</f>
        <v>0</v>
      </c>
      <c r="F8" s="130">
        <f>0</f>
        <v>0</v>
      </c>
      <c r="G8" s="130">
        <f>0</f>
        <v>0</v>
      </c>
      <c r="H8" s="130">
        <f>0</f>
        <v>0</v>
      </c>
      <c r="I8" s="130">
        <f>0</f>
        <v>0</v>
      </c>
      <c r="J8" s="76">
        <f t="shared" si="0"/>
        <v>0.75412721408420336</v>
      </c>
      <c r="K8" s="76">
        <f t="shared" si="1"/>
        <v>49.999978390856896</v>
      </c>
      <c r="L8" s="76">
        <f t="shared" si="2"/>
        <v>1.2587864000105824</v>
      </c>
    </row>
    <row r="9" spans="2:13" ht="33.75" outlineLevel="1" x14ac:dyDescent="0.2">
      <c r="B9" s="49" t="s">
        <v>244</v>
      </c>
      <c r="C9" s="130">
        <f>17908112910.95</f>
        <v>17908112910.950001</v>
      </c>
      <c r="D9" s="130">
        <f>8939770644</f>
        <v>8939770644</v>
      </c>
      <c r="E9" s="130">
        <f>0</f>
        <v>0</v>
      </c>
      <c r="F9" s="130">
        <f>0</f>
        <v>0</v>
      </c>
      <c r="G9" s="130">
        <f>0</f>
        <v>0</v>
      </c>
      <c r="H9" s="130">
        <f>0</f>
        <v>0</v>
      </c>
      <c r="I9" s="130">
        <f>0</f>
        <v>0</v>
      </c>
      <c r="J9" s="76">
        <f t="shared" si="0"/>
        <v>15.664833202836045</v>
      </c>
      <c r="K9" s="76">
        <f t="shared" si="1"/>
        <v>49.920227153212409</v>
      </c>
      <c r="L9" s="76">
        <f t="shared" si="2"/>
        <v>26.147682547314226</v>
      </c>
    </row>
    <row r="10" spans="2:13" ht="33.75" outlineLevel="1" x14ac:dyDescent="0.2">
      <c r="B10" s="49" t="s">
        <v>245</v>
      </c>
      <c r="C10" s="130">
        <f>4774113904</f>
        <v>4774113904</v>
      </c>
      <c r="D10" s="130">
        <f>2386266786</f>
        <v>2386266786</v>
      </c>
      <c r="E10" s="130">
        <f>0</f>
        <v>0</v>
      </c>
      <c r="F10" s="130">
        <f>0</f>
        <v>0</v>
      </c>
      <c r="G10" s="130">
        <f>0</f>
        <v>0</v>
      </c>
      <c r="H10" s="130">
        <f>0</f>
        <v>0</v>
      </c>
      <c r="I10" s="130">
        <f>0</f>
        <v>0</v>
      </c>
      <c r="J10" s="76">
        <f t="shared" si="0"/>
        <v>4.1813680315440598</v>
      </c>
      <c r="K10" s="76">
        <f t="shared" si="1"/>
        <v>49.983448949566579</v>
      </c>
      <c r="L10" s="76">
        <f t="shared" si="2"/>
        <v>6.9795242941053477</v>
      </c>
    </row>
    <row r="11" spans="2:13" ht="12.95" customHeight="1" outlineLevel="1" x14ac:dyDescent="0.2">
      <c r="B11" s="49" t="s">
        <v>68</v>
      </c>
      <c r="C11" s="130">
        <f>27546762</f>
        <v>27546762</v>
      </c>
      <c r="D11" s="130">
        <f>19931873.31</f>
        <v>19931873.309999999</v>
      </c>
      <c r="E11" s="130">
        <f>589030.24</f>
        <v>589030.24</v>
      </c>
      <c r="F11" s="130">
        <f>4693.66</f>
        <v>4693.66</v>
      </c>
      <c r="G11" s="130">
        <f>7379.53</f>
        <v>7379.53</v>
      </c>
      <c r="H11" s="130">
        <f>32813.46</f>
        <v>32813.46</v>
      </c>
      <c r="I11" s="130">
        <f>0</f>
        <v>0</v>
      </c>
      <c r="J11" s="76">
        <f t="shared" si="0"/>
        <v>3.4925892761103985E-2</v>
      </c>
      <c r="K11" s="76">
        <f t="shared" si="1"/>
        <v>72.356501682484492</v>
      </c>
      <c r="L11" s="76">
        <f t="shared" si="2"/>
        <v>5.829817303343842E-2</v>
      </c>
    </row>
    <row r="12" spans="2:13" ht="12.95" customHeight="1" outlineLevel="1" x14ac:dyDescent="0.2">
      <c r="B12" s="49" t="s">
        <v>69</v>
      </c>
      <c r="C12" s="130">
        <f>11630569839.5</f>
        <v>11630569839.5</v>
      </c>
      <c r="D12" s="131">
        <f>6232144305</f>
        <v>6232144305</v>
      </c>
      <c r="E12" s="130">
        <f>135236357.23</f>
        <v>135236357.22999999</v>
      </c>
      <c r="F12" s="130">
        <f>70837597.36</f>
        <v>70837597.359999999</v>
      </c>
      <c r="G12" s="130">
        <f>9019265.62</f>
        <v>9019265.6199999992</v>
      </c>
      <c r="H12" s="130">
        <f>53168631.14</f>
        <v>53168631.140000001</v>
      </c>
      <c r="I12" s="130">
        <f>697149.23</f>
        <v>697149.23</v>
      </c>
      <c r="J12" s="76">
        <f t="shared" si="0"/>
        <v>10.92035857758294</v>
      </c>
      <c r="K12" s="76">
        <f t="shared" si="1"/>
        <v>53.584169916028131</v>
      </c>
      <c r="L12" s="76">
        <f t="shared" si="2"/>
        <v>18.228222777232165</v>
      </c>
    </row>
    <row r="13" spans="2:13" ht="12.95" customHeight="1" outlineLevel="1" x14ac:dyDescent="0.2">
      <c r="B13" s="49" t="s">
        <v>70</v>
      </c>
      <c r="C13" s="130">
        <f>5781461</f>
        <v>5781461</v>
      </c>
      <c r="D13" s="131">
        <f>4261839.59</f>
        <v>4261839.59</v>
      </c>
      <c r="E13" s="130">
        <f>0</f>
        <v>0</v>
      </c>
      <c r="F13" s="130">
        <f>21744.87</f>
        <v>21744.87</v>
      </c>
      <c r="G13" s="130">
        <f>1705.79</f>
        <v>1705.79</v>
      </c>
      <c r="H13" s="130">
        <f>2489.1</f>
        <v>2489.1</v>
      </c>
      <c r="I13" s="130">
        <f>0</f>
        <v>0</v>
      </c>
      <c r="J13" s="76">
        <f t="shared" si="0"/>
        <v>7.467865672750827E-3</v>
      </c>
      <c r="K13" s="76">
        <f t="shared" si="1"/>
        <v>73.715616000868991</v>
      </c>
      <c r="L13" s="76">
        <f t="shared" si="2"/>
        <v>1.2465334190837191E-2</v>
      </c>
    </row>
    <row r="14" spans="2:13" ht="12.95" customHeight="1" outlineLevel="1" x14ac:dyDescent="0.2">
      <c r="B14" s="49" t="s">
        <v>71</v>
      </c>
      <c r="C14" s="130">
        <f>398117940.58</f>
        <v>398117940.57999998</v>
      </c>
      <c r="D14" s="131">
        <f>208135213.39</f>
        <v>208135213.38999999</v>
      </c>
      <c r="E14" s="130">
        <f>217772154.63</f>
        <v>217772154.63</v>
      </c>
      <c r="F14" s="130">
        <f>258797.5</f>
        <v>258797.5</v>
      </c>
      <c r="G14" s="130">
        <f>61274.27</f>
        <v>61274.27</v>
      </c>
      <c r="H14" s="130">
        <f>1127038.8</f>
        <v>1127038.8</v>
      </c>
      <c r="I14" s="130">
        <f>0</f>
        <v>0</v>
      </c>
      <c r="J14" s="76">
        <f t="shared" si="0"/>
        <v>0.3647077236348657</v>
      </c>
      <c r="K14" s="76">
        <f t="shared" si="1"/>
        <v>52.279787513915409</v>
      </c>
      <c r="L14" s="76">
        <f t="shared" si="2"/>
        <v>0.60876880440907488</v>
      </c>
    </row>
    <row r="15" spans="2:13" ht="33.75" outlineLevel="1" x14ac:dyDescent="0.2">
      <c r="B15" s="49" t="s">
        <v>182</v>
      </c>
      <c r="C15" s="130">
        <f>95858039.96</f>
        <v>95858039.959999993</v>
      </c>
      <c r="D15" s="131">
        <f>38706684.29</f>
        <v>38706684.289999999</v>
      </c>
      <c r="E15" s="130">
        <f>0</f>
        <v>0</v>
      </c>
      <c r="F15" s="130">
        <f>0</f>
        <v>0</v>
      </c>
      <c r="G15" s="130">
        <f>2224.56</f>
        <v>2224.56</v>
      </c>
      <c r="H15" s="130">
        <f>170064.26</f>
        <v>170064.26</v>
      </c>
      <c r="I15" s="130">
        <f>0</f>
        <v>0</v>
      </c>
      <c r="J15" s="76">
        <f t="shared" si="0"/>
        <v>6.7824307511136217E-2</v>
      </c>
      <c r="K15" s="76">
        <f t="shared" si="1"/>
        <v>40.379173521753287</v>
      </c>
      <c r="L15" s="76">
        <f t="shared" si="2"/>
        <v>0.11321208715274002</v>
      </c>
    </row>
    <row r="16" spans="2:13" ht="12.95" customHeight="1" outlineLevel="1" x14ac:dyDescent="0.2">
      <c r="B16" s="49" t="s">
        <v>148</v>
      </c>
      <c r="C16" s="130">
        <f>247684683.4</f>
        <v>247684683.40000001</v>
      </c>
      <c r="D16" s="131">
        <f>159916326.39</f>
        <v>159916326.38999999</v>
      </c>
      <c r="E16" s="130">
        <f>0</f>
        <v>0</v>
      </c>
      <c r="F16" s="130">
        <f>0</f>
        <v>0</v>
      </c>
      <c r="G16" s="130">
        <f>664621.06</f>
        <v>664621.06000000006</v>
      </c>
      <c r="H16" s="130">
        <f>6106751.58</f>
        <v>6106751.5800000001</v>
      </c>
      <c r="I16" s="130">
        <f>0</f>
        <v>0</v>
      </c>
      <c r="J16" s="76">
        <f t="shared" si="0"/>
        <v>0.28021553114351216</v>
      </c>
      <c r="K16" s="76">
        <f t="shared" si="1"/>
        <v>64.564479399697902</v>
      </c>
      <c r="L16" s="76">
        <f t="shared" si="2"/>
        <v>0.46773474433427625</v>
      </c>
    </row>
    <row r="17" spans="2:12" ht="22.5" customHeight="1" outlineLevel="1" x14ac:dyDescent="0.2">
      <c r="B17" s="49" t="s">
        <v>149</v>
      </c>
      <c r="C17" s="130">
        <f>2049261859.13</f>
        <v>2049261859.1300001</v>
      </c>
      <c r="D17" s="131">
        <f>967351320.91</f>
        <v>967351320.90999997</v>
      </c>
      <c r="E17" s="130">
        <f>0</f>
        <v>0</v>
      </c>
      <c r="F17" s="130">
        <f>0</f>
        <v>0</v>
      </c>
      <c r="G17" s="130">
        <f>57423.41</f>
        <v>57423.41</v>
      </c>
      <c r="H17" s="130">
        <f>169374.38</f>
        <v>169374.38</v>
      </c>
      <c r="I17" s="130">
        <f>0</f>
        <v>0</v>
      </c>
      <c r="J17" s="76">
        <f t="shared" si="0"/>
        <v>1.6950543469220432</v>
      </c>
      <c r="K17" s="76">
        <f t="shared" si="1"/>
        <v>47.204866308334175</v>
      </c>
      <c r="L17" s="76">
        <f t="shared" si="2"/>
        <v>2.8293785442757464</v>
      </c>
    </row>
    <row r="18" spans="2:12" ht="12.95" customHeight="1" outlineLevel="1" x14ac:dyDescent="0.2">
      <c r="B18" s="49" t="s">
        <v>216</v>
      </c>
      <c r="C18" s="130">
        <f>400834194</f>
        <v>400834194</v>
      </c>
      <c r="D18" s="131">
        <f>216927806.18</f>
        <v>216927806.18000001</v>
      </c>
      <c r="E18" s="130">
        <f>0</f>
        <v>0</v>
      </c>
      <c r="F18" s="130">
        <f>0</f>
        <v>0</v>
      </c>
      <c r="G18" s="130">
        <f>1019</f>
        <v>1019</v>
      </c>
      <c r="H18" s="130">
        <f>0</f>
        <v>0</v>
      </c>
      <c r="I18" s="130">
        <f>0</f>
        <v>0</v>
      </c>
      <c r="J18" s="76">
        <f t="shared" si="0"/>
        <v>0.38011466246592512</v>
      </c>
      <c r="K18" s="76">
        <f t="shared" si="1"/>
        <v>54.119087000846044</v>
      </c>
      <c r="L18" s="76">
        <f t="shared" si="2"/>
        <v>0.63448601060999987</v>
      </c>
    </row>
    <row r="19" spans="2:12" ht="12.95" customHeight="1" outlineLevel="1" x14ac:dyDescent="0.2">
      <c r="B19" s="49" t="s">
        <v>217</v>
      </c>
      <c r="C19" s="130">
        <f>9698000</f>
        <v>9698000</v>
      </c>
      <c r="D19" s="131">
        <f>5014897.24</f>
        <v>5014897.24</v>
      </c>
      <c r="E19" s="130">
        <f>0</f>
        <v>0</v>
      </c>
      <c r="F19" s="130">
        <f>0</f>
        <v>0</v>
      </c>
      <c r="G19" s="130">
        <f>0</f>
        <v>0</v>
      </c>
      <c r="H19" s="130">
        <f>0</f>
        <v>0</v>
      </c>
      <c r="I19" s="130">
        <f>0</f>
        <v>0</v>
      </c>
      <c r="J19" s="76">
        <f t="shared" si="0"/>
        <v>8.7874210561193055E-3</v>
      </c>
      <c r="K19" s="76">
        <f t="shared" si="1"/>
        <v>51.710633532687154</v>
      </c>
      <c r="L19" s="76">
        <f t="shared" si="2"/>
        <v>1.4667931232321924E-2</v>
      </c>
    </row>
    <row r="20" spans="2:12" ht="12.95" customHeight="1" outlineLevel="1" x14ac:dyDescent="0.2">
      <c r="B20" s="49" t="s">
        <v>218</v>
      </c>
      <c r="C20" s="130">
        <f>14151500</f>
        <v>14151500</v>
      </c>
      <c r="D20" s="131">
        <f>5981796.08</f>
        <v>5981796.0800000001</v>
      </c>
      <c r="E20" s="130">
        <f>0</f>
        <v>0</v>
      </c>
      <c r="F20" s="130">
        <f>0</f>
        <v>0</v>
      </c>
      <c r="G20" s="130">
        <f>600</f>
        <v>600</v>
      </c>
      <c r="H20" s="130">
        <f>465.13</f>
        <v>465.13</v>
      </c>
      <c r="I20" s="130">
        <f>0</f>
        <v>0</v>
      </c>
      <c r="J20" s="76">
        <f t="shared" si="0"/>
        <v>1.0481682537288425E-2</v>
      </c>
      <c r="K20" s="76">
        <f t="shared" si="1"/>
        <v>42.269696357276615</v>
      </c>
      <c r="L20" s="76">
        <f t="shared" si="2"/>
        <v>1.7495986327969674E-2</v>
      </c>
    </row>
    <row r="21" spans="2:12" ht="12.95" customHeight="1" outlineLevel="1" x14ac:dyDescent="0.2">
      <c r="B21" s="49" t="s">
        <v>72</v>
      </c>
      <c r="C21" s="130">
        <f>5566440267.61</f>
        <v>5566440267.6099997</v>
      </c>
      <c r="D21" s="131">
        <f>2397179558.51</f>
        <v>2397179558.5100002</v>
      </c>
      <c r="E21" s="130">
        <f>0</f>
        <v>0</v>
      </c>
      <c r="F21" s="130">
        <f>0</f>
        <v>0</v>
      </c>
      <c r="G21" s="130">
        <f>0</f>
        <v>0</v>
      </c>
      <c r="H21" s="130">
        <f>0</f>
        <v>0</v>
      </c>
      <c r="I21" s="130">
        <f>0</f>
        <v>0</v>
      </c>
      <c r="J21" s="76">
        <f t="shared" si="0"/>
        <v>4.2004900837708004</v>
      </c>
      <c r="K21" s="76">
        <f t="shared" si="1"/>
        <v>43.064857310312078</v>
      </c>
      <c r="L21" s="76">
        <f t="shared" si="2"/>
        <v>7.0114427540598054</v>
      </c>
    </row>
    <row r="22" spans="2:12" ht="12.95" customHeight="1" outlineLevel="1" x14ac:dyDescent="0.2">
      <c r="B22" s="49" t="s">
        <v>73</v>
      </c>
      <c r="C22" s="130">
        <f>C6-SUM(C7:C21)</f>
        <v>18812041774.360008</v>
      </c>
      <c r="D22" s="130">
        <f t="shared" ref="D22:I22" si="3">D6-SUM(D7:D21)</f>
        <v>10114853132.18</v>
      </c>
      <c r="E22" s="130">
        <f t="shared" si="3"/>
        <v>2027746.3399999738</v>
      </c>
      <c r="F22" s="130">
        <f t="shared" si="3"/>
        <v>0</v>
      </c>
      <c r="G22" s="130">
        <f t="shared" si="3"/>
        <v>780673.68000000156</v>
      </c>
      <c r="H22" s="130">
        <f t="shared" si="3"/>
        <v>9787964.5800000057</v>
      </c>
      <c r="I22" s="130">
        <f t="shared" si="3"/>
        <v>39946.160000000033</v>
      </c>
      <c r="J22" s="76">
        <f t="shared" si="0"/>
        <v>17.723887278151452</v>
      </c>
      <c r="K22" s="76">
        <f t="shared" si="1"/>
        <v>53.767970821572931</v>
      </c>
      <c r="L22" s="76">
        <f t="shared" si="2"/>
        <v>29.584648112919712</v>
      </c>
    </row>
    <row r="23" spans="2:12" ht="26.25" customHeight="1" x14ac:dyDescent="0.2">
      <c r="B23" s="149" t="s">
        <v>423</v>
      </c>
      <c r="C23" s="128">
        <f>C24+C56+C58</f>
        <v>18002336307.219997</v>
      </c>
      <c r="D23" s="128">
        <f>D24+D56+D58</f>
        <v>8233061941.5100002</v>
      </c>
      <c r="E23" s="78" t="s">
        <v>240</v>
      </c>
      <c r="F23" s="78" t="s">
        <v>240</v>
      </c>
      <c r="G23" s="78" t="s">
        <v>240</v>
      </c>
      <c r="H23" s="78" t="s">
        <v>240</v>
      </c>
      <c r="I23" s="78" t="s">
        <v>240</v>
      </c>
      <c r="J23" s="74">
        <f t="shared" si="0"/>
        <v>14.426493385367843</v>
      </c>
      <c r="K23" s="74">
        <f t="shared" si="1"/>
        <v>45.733297062159963</v>
      </c>
      <c r="L23" s="79"/>
    </row>
    <row r="24" spans="2:12" ht="25.5" customHeight="1" outlineLevel="1" x14ac:dyDescent="0.2">
      <c r="B24" s="151" t="s">
        <v>246</v>
      </c>
      <c r="C24" s="128">
        <f>C25+C32+C39</f>
        <v>11983508841.009998</v>
      </c>
      <c r="D24" s="128">
        <f>D25+D32+D39</f>
        <v>6434356848.29</v>
      </c>
      <c r="E24" s="78" t="s">
        <v>240</v>
      </c>
      <c r="F24" s="78" t="s">
        <v>240</v>
      </c>
      <c r="G24" s="78" t="s">
        <v>240</v>
      </c>
      <c r="H24" s="78" t="s">
        <v>240</v>
      </c>
      <c r="I24" s="78" t="s">
        <v>240</v>
      </c>
      <c r="J24" s="74">
        <f t="shared" si="0"/>
        <v>11.274688222973237</v>
      </c>
      <c r="K24" s="74">
        <f t="shared" si="1"/>
        <v>53.693429309037811</v>
      </c>
      <c r="L24" s="80"/>
    </row>
    <row r="25" spans="2:12" ht="13.5" customHeight="1" outlineLevel="1" x14ac:dyDescent="0.2">
      <c r="B25" s="152" t="s">
        <v>219</v>
      </c>
      <c r="C25" s="128">
        <f>C26+C28+C30</f>
        <v>5575281503.6099997</v>
      </c>
      <c r="D25" s="128">
        <f>D26+D28+D30</f>
        <v>3000102712.0999999</v>
      </c>
      <c r="E25" s="78" t="s">
        <v>240</v>
      </c>
      <c r="F25" s="78" t="s">
        <v>240</v>
      </c>
      <c r="G25" s="78" t="s">
        <v>240</v>
      </c>
      <c r="H25" s="78" t="s">
        <v>240</v>
      </c>
      <c r="I25" s="78" t="s">
        <v>240</v>
      </c>
      <c r="J25" s="74">
        <f t="shared" si="0"/>
        <v>5.2569702789818624</v>
      </c>
      <c r="K25" s="74">
        <f t="shared" si="1"/>
        <v>53.810784444829032</v>
      </c>
      <c r="L25" s="80"/>
    </row>
    <row r="26" spans="2:12" ht="22.5" customHeight="1" outlineLevel="1" x14ac:dyDescent="0.2">
      <c r="B26" s="154" t="s">
        <v>450</v>
      </c>
      <c r="C26" s="129">
        <f>3819142275.66</f>
        <v>3819142275.6599998</v>
      </c>
      <c r="D26" s="132">
        <f>2093129105.16</f>
        <v>2093129105.1600001</v>
      </c>
      <c r="E26" s="75" t="s">
        <v>240</v>
      </c>
      <c r="F26" s="75" t="s">
        <v>240</v>
      </c>
      <c r="G26" s="75" t="s">
        <v>240</v>
      </c>
      <c r="H26" s="75" t="s">
        <v>240</v>
      </c>
      <c r="I26" s="75" t="s">
        <v>240</v>
      </c>
      <c r="J26" s="76">
        <f t="shared" si="0"/>
        <v>3.6677135924442474</v>
      </c>
      <c r="K26" s="76">
        <f t="shared" si="1"/>
        <v>54.806261565583561</v>
      </c>
      <c r="L26" s="80"/>
    </row>
    <row r="27" spans="2:12" ht="12.95" customHeight="1" outlineLevel="1" x14ac:dyDescent="0.2">
      <c r="B27" s="156" t="s">
        <v>6</v>
      </c>
      <c r="C27" s="130">
        <f>3301331.55</f>
        <v>3301331.55</v>
      </c>
      <c r="D27" s="130">
        <f>0</f>
        <v>0</v>
      </c>
      <c r="E27" s="77" t="s">
        <v>240</v>
      </c>
      <c r="F27" s="77" t="s">
        <v>240</v>
      </c>
      <c r="G27" s="77" t="s">
        <v>240</v>
      </c>
      <c r="H27" s="77" t="s">
        <v>240</v>
      </c>
      <c r="I27" s="77" t="s">
        <v>240</v>
      </c>
      <c r="J27" s="76">
        <f t="shared" si="0"/>
        <v>0</v>
      </c>
      <c r="K27" s="76">
        <f t="shared" si="1"/>
        <v>0</v>
      </c>
      <c r="L27" s="80"/>
    </row>
    <row r="28" spans="2:12" ht="13.5" customHeight="1" outlineLevel="1" x14ac:dyDescent="0.2">
      <c r="B28" s="154" t="s">
        <v>451</v>
      </c>
      <c r="C28" s="130">
        <f>1736570770.09</f>
        <v>1736570770.0899999</v>
      </c>
      <c r="D28" s="131">
        <f>896446959.22</f>
        <v>896446959.22000003</v>
      </c>
      <c r="E28" s="77" t="s">
        <v>240</v>
      </c>
      <c r="F28" s="77" t="s">
        <v>240</v>
      </c>
      <c r="G28" s="77" t="s">
        <v>240</v>
      </c>
      <c r="H28" s="77" t="s">
        <v>240</v>
      </c>
      <c r="I28" s="77" t="s">
        <v>240</v>
      </c>
      <c r="J28" s="76">
        <f t="shared" si="0"/>
        <v>1.5708112266611371</v>
      </c>
      <c r="K28" s="76">
        <f t="shared" si="1"/>
        <v>51.621677311402664</v>
      </c>
      <c r="L28" s="80"/>
    </row>
    <row r="29" spans="2:12" ht="12.95" customHeight="1" outlineLevel="1" x14ac:dyDescent="0.2">
      <c r="B29" s="156" t="s">
        <v>6</v>
      </c>
      <c r="C29" s="130">
        <f>317426951.12</f>
        <v>317426951.12</v>
      </c>
      <c r="D29" s="130">
        <f>185831279.61</f>
        <v>185831279.61000001</v>
      </c>
      <c r="E29" s="77" t="s">
        <v>240</v>
      </c>
      <c r="F29" s="77" t="s">
        <v>240</v>
      </c>
      <c r="G29" s="77" t="s">
        <v>240</v>
      </c>
      <c r="H29" s="77" t="s">
        <v>240</v>
      </c>
      <c r="I29" s="77" t="s">
        <v>240</v>
      </c>
      <c r="J29" s="76">
        <f t="shared" si="0"/>
        <v>0.32562535605026832</v>
      </c>
      <c r="K29" s="76">
        <f t="shared" si="1"/>
        <v>58.5430061796323</v>
      </c>
      <c r="L29" s="80"/>
    </row>
    <row r="30" spans="2:12" ht="33.75" outlineLevel="1" x14ac:dyDescent="0.2">
      <c r="B30" s="154" t="s">
        <v>8</v>
      </c>
      <c r="C30" s="130">
        <f>19568457.86</f>
        <v>19568457.859999999</v>
      </c>
      <c r="D30" s="131">
        <f>10526647.72</f>
        <v>10526647.720000001</v>
      </c>
      <c r="E30" s="77" t="s">
        <v>240</v>
      </c>
      <c r="F30" s="77" t="s">
        <v>240</v>
      </c>
      <c r="G30" s="77" t="s">
        <v>240</v>
      </c>
      <c r="H30" s="77" t="s">
        <v>240</v>
      </c>
      <c r="I30" s="77" t="s">
        <v>240</v>
      </c>
      <c r="J30" s="76">
        <f t="shared" si="0"/>
        <v>1.8445459876477603E-2</v>
      </c>
      <c r="K30" s="76">
        <f t="shared" si="1"/>
        <v>53.793956556574571</v>
      </c>
      <c r="L30" s="80"/>
    </row>
    <row r="31" spans="2:12" ht="12.95" customHeight="1" outlineLevel="1" x14ac:dyDescent="0.2">
      <c r="B31" s="156" t="s">
        <v>6</v>
      </c>
      <c r="C31" s="130">
        <f>1838384</f>
        <v>1838384</v>
      </c>
      <c r="D31" s="130">
        <f>746890</f>
        <v>746890</v>
      </c>
      <c r="E31" s="77" t="s">
        <v>240</v>
      </c>
      <c r="F31" s="77" t="s">
        <v>240</v>
      </c>
      <c r="G31" s="77" t="s">
        <v>240</v>
      </c>
      <c r="H31" s="77" t="s">
        <v>240</v>
      </c>
      <c r="I31" s="77" t="s">
        <v>240</v>
      </c>
      <c r="J31" s="76">
        <f t="shared" si="0"/>
        <v>1.3087480358032117E-3</v>
      </c>
      <c r="K31" s="76">
        <f t="shared" si="1"/>
        <v>40.627529395382034</v>
      </c>
      <c r="L31" s="80"/>
    </row>
    <row r="32" spans="2:12" ht="13.5" customHeight="1" outlineLevel="1" x14ac:dyDescent="0.2">
      <c r="B32" s="153" t="s">
        <v>220</v>
      </c>
      <c r="C32" s="128">
        <f>C33+C35+C37</f>
        <v>2170587579.9499998</v>
      </c>
      <c r="D32" s="128">
        <f>D33+D35+D37</f>
        <v>1319861625.3200002</v>
      </c>
      <c r="E32" s="78" t="s">
        <v>240</v>
      </c>
      <c r="F32" s="78" t="s">
        <v>240</v>
      </c>
      <c r="G32" s="78" t="s">
        <v>240</v>
      </c>
      <c r="H32" s="78" t="s">
        <v>240</v>
      </c>
      <c r="I32" s="78" t="s">
        <v>240</v>
      </c>
      <c r="J32" s="74">
        <f t="shared" si="0"/>
        <v>2.3127452632510606</v>
      </c>
      <c r="K32" s="74">
        <f t="shared" si="1"/>
        <v>60.806651503571381</v>
      </c>
      <c r="L32" s="80"/>
    </row>
    <row r="33" spans="2:12" ht="22.5" outlineLevel="1" x14ac:dyDescent="0.2">
      <c r="B33" s="154" t="s">
        <v>450</v>
      </c>
      <c r="C33" s="130">
        <f>1920510220.51</f>
        <v>1920510220.51</v>
      </c>
      <c r="D33" s="130">
        <f>1170047960.97</f>
        <v>1170047960.97</v>
      </c>
      <c r="E33" s="77" t="s">
        <v>240</v>
      </c>
      <c r="F33" s="77" t="s">
        <v>240</v>
      </c>
      <c r="G33" s="77" t="s">
        <v>240</v>
      </c>
      <c r="H33" s="77" t="s">
        <v>240</v>
      </c>
      <c r="I33" s="77" t="s">
        <v>240</v>
      </c>
      <c r="J33" s="76">
        <f t="shared" si="0"/>
        <v>2.0502322573806588</v>
      </c>
      <c r="K33" s="76">
        <f t="shared" si="1"/>
        <v>60.923808083629389</v>
      </c>
      <c r="L33" s="80"/>
    </row>
    <row r="34" spans="2:12" ht="12.95" customHeight="1" outlineLevel="1" x14ac:dyDescent="0.2">
      <c r="B34" s="156" t="s">
        <v>6</v>
      </c>
      <c r="C34" s="130">
        <f>81885792.39</f>
        <v>81885792.390000001</v>
      </c>
      <c r="D34" s="131">
        <f>26562534.09</f>
        <v>26562534.09</v>
      </c>
      <c r="E34" s="77" t="s">
        <v>240</v>
      </c>
      <c r="F34" s="77" t="s">
        <v>240</v>
      </c>
      <c r="G34" s="77" t="s">
        <v>240</v>
      </c>
      <c r="H34" s="77" t="s">
        <v>240</v>
      </c>
      <c r="I34" s="77" t="s">
        <v>240</v>
      </c>
      <c r="J34" s="76">
        <f t="shared" si="0"/>
        <v>4.6544557185453479E-2</v>
      </c>
      <c r="K34" s="76">
        <f t="shared" si="1"/>
        <v>32.438513830933935</v>
      </c>
      <c r="L34" s="80"/>
    </row>
    <row r="35" spans="2:12" ht="12.95" customHeight="1" outlineLevel="1" x14ac:dyDescent="0.2">
      <c r="B35" s="154" t="s">
        <v>451</v>
      </c>
      <c r="C35" s="130">
        <f>187993799.28</f>
        <v>187993799.28</v>
      </c>
      <c r="D35" s="130">
        <f>97649623.4</f>
        <v>97649623.400000006</v>
      </c>
      <c r="E35" s="77" t="s">
        <v>240</v>
      </c>
      <c r="F35" s="77" t="s">
        <v>240</v>
      </c>
      <c r="G35" s="77" t="s">
        <v>240</v>
      </c>
      <c r="H35" s="77" t="s">
        <v>240</v>
      </c>
      <c r="I35" s="77" t="s">
        <v>240</v>
      </c>
      <c r="J35" s="76">
        <f t="shared" si="0"/>
        <v>0.17110786437316516</v>
      </c>
      <c r="K35" s="76">
        <f t="shared" si="1"/>
        <v>51.943002255388002</v>
      </c>
      <c r="L35" s="80"/>
    </row>
    <row r="36" spans="2:12" ht="12.95" customHeight="1" outlineLevel="1" x14ac:dyDescent="0.2">
      <c r="B36" s="156" t="s">
        <v>6</v>
      </c>
      <c r="C36" s="130">
        <f>37635537</f>
        <v>37635537</v>
      </c>
      <c r="D36" s="131">
        <f>20359669.95</f>
        <v>20359669.949999999</v>
      </c>
      <c r="E36" s="77" t="s">
        <v>240</v>
      </c>
      <c r="F36" s="77" t="s">
        <v>240</v>
      </c>
      <c r="G36" s="77" t="s">
        <v>240</v>
      </c>
      <c r="H36" s="77" t="s">
        <v>240</v>
      </c>
      <c r="I36" s="77" t="s">
        <v>240</v>
      </c>
      <c r="J36" s="76">
        <f t="shared" si="0"/>
        <v>3.5675505170325181E-2</v>
      </c>
      <c r="K36" s="76">
        <f t="shared" si="1"/>
        <v>54.096929585460678</v>
      </c>
      <c r="L36" s="80"/>
    </row>
    <row r="37" spans="2:12" ht="33.75" outlineLevel="1" x14ac:dyDescent="0.2">
      <c r="B37" s="154" t="s">
        <v>8</v>
      </c>
      <c r="C37" s="130">
        <f>62083560.16</f>
        <v>62083560.159999996</v>
      </c>
      <c r="D37" s="130">
        <f>52164040.95</f>
        <v>52164040.950000003</v>
      </c>
      <c r="E37" s="77" t="s">
        <v>240</v>
      </c>
      <c r="F37" s="77" t="s">
        <v>240</v>
      </c>
      <c r="G37" s="77" t="s">
        <v>240</v>
      </c>
      <c r="H37" s="77" t="s">
        <v>240</v>
      </c>
      <c r="I37" s="77" t="s">
        <v>240</v>
      </c>
      <c r="J37" s="76">
        <f t="shared" si="0"/>
        <v>9.1405141497236275E-2</v>
      </c>
      <c r="K37" s="76">
        <f t="shared" si="1"/>
        <v>84.022309312746088</v>
      </c>
      <c r="L37" s="80"/>
    </row>
    <row r="38" spans="2:12" ht="12.95" customHeight="1" outlineLevel="1" x14ac:dyDescent="0.2">
      <c r="B38" s="156" t="s">
        <v>6</v>
      </c>
      <c r="C38" s="130">
        <f>0</f>
        <v>0</v>
      </c>
      <c r="D38" s="131">
        <f>0</f>
        <v>0</v>
      </c>
      <c r="E38" s="77" t="s">
        <v>240</v>
      </c>
      <c r="F38" s="77" t="s">
        <v>240</v>
      </c>
      <c r="G38" s="77" t="s">
        <v>240</v>
      </c>
      <c r="H38" s="77" t="s">
        <v>240</v>
      </c>
      <c r="I38" s="77" t="s">
        <v>240</v>
      </c>
      <c r="J38" s="76">
        <f t="shared" si="0"/>
        <v>0</v>
      </c>
      <c r="K38" s="76" t="str">
        <f t="shared" si="1"/>
        <v/>
      </c>
      <c r="L38" s="80"/>
    </row>
    <row r="39" spans="2:12" ht="13.5" customHeight="1" outlineLevel="1" x14ac:dyDescent="0.2">
      <c r="B39" s="152" t="s">
        <v>221</v>
      </c>
      <c r="C39" s="128">
        <f>C40+C42+C44+C48+C50+C46+C52+C54</f>
        <v>4237639757.4499998</v>
      </c>
      <c r="D39" s="128">
        <f>D40+D42+D44+D48+D50+D46+D52+D54</f>
        <v>2114392510.8700001</v>
      </c>
      <c r="E39" s="78" t="s">
        <v>240</v>
      </c>
      <c r="F39" s="78" t="s">
        <v>240</v>
      </c>
      <c r="G39" s="78" t="s">
        <v>240</v>
      </c>
      <c r="H39" s="78" t="s">
        <v>240</v>
      </c>
      <c r="I39" s="78" t="s">
        <v>240</v>
      </c>
      <c r="J39" s="74">
        <f t="shared" si="0"/>
        <v>3.7049726807403145</v>
      </c>
      <c r="K39" s="74">
        <f t="shared" si="1"/>
        <v>49.89552278842919</v>
      </c>
      <c r="L39" s="80"/>
    </row>
    <row r="40" spans="2:12" ht="33.75" outlineLevel="1" x14ac:dyDescent="0.2">
      <c r="B40" s="154" t="s">
        <v>456</v>
      </c>
      <c r="C40" s="129">
        <f>0</f>
        <v>0</v>
      </c>
      <c r="D40" s="132">
        <f>0</f>
        <v>0</v>
      </c>
      <c r="E40" s="77" t="s">
        <v>240</v>
      </c>
      <c r="F40" s="77" t="s">
        <v>240</v>
      </c>
      <c r="G40" s="77" t="s">
        <v>240</v>
      </c>
      <c r="H40" s="77" t="s">
        <v>240</v>
      </c>
      <c r="I40" s="77" t="s">
        <v>240</v>
      </c>
      <c r="J40" s="76">
        <f t="shared" si="0"/>
        <v>0</v>
      </c>
      <c r="K40" s="76" t="str">
        <f t="shared" si="1"/>
        <v/>
      </c>
      <c r="L40" s="80"/>
    </row>
    <row r="41" spans="2:12" ht="13.5" customHeight="1" outlineLevel="1" x14ac:dyDescent="0.2">
      <c r="B41" s="156" t="s">
        <v>6</v>
      </c>
      <c r="C41" s="129">
        <f>0</f>
        <v>0</v>
      </c>
      <c r="D41" s="132">
        <f>0</f>
        <v>0</v>
      </c>
      <c r="E41" s="77" t="s">
        <v>240</v>
      </c>
      <c r="F41" s="77" t="s">
        <v>240</v>
      </c>
      <c r="G41" s="77" t="s">
        <v>240</v>
      </c>
      <c r="H41" s="77" t="s">
        <v>240</v>
      </c>
      <c r="I41" s="77" t="s">
        <v>240</v>
      </c>
      <c r="J41" s="76">
        <f t="shared" si="0"/>
        <v>0</v>
      </c>
      <c r="K41" s="76" t="str">
        <f t="shared" si="1"/>
        <v/>
      </c>
      <c r="L41" s="80"/>
    </row>
    <row r="42" spans="2:12" ht="22.5" outlineLevel="1" x14ac:dyDescent="0.2">
      <c r="B42" s="154" t="s">
        <v>461</v>
      </c>
      <c r="C42" s="129">
        <f>0</f>
        <v>0</v>
      </c>
      <c r="D42" s="132">
        <f>0</f>
        <v>0</v>
      </c>
      <c r="E42" s="77" t="s">
        <v>240</v>
      </c>
      <c r="F42" s="77" t="s">
        <v>240</v>
      </c>
      <c r="G42" s="77" t="s">
        <v>240</v>
      </c>
      <c r="H42" s="77" t="s">
        <v>240</v>
      </c>
      <c r="I42" s="77" t="s">
        <v>240</v>
      </c>
      <c r="J42" s="76">
        <f t="shared" si="0"/>
        <v>0</v>
      </c>
      <c r="K42" s="76" t="str">
        <f t="shared" si="1"/>
        <v/>
      </c>
      <c r="L42" s="80"/>
    </row>
    <row r="43" spans="2:12" ht="13.5" customHeight="1" outlineLevel="1" x14ac:dyDescent="0.2">
      <c r="B43" s="156" t="s">
        <v>6</v>
      </c>
      <c r="C43" s="129">
        <f>0</f>
        <v>0</v>
      </c>
      <c r="D43" s="132">
        <f>0</f>
        <v>0</v>
      </c>
      <c r="E43" s="77" t="s">
        <v>240</v>
      </c>
      <c r="F43" s="77" t="s">
        <v>240</v>
      </c>
      <c r="G43" s="77" t="s">
        <v>240</v>
      </c>
      <c r="H43" s="77" t="s">
        <v>240</v>
      </c>
      <c r="I43" s="77" t="s">
        <v>240</v>
      </c>
      <c r="J43" s="76">
        <f t="shared" si="0"/>
        <v>0</v>
      </c>
      <c r="K43" s="76" t="str">
        <f t="shared" si="1"/>
        <v/>
      </c>
      <c r="L43" s="80"/>
    </row>
    <row r="44" spans="2:12" ht="22.5" outlineLevel="1" x14ac:dyDescent="0.2">
      <c r="B44" s="154" t="s">
        <v>9</v>
      </c>
      <c r="C44" s="129">
        <f>664139958.21</f>
        <v>664139958.21000004</v>
      </c>
      <c r="D44" s="132">
        <f>324427549.71</f>
        <v>324427549.70999998</v>
      </c>
      <c r="E44" s="75" t="s">
        <v>240</v>
      </c>
      <c r="F44" s="75" t="s">
        <v>240</v>
      </c>
      <c r="G44" s="75" t="s">
        <v>240</v>
      </c>
      <c r="H44" s="75" t="s">
        <v>240</v>
      </c>
      <c r="I44" s="75" t="s">
        <v>240</v>
      </c>
      <c r="J44" s="76">
        <f t="shared" si="0"/>
        <v>0.56848253215789646</v>
      </c>
      <c r="K44" s="76">
        <f t="shared" si="1"/>
        <v>48.84927426809282</v>
      </c>
      <c r="L44" s="80"/>
    </row>
    <row r="45" spans="2:12" ht="12.95" customHeight="1" outlineLevel="1" x14ac:dyDescent="0.2">
      <c r="B45" s="156" t="s">
        <v>6</v>
      </c>
      <c r="C45" s="130">
        <f>10263809.16</f>
        <v>10263809.16</v>
      </c>
      <c r="D45" s="130">
        <f>10092369.04</f>
        <v>10092369.039999999</v>
      </c>
      <c r="E45" s="77" t="s">
        <v>240</v>
      </c>
      <c r="F45" s="77" t="s">
        <v>240</v>
      </c>
      <c r="G45" s="77" t="s">
        <v>240</v>
      </c>
      <c r="H45" s="77" t="s">
        <v>240</v>
      </c>
      <c r="I45" s="77" t="s">
        <v>240</v>
      </c>
      <c r="J45" s="76">
        <f t="shared" si="0"/>
        <v>1.7684489225590305E-2</v>
      </c>
      <c r="K45" s="76">
        <f t="shared" si="1"/>
        <v>98.329663799010063</v>
      </c>
      <c r="L45" s="80"/>
    </row>
    <row r="46" spans="2:12" ht="33.75" outlineLevel="1" x14ac:dyDescent="0.2">
      <c r="B46" s="154" t="s">
        <v>349</v>
      </c>
      <c r="C46" s="130">
        <f>247524128.9</f>
        <v>247524128.90000001</v>
      </c>
      <c r="D46" s="130">
        <f>95327347.41</f>
        <v>95327347.409999996</v>
      </c>
      <c r="E46" s="77" t="s">
        <v>240</v>
      </c>
      <c r="F46" s="77" t="s">
        <v>240</v>
      </c>
      <c r="G46" s="77" t="s">
        <v>240</v>
      </c>
      <c r="H46" s="77" t="s">
        <v>240</v>
      </c>
      <c r="I46" s="77" t="s">
        <v>240</v>
      </c>
      <c r="J46" s="76">
        <f>IF($D$5=0,"",100*$D46/$D$5)</f>
        <v>0.16703862507352873</v>
      </c>
      <c r="K46" s="76">
        <f>IF(C46=0,"",100*D46/C46)</f>
        <v>38.512345375635014</v>
      </c>
      <c r="L46" s="80"/>
    </row>
    <row r="47" spans="2:12" ht="12.95" customHeight="1" outlineLevel="1" x14ac:dyDescent="0.2">
      <c r="B47" s="156" t="s">
        <v>6</v>
      </c>
      <c r="C47" s="130">
        <f>226521039</f>
        <v>226521039</v>
      </c>
      <c r="D47" s="130">
        <f>83454413.46</f>
        <v>83454413.459999993</v>
      </c>
      <c r="E47" s="77" t="s">
        <v>240</v>
      </c>
      <c r="F47" s="77" t="s">
        <v>240</v>
      </c>
      <c r="G47" s="77" t="s">
        <v>240</v>
      </c>
      <c r="H47" s="77" t="s">
        <v>240</v>
      </c>
      <c r="I47" s="77" t="s">
        <v>240</v>
      </c>
      <c r="J47" s="76">
        <f>IF($D$5=0,"",100*$D47/$D$5)</f>
        <v>0.14623411706527614</v>
      </c>
      <c r="K47" s="76">
        <f>IF(C47=0,"",100*D47/C47)</f>
        <v>36.841793516583678</v>
      </c>
      <c r="L47" s="80"/>
    </row>
    <row r="48" spans="2:12" ht="12.95" customHeight="1" outlineLevel="1" x14ac:dyDescent="0.2">
      <c r="B48" s="154" t="s">
        <v>7</v>
      </c>
      <c r="C48" s="130">
        <f>199369901.47</f>
        <v>199369901.47</v>
      </c>
      <c r="D48" s="131">
        <f>108648813.74</f>
        <v>108648813.73999999</v>
      </c>
      <c r="E48" s="77" t="s">
        <v>240</v>
      </c>
      <c r="F48" s="77" t="s">
        <v>240</v>
      </c>
      <c r="G48" s="77" t="s">
        <v>240</v>
      </c>
      <c r="H48" s="77" t="s">
        <v>240</v>
      </c>
      <c r="I48" s="77" t="s">
        <v>240</v>
      </c>
      <c r="J48" s="76">
        <f t="shared" si="0"/>
        <v>0.19038134340341148</v>
      </c>
      <c r="K48" s="76">
        <f t="shared" si="1"/>
        <v>54.496096421228771</v>
      </c>
      <c r="L48" s="80"/>
    </row>
    <row r="49" spans="2:12" ht="12.95" customHeight="1" outlineLevel="1" x14ac:dyDescent="0.2">
      <c r="B49" s="156" t="s">
        <v>6</v>
      </c>
      <c r="C49" s="130">
        <f>180513159.99</f>
        <v>180513159.99000001</v>
      </c>
      <c r="D49" s="130">
        <f>100821072.87</f>
        <v>100821072.87</v>
      </c>
      <c r="E49" s="77" t="s">
        <v>240</v>
      </c>
      <c r="F49" s="77" t="s">
        <v>240</v>
      </c>
      <c r="G49" s="77" t="s">
        <v>240</v>
      </c>
      <c r="H49" s="77" t="s">
        <v>240</v>
      </c>
      <c r="I49" s="77" t="s">
        <v>240</v>
      </c>
      <c r="J49" s="76">
        <f t="shared" si="0"/>
        <v>0.17666507931045397</v>
      </c>
      <c r="K49" s="76">
        <f t="shared" si="1"/>
        <v>55.852477944314558</v>
      </c>
      <c r="L49" s="80"/>
    </row>
    <row r="50" spans="2:12" ht="67.5" outlineLevel="1" x14ac:dyDescent="0.2">
      <c r="B50" s="154" t="s">
        <v>402</v>
      </c>
      <c r="C50" s="130">
        <f>1150000</f>
        <v>1150000</v>
      </c>
      <c r="D50" s="130">
        <f>40000</f>
        <v>40000</v>
      </c>
      <c r="E50" s="77" t="s">
        <v>240</v>
      </c>
      <c r="F50" s="77" t="s">
        <v>240</v>
      </c>
      <c r="G50" s="77" t="s">
        <v>240</v>
      </c>
      <c r="H50" s="77" t="s">
        <v>240</v>
      </c>
      <c r="I50" s="77" t="s">
        <v>240</v>
      </c>
      <c r="J50" s="76">
        <f t="shared" si="0"/>
        <v>7.0090537337664803E-5</v>
      </c>
      <c r="K50" s="76">
        <f>IF(C50=0,"",100*D50/C50)</f>
        <v>3.4782608695652173</v>
      </c>
      <c r="L50" s="80"/>
    </row>
    <row r="51" spans="2:12" ht="12.95" customHeight="1" outlineLevel="1" x14ac:dyDescent="0.2">
      <c r="B51" s="156" t="s">
        <v>399</v>
      </c>
      <c r="C51" s="130">
        <f>1110000</f>
        <v>1110000</v>
      </c>
      <c r="D51" s="130">
        <f>0</f>
        <v>0</v>
      </c>
      <c r="E51" s="77" t="s">
        <v>240</v>
      </c>
      <c r="F51" s="77" t="s">
        <v>240</v>
      </c>
      <c r="G51" s="77" t="s">
        <v>240</v>
      </c>
      <c r="H51" s="77" t="s">
        <v>240</v>
      </c>
      <c r="I51" s="77" t="s">
        <v>240</v>
      </c>
      <c r="J51" s="76">
        <f t="shared" si="0"/>
        <v>0</v>
      </c>
      <c r="K51" s="76">
        <f>IF(C51=0,"",100*D51/C51)</f>
        <v>0</v>
      </c>
      <c r="L51" s="80"/>
    </row>
    <row r="52" spans="2:12" ht="45" outlineLevel="1" x14ac:dyDescent="0.2">
      <c r="B52" s="155" t="s">
        <v>398</v>
      </c>
      <c r="C52" s="133">
        <f>1811191280.29</f>
        <v>1811191280.29</v>
      </c>
      <c r="D52" s="133">
        <f>326697551.63</f>
        <v>326697551.63</v>
      </c>
      <c r="E52" s="82" t="s">
        <v>240</v>
      </c>
      <c r="F52" s="82" t="s">
        <v>240</v>
      </c>
      <c r="G52" s="82" t="s">
        <v>240</v>
      </c>
      <c r="H52" s="82" t="s">
        <v>240</v>
      </c>
      <c r="I52" s="82" t="s">
        <v>240</v>
      </c>
      <c r="J52" s="83">
        <f>IF($D$5=0,"",100*$D52/$D$5)</f>
        <v>0.57246017351615475</v>
      </c>
      <c r="K52" s="83">
        <f>IF(C52=0,"",100*D52/C52)</f>
        <v>18.037716677704555</v>
      </c>
      <c r="L52" s="80"/>
    </row>
    <row r="53" spans="2:12" ht="12.95" customHeight="1" outlineLevel="1" x14ac:dyDescent="0.2">
      <c r="B53" s="156" t="s">
        <v>399</v>
      </c>
      <c r="C53" s="130">
        <f>1568999323.3</f>
        <v>1568999323.3</v>
      </c>
      <c r="D53" s="130">
        <f>183262096.42</f>
        <v>183262096.41999999</v>
      </c>
      <c r="E53" s="77" t="s">
        <v>240</v>
      </c>
      <c r="F53" s="77" t="s">
        <v>240</v>
      </c>
      <c r="G53" s="77" t="s">
        <v>240</v>
      </c>
      <c r="H53" s="77" t="s">
        <v>240</v>
      </c>
      <c r="I53" s="77" t="s">
        <v>240</v>
      </c>
      <c r="J53" s="76">
        <f t="shared" si="0"/>
        <v>0.32112347029261845</v>
      </c>
      <c r="K53" s="76">
        <f t="shared" ref="K53:K69" si="4">IF(C53=0,"",100*D53/C53)</f>
        <v>11.680189640525386</v>
      </c>
      <c r="L53" s="80"/>
    </row>
    <row r="54" spans="2:12" ht="22.5" outlineLevel="1" x14ac:dyDescent="0.2">
      <c r="B54" s="155" t="s">
        <v>452</v>
      </c>
      <c r="C54" s="130">
        <f>1314264488.58</f>
        <v>1314264488.5799999</v>
      </c>
      <c r="D54" s="130">
        <f>1259251248.38</f>
        <v>1259251248.3800001</v>
      </c>
      <c r="E54" s="77" t="s">
        <v>240</v>
      </c>
      <c r="F54" s="77" t="s">
        <v>240</v>
      </c>
      <c r="G54" s="77" t="s">
        <v>240</v>
      </c>
      <c r="H54" s="77" t="s">
        <v>240</v>
      </c>
      <c r="I54" s="77" t="s">
        <v>240</v>
      </c>
      <c r="J54" s="76">
        <f t="shared" si="0"/>
        <v>2.2065399160519856</v>
      </c>
      <c r="K54" s="76">
        <f t="shared" si="4"/>
        <v>95.814142383209415</v>
      </c>
      <c r="L54" s="80"/>
    </row>
    <row r="55" spans="2:12" ht="12.95" customHeight="1" outlineLevel="1" x14ac:dyDescent="0.2">
      <c r="B55" s="156" t="s">
        <v>6</v>
      </c>
      <c r="C55" s="130">
        <f>8577665</f>
        <v>8577665</v>
      </c>
      <c r="D55" s="130">
        <f>197400</f>
        <v>197400</v>
      </c>
      <c r="E55" s="77" t="s">
        <v>240</v>
      </c>
      <c r="F55" s="77" t="s">
        <v>240</v>
      </c>
      <c r="G55" s="77" t="s">
        <v>240</v>
      </c>
      <c r="H55" s="77" t="s">
        <v>240</v>
      </c>
      <c r="I55" s="77" t="s">
        <v>240</v>
      </c>
      <c r="J55" s="76">
        <f t="shared" si="0"/>
        <v>3.4589680176137582E-4</v>
      </c>
      <c r="K55" s="76">
        <f t="shared" si="4"/>
        <v>2.3013255938533388</v>
      </c>
      <c r="L55" s="80"/>
    </row>
    <row r="56" spans="2:12" ht="13.5" customHeight="1" outlineLevel="1" x14ac:dyDescent="0.2">
      <c r="B56" s="151" t="s">
        <v>379</v>
      </c>
      <c r="C56" s="128">
        <f>312761610.93</f>
        <v>312761610.93000001</v>
      </c>
      <c r="D56" s="128">
        <f>196102543.84</f>
        <v>196102543.84</v>
      </c>
      <c r="E56" s="78" t="s">
        <v>240</v>
      </c>
      <c r="F56" s="78" t="s">
        <v>240</v>
      </c>
      <c r="G56" s="78" t="s">
        <v>240</v>
      </c>
      <c r="H56" s="78" t="s">
        <v>240</v>
      </c>
      <c r="I56" s="78" t="s">
        <v>240</v>
      </c>
      <c r="J56" s="74">
        <f t="shared" si="0"/>
        <v>0.34362331677571423</v>
      </c>
      <c r="K56" s="74">
        <f t="shared" si="4"/>
        <v>62.700324140449005</v>
      </c>
      <c r="L56" s="80"/>
    </row>
    <row r="57" spans="2:12" ht="12.95" customHeight="1" outlineLevel="1" x14ac:dyDescent="0.2">
      <c r="B57" s="154" t="s">
        <v>380</v>
      </c>
      <c r="C57" s="130">
        <f>256796333.81</f>
        <v>256796333.81</v>
      </c>
      <c r="D57" s="130">
        <f>177033655.57</f>
        <v>177033655.56999999</v>
      </c>
      <c r="E57" s="77" t="s">
        <v>240</v>
      </c>
      <c r="F57" s="77" t="s">
        <v>240</v>
      </c>
      <c r="G57" s="77" t="s">
        <v>240</v>
      </c>
      <c r="H57" s="77" t="s">
        <v>240</v>
      </c>
      <c r="I57" s="77" t="s">
        <v>240</v>
      </c>
      <c r="J57" s="76">
        <f t="shared" si="0"/>
        <v>0.31020960114380941</v>
      </c>
      <c r="K57" s="76">
        <f t="shared" si="4"/>
        <v>68.939323604590371</v>
      </c>
      <c r="L57" s="80"/>
    </row>
    <row r="58" spans="2:12" ht="13.5" customHeight="1" outlineLevel="1" x14ac:dyDescent="0.2">
      <c r="B58" s="151" t="s">
        <v>381</v>
      </c>
      <c r="C58" s="134">
        <f>5706065855.28</f>
        <v>5706065855.2799997</v>
      </c>
      <c r="D58" s="134">
        <f>1602602549.38</f>
        <v>1602602549.3800001</v>
      </c>
      <c r="E58" s="78" t="s">
        <v>240</v>
      </c>
      <c r="F58" s="78" t="s">
        <v>240</v>
      </c>
      <c r="G58" s="78" t="s">
        <v>240</v>
      </c>
      <c r="H58" s="78" t="s">
        <v>240</v>
      </c>
      <c r="I58" s="78" t="s">
        <v>240</v>
      </c>
      <c r="J58" s="81">
        <f t="shared" si="0"/>
        <v>2.8081818456188925</v>
      </c>
      <c r="K58" s="81">
        <f t="shared" si="4"/>
        <v>28.085945553836574</v>
      </c>
      <c r="L58" s="80"/>
    </row>
    <row r="59" spans="2:12" ht="12.95" customHeight="1" outlineLevel="1" x14ac:dyDescent="0.2">
      <c r="B59" s="155" t="s">
        <v>382</v>
      </c>
      <c r="C59" s="133">
        <f>5287352891.62</f>
        <v>5287352891.6199999</v>
      </c>
      <c r="D59" s="133">
        <f>1409049383.96</f>
        <v>1409049383.96</v>
      </c>
      <c r="E59" s="82" t="s">
        <v>240</v>
      </c>
      <c r="F59" s="82" t="s">
        <v>240</v>
      </c>
      <c r="G59" s="82" t="s">
        <v>240</v>
      </c>
      <c r="H59" s="82" t="s">
        <v>240</v>
      </c>
      <c r="I59" s="82" t="s">
        <v>240</v>
      </c>
      <c r="J59" s="83">
        <f t="shared" si="0"/>
        <v>2.4690257114265495</v>
      </c>
      <c r="K59" s="83">
        <f t="shared" si="4"/>
        <v>26.649429550904806</v>
      </c>
      <c r="L59" s="80"/>
    </row>
    <row r="60" spans="2:12" s="84" customFormat="1" ht="25.5" customHeight="1" x14ac:dyDescent="0.2">
      <c r="B60" s="149" t="s">
        <v>247</v>
      </c>
      <c r="C60" s="128">
        <f>C61+C62+C63+C67</f>
        <v>24213166877.560001</v>
      </c>
      <c r="D60" s="128">
        <f>D61+D62+D63+D67</f>
        <v>14646449292</v>
      </c>
      <c r="E60" s="78" t="s">
        <v>240</v>
      </c>
      <c r="F60" s="78" t="s">
        <v>240</v>
      </c>
      <c r="G60" s="78" t="s">
        <v>240</v>
      </c>
      <c r="H60" s="78" t="s">
        <v>240</v>
      </c>
      <c r="I60" s="78" t="s">
        <v>240</v>
      </c>
      <c r="J60" s="74">
        <f t="shared" si="0"/>
        <v>25.664437524128505</v>
      </c>
      <c r="K60" s="74">
        <f t="shared" si="4"/>
        <v>60.489606196758452</v>
      </c>
      <c r="L60" s="85"/>
    </row>
    <row r="61" spans="2:12" ht="12.95" customHeight="1" outlineLevel="1" x14ac:dyDescent="0.2">
      <c r="B61" s="49" t="s">
        <v>185</v>
      </c>
      <c r="C61" s="130">
        <f>22731771257</f>
        <v>22731771257</v>
      </c>
      <c r="D61" s="130">
        <f>13988288816</f>
        <v>13988288816</v>
      </c>
      <c r="E61" s="77" t="s">
        <v>240</v>
      </c>
      <c r="F61" s="77" t="s">
        <v>240</v>
      </c>
      <c r="G61" s="77" t="s">
        <v>240</v>
      </c>
      <c r="H61" s="77" t="s">
        <v>240</v>
      </c>
      <c r="I61" s="77" t="s">
        <v>240</v>
      </c>
      <c r="J61" s="76">
        <f t="shared" si="0"/>
        <v>24.511166988697177</v>
      </c>
      <c r="K61" s="76">
        <f t="shared" si="4"/>
        <v>61.536290585769727</v>
      </c>
      <c r="L61" s="80"/>
    </row>
    <row r="62" spans="2:12" s="84" customFormat="1" ht="12.95" customHeight="1" outlineLevel="1" x14ac:dyDescent="0.2">
      <c r="B62" s="49" t="s">
        <v>181</v>
      </c>
      <c r="C62" s="129">
        <f>171803889.56</f>
        <v>171803889.56</v>
      </c>
      <c r="D62" s="132">
        <f>6250000</f>
        <v>6250000</v>
      </c>
      <c r="E62" s="75" t="s">
        <v>240</v>
      </c>
      <c r="F62" s="75" t="s">
        <v>240</v>
      </c>
      <c r="G62" s="75" t="s">
        <v>240</v>
      </c>
      <c r="H62" s="75" t="s">
        <v>240</v>
      </c>
      <c r="I62" s="75" t="s">
        <v>240</v>
      </c>
      <c r="J62" s="76">
        <f t="shared" si="0"/>
        <v>1.0951646459010126E-2</v>
      </c>
      <c r="K62" s="76">
        <f t="shared" si="4"/>
        <v>3.6378687444193623</v>
      </c>
      <c r="L62" s="85"/>
    </row>
    <row r="63" spans="2:12" s="84" customFormat="1" ht="25.5" customHeight="1" outlineLevel="1" x14ac:dyDescent="0.2">
      <c r="B63" s="151" t="s">
        <v>424</v>
      </c>
      <c r="C63" s="128">
        <f>C64+C65+C66</f>
        <v>454003984</v>
      </c>
      <c r="D63" s="128">
        <f>D64+D65+D66</f>
        <v>225405072</v>
      </c>
      <c r="E63" s="78" t="s">
        <v>240</v>
      </c>
      <c r="F63" s="78" t="s">
        <v>240</v>
      </c>
      <c r="G63" s="78" t="s">
        <v>240</v>
      </c>
      <c r="H63" s="78" t="s">
        <v>240</v>
      </c>
      <c r="I63" s="78" t="s">
        <v>240</v>
      </c>
      <c r="J63" s="74">
        <f t="shared" si="0"/>
        <v>0.39496906537787563</v>
      </c>
      <c r="K63" s="74">
        <f t="shared" si="4"/>
        <v>49.648258593254987</v>
      </c>
      <c r="L63" s="85"/>
    </row>
    <row r="64" spans="2:12" ht="12.95" customHeight="1" outlineLevel="1" x14ac:dyDescent="0.2">
      <c r="B64" s="154" t="s">
        <v>186</v>
      </c>
      <c r="C64" s="129">
        <f>352393560</f>
        <v>352393560</v>
      </c>
      <c r="D64" s="132">
        <f>176196786</f>
        <v>176196786</v>
      </c>
      <c r="E64" s="75" t="s">
        <v>240</v>
      </c>
      <c r="F64" s="75" t="s">
        <v>240</v>
      </c>
      <c r="G64" s="75" t="s">
        <v>240</v>
      </c>
      <c r="H64" s="75" t="s">
        <v>240</v>
      </c>
      <c r="I64" s="75" t="s">
        <v>240</v>
      </c>
      <c r="J64" s="76">
        <f t="shared" si="0"/>
        <v>0.30874318519773841</v>
      </c>
      <c r="K64" s="76">
        <f t="shared" si="4"/>
        <v>50.000001702641782</v>
      </c>
      <c r="L64" s="80"/>
    </row>
    <row r="65" spans="1:26" ht="12.95" customHeight="1" outlineLevel="1" x14ac:dyDescent="0.2">
      <c r="B65" s="154" t="s">
        <v>184</v>
      </c>
      <c r="C65" s="130">
        <f>3193822</f>
        <v>3193822</v>
      </c>
      <c r="D65" s="130">
        <f>0</f>
        <v>0</v>
      </c>
      <c r="E65" s="77" t="s">
        <v>240</v>
      </c>
      <c r="F65" s="77" t="s">
        <v>240</v>
      </c>
      <c r="G65" s="77" t="s">
        <v>240</v>
      </c>
      <c r="H65" s="77" t="s">
        <v>240</v>
      </c>
      <c r="I65" s="77" t="s">
        <v>240</v>
      </c>
      <c r="J65" s="76">
        <f t="shared" si="0"/>
        <v>0</v>
      </c>
      <c r="K65" s="76">
        <f t="shared" si="4"/>
        <v>0</v>
      </c>
      <c r="L65" s="80"/>
    </row>
    <row r="66" spans="1:26" ht="12.95" customHeight="1" outlineLevel="1" x14ac:dyDescent="0.2">
      <c r="B66" s="154" t="s">
        <v>183</v>
      </c>
      <c r="C66" s="129">
        <f>98416602</f>
        <v>98416602</v>
      </c>
      <c r="D66" s="132">
        <f>49208286</f>
        <v>49208286</v>
      </c>
      <c r="E66" s="75" t="s">
        <v>240</v>
      </c>
      <c r="F66" s="75" t="s">
        <v>240</v>
      </c>
      <c r="G66" s="75" t="s">
        <v>240</v>
      </c>
      <c r="H66" s="75" t="s">
        <v>240</v>
      </c>
      <c r="I66" s="75" t="s">
        <v>240</v>
      </c>
      <c r="J66" s="76">
        <f t="shared" si="0"/>
        <v>8.6225880180137215E-2</v>
      </c>
      <c r="K66" s="76">
        <f t="shared" si="4"/>
        <v>49.999984758669072</v>
      </c>
      <c r="L66" s="80"/>
    </row>
    <row r="67" spans="1:26" s="84" customFormat="1" ht="40.5" customHeight="1" outlineLevel="1" x14ac:dyDescent="0.2">
      <c r="B67" s="151" t="s">
        <v>425</v>
      </c>
      <c r="C67" s="128">
        <f>C68+C69</f>
        <v>855587747</v>
      </c>
      <c r="D67" s="128">
        <f>D68+D69</f>
        <v>426505404</v>
      </c>
      <c r="E67" s="78" t="s">
        <v>240</v>
      </c>
      <c r="F67" s="78" t="s">
        <v>240</v>
      </c>
      <c r="G67" s="78" t="s">
        <v>240</v>
      </c>
      <c r="H67" s="78" t="s">
        <v>240</v>
      </c>
      <c r="I67" s="78" t="s">
        <v>240</v>
      </c>
      <c r="J67" s="74">
        <f t="shared" si="0"/>
        <v>0.74734982359444535</v>
      </c>
      <c r="K67" s="74">
        <f t="shared" si="4"/>
        <v>49.849405335160789</v>
      </c>
      <c r="L67" s="85"/>
    </row>
    <row r="68" spans="1:26" ht="12.95" customHeight="1" outlineLevel="1" x14ac:dyDescent="0.2">
      <c r="B68" s="154" t="s">
        <v>183</v>
      </c>
      <c r="C68" s="129">
        <f>705698703</f>
        <v>705698703</v>
      </c>
      <c r="D68" s="132">
        <f>351560886</f>
        <v>351560886</v>
      </c>
      <c r="E68" s="75" t="s">
        <v>240</v>
      </c>
      <c r="F68" s="75" t="s">
        <v>240</v>
      </c>
      <c r="G68" s="75" t="s">
        <v>240</v>
      </c>
      <c r="H68" s="75" t="s">
        <v>240</v>
      </c>
      <c r="I68" s="75" t="s">
        <v>240</v>
      </c>
      <c r="J68" s="76">
        <f t="shared" si="0"/>
        <v>0.61602728516613803</v>
      </c>
      <c r="K68" s="76">
        <f t="shared" si="4"/>
        <v>49.817419885494672</v>
      </c>
      <c r="L68" s="80"/>
    </row>
    <row r="69" spans="1:26" ht="12.95" customHeight="1" outlineLevel="1" x14ac:dyDescent="0.2">
      <c r="B69" s="154" t="s">
        <v>186</v>
      </c>
      <c r="C69" s="130">
        <f>149889044</f>
        <v>149889044</v>
      </c>
      <c r="D69" s="130">
        <f>74944518</f>
        <v>74944518</v>
      </c>
      <c r="E69" s="77" t="s">
        <v>240</v>
      </c>
      <c r="F69" s="77" t="s">
        <v>240</v>
      </c>
      <c r="G69" s="77" t="s">
        <v>240</v>
      </c>
      <c r="H69" s="77" t="s">
        <v>240</v>
      </c>
      <c r="I69" s="77" t="s">
        <v>240</v>
      </c>
      <c r="J69" s="76">
        <f t="shared" si="0"/>
        <v>0.13132253842830729</v>
      </c>
      <c r="K69" s="76">
        <f t="shared" si="4"/>
        <v>49.999997331359324</v>
      </c>
      <c r="L69" s="80"/>
    </row>
    <row r="70" spans="1:26" ht="11.25" customHeight="1" x14ac:dyDescent="0.2">
      <c r="B70" s="86"/>
      <c r="C70" s="87"/>
      <c r="D70" s="87"/>
      <c r="E70" s="87"/>
      <c r="F70" s="87"/>
      <c r="G70" s="87"/>
      <c r="H70" s="87"/>
      <c r="I70" s="87"/>
      <c r="J70" s="79"/>
      <c r="K70" s="79"/>
      <c r="L70" s="80"/>
    </row>
    <row r="71" spans="1:26" ht="13.5" customHeight="1" x14ac:dyDescent="0.2">
      <c r="B71" s="126" t="s">
        <v>5</v>
      </c>
      <c r="C71" s="78">
        <f t="shared" ref="C71:I71" si="5">+C5</f>
        <v>109141899361.27</v>
      </c>
      <c r="D71" s="78">
        <f t="shared" si="5"/>
        <v>57069044580.580002</v>
      </c>
      <c r="E71" s="78">
        <f t="shared" si="5"/>
        <v>355625288.44</v>
      </c>
      <c r="F71" s="78">
        <f t="shared" si="5"/>
        <v>71122833.390000001</v>
      </c>
      <c r="G71" s="78">
        <f t="shared" si="5"/>
        <v>10596186.92</v>
      </c>
      <c r="H71" s="78">
        <f t="shared" si="5"/>
        <v>70565592.430000007</v>
      </c>
      <c r="I71" s="78">
        <f t="shared" si="5"/>
        <v>737095.39</v>
      </c>
      <c r="J71" s="74">
        <f t="shared" si="0"/>
        <v>100</v>
      </c>
      <c r="K71" s="74">
        <f>IF(C71=0,"",100*D71/C71)</f>
        <v>52.288850491483629</v>
      </c>
      <c r="L71" s="80"/>
    </row>
    <row r="72" spans="1:26" x14ac:dyDescent="0.2">
      <c r="B72" s="161" t="s">
        <v>310</v>
      </c>
      <c r="C72" s="77">
        <f>12252965202.62</f>
        <v>12252965202.620001</v>
      </c>
      <c r="D72" s="77">
        <f>3782989583.96</f>
        <v>3782989583.96</v>
      </c>
      <c r="E72" s="77">
        <f>0</f>
        <v>0</v>
      </c>
      <c r="F72" s="77">
        <f>0</f>
        <v>0</v>
      </c>
      <c r="G72" s="77">
        <f>0</f>
        <v>0</v>
      </c>
      <c r="H72" s="77">
        <f>0</f>
        <v>0</v>
      </c>
      <c r="I72" s="77">
        <f>0</f>
        <v>0</v>
      </c>
      <c r="J72" s="76">
        <f t="shared" si="0"/>
        <v>6.6287943170636359</v>
      </c>
      <c r="K72" s="76">
        <f>IF(C72=0,"",100*D72/C72)</f>
        <v>30.874074327339958</v>
      </c>
      <c r="L72" s="80"/>
    </row>
    <row r="73" spans="1:26" s="84" customFormat="1" x14ac:dyDescent="0.2">
      <c r="A73" s="45"/>
      <c r="B73" s="161" t="s">
        <v>311</v>
      </c>
      <c r="C73" s="77">
        <f>C71-C72</f>
        <v>96888934158.650009</v>
      </c>
      <c r="D73" s="77">
        <f t="shared" ref="D73:I73" si="6">D71-D72</f>
        <v>53286054996.620003</v>
      </c>
      <c r="E73" s="77">
        <f t="shared" si="6"/>
        <v>355625288.44</v>
      </c>
      <c r="F73" s="77">
        <f t="shared" si="6"/>
        <v>71122833.390000001</v>
      </c>
      <c r="G73" s="77">
        <f t="shared" si="6"/>
        <v>10596186.92</v>
      </c>
      <c r="H73" s="77">
        <f t="shared" si="6"/>
        <v>70565592.430000007</v>
      </c>
      <c r="I73" s="77">
        <f t="shared" si="6"/>
        <v>737095.39</v>
      </c>
      <c r="J73" s="76">
        <f t="shared" si="0"/>
        <v>93.371205682936363</v>
      </c>
      <c r="K73" s="76">
        <f>IF(C73=0,"",100*D73/C73)</f>
        <v>54.997049414711462</v>
      </c>
      <c r="L73" s="88"/>
    </row>
    <row r="74" spans="1:26" s="84" customFormat="1" x14ac:dyDescent="0.2">
      <c r="A74" s="45"/>
      <c r="B74" s="172" t="s">
        <v>454</v>
      </c>
      <c r="C74" s="87"/>
      <c r="D74" s="87"/>
      <c r="E74" s="87"/>
      <c r="F74" s="87"/>
      <c r="G74" s="87"/>
      <c r="H74" s="87"/>
      <c r="I74" s="87"/>
      <c r="J74" s="79"/>
      <c r="K74" s="79"/>
      <c r="L74" s="88"/>
    </row>
    <row r="75" spans="1:26" s="84" customFormat="1" x14ac:dyDescent="0.2">
      <c r="A75" s="45"/>
      <c r="B75" s="171" t="s">
        <v>453</v>
      </c>
      <c r="C75" s="87"/>
      <c r="D75" s="87"/>
      <c r="E75" s="87"/>
      <c r="F75" s="87"/>
      <c r="G75" s="87"/>
      <c r="H75" s="87"/>
      <c r="I75" s="87"/>
      <c r="J75" s="79"/>
      <c r="K75" s="79"/>
      <c r="L75" s="88"/>
    </row>
    <row r="76" spans="1:26" ht="18" x14ac:dyDescent="0.2">
      <c r="B76" s="148" t="str">
        <f>CONCATENATE("Informacja z wykonania budżetów miast na prawach powiatu za ",$D$137," ",$C$138," rok    ",$C$140,"")</f>
        <v xml:space="preserve">Informacja z wykonania budżetów miast na prawach powiatu za II Kwartały 2023 rok    </v>
      </c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</row>
    <row r="77" spans="1:26" s="84" customFormat="1" x14ac:dyDescent="0.2">
      <c r="B77" s="89"/>
      <c r="C77" s="90"/>
      <c r="D77" s="90"/>
      <c r="E77" s="90"/>
      <c r="F77" s="91"/>
      <c r="G77" s="91"/>
      <c r="H77" s="91"/>
      <c r="I77" s="91"/>
      <c r="J77" s="91"/>
      <c r="K77" s="9"/>
      <c r="L77" s="9"/>
      <c r="M77" s="92"/>
    </row>
    <row r="78" spans="1:26" ht="29.25" customHeight="1" x14ac:dyDescent="0.2">
      <c r="B78" s="181" t="s">
        <v>0</v>
      </c>
      <c r="C78" s="178" t="s">
        <v>208</v>
      </c>
      <c r="D78" s="178" t="s">
        <v>210</v>
      </c>
      <c r="E78" s="178" t="s">
        <v>209</v>
      </c>
      <c r="F78" s="178" t="s">
        <v>38</v>
      </c>
      <c r="G78" s="178"/>
      <c r="H78" s="178"/>
      <c r="I78" s="184" t="s">
        <v>377</v>
      </c>
      <c r="J78" s="178" t="s">
        <v>2</v>
      </c>
      <c r="K78" s="182" t="s">
        <v>65</v>
      </c>
      <c r="M78" s="93"/>
      <c r="N78" s="111"/>
      <c r="O78" s="93"/>
      <c r="P78" s="93"/>
      <c r="Q78" s="93"/>
      <c r="R78" s="93"/>
      <c r="S78" s="93"/>
      <c r="T78" s="93"/>
      <c r="U78" s="93"/>
      <c r="V78" s="93"/>
      <c r="W78" s="93"/>
      <c r="X78" s="93"/>
      <c r="Y78" s="93"/>
      <c r="Z78" s="93"/>
    </row>
    <row r="79" spans="1:26" ht="18" customHeight="1" x14ac:dyDescent="0.2">
      <c r="B79" s="181"/>
      <c r="C79" s="178"/>
      <c r="D79" s="178"/>
      <c r="E79" s="179"/>
      <c r="F79" s="183" t="s">
        <v>211</v>
      </c>
      <c r="G79" s="198" t="s">
        <v>173</v>
      </c>
      <c r="H79" s="179"/>
      <c r="I79" s="185"/>
      <c r="J79" s="178"/>
      <c r="K79" s="182"/>
      <c r="L79" s="11"/>
      <c r="M79" s="12"/>
      <c r="N79" s="111"/>
      <c r="O79" s="93"/>
      <c r="P79" s="93"/>
      <c r="Q79" s="93"/>
      <c r="R79" s="93"/>
      <c r="S79" s="93"/>
      <c r="T79" s="93"/>
      <c r="U79" s="93"/>
      <c r="V79" s="93"/>
      <c r="W79" s="93"/>
      <c r="X79" s="93"/>
      <c r="Y79" s="93"/>
      <c r="Z79" s="93"/>
    </row>
    <row r="80" spans="1:26" ht="58.5" customHeight="1" x14ac:dyDescent="0.2">
      <c r="B80" s="181"/>
      <c r="C80" s="178"/>
      <c r="D80" s="178"/>
      <c r="E80" s="179"/>
      <c r="F80" s="179"/>
      <c r="G80" s="18" t="s">
        <v>190</v>
      </c>
      <c r="H80" s="18" t="s">
        <v>191</v>
      </c>
      <c r="I80" s="186"/>
      <c r="J80" s="178"/>
      <c r="K80" s="182"/>
      <c r="L80" s="11"/>
      <c r="M80" s="93"/>
      <c r="N80" s="111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</row>
    <row r="81" spans="2:26" ht="13.5" customHeight="1" x14ac:dyDescent="0.2">
      <c r="B81" s="181"/>
      <c r="C81" s="187" t="s">
        <v>327</v>
      </c>
      <c r="D81" s="188"/>
      <c r="E81" s="188"/>
      <c r="F81" s="188"/>
      <c r="G81" s="188"/>
      <c r="H81" s="188"/>
      <c r="I81" s="189"/>
      <c r="J81" s="195" t="s">
        <v>4</v>
      </c>
      <c r="K81" s="195"/>
      <c r="N81" s="93"/>
      <c r="O81" s="93"/>
      <c r="P81" s="93"/>
      <c r="Q81" s="93"/>
      <c r="R81" s="93"/>
      <c r="S81" s="93"/>
      <c r="T81" s="93"/>
      <c r="U81" s="93"/>
      <c r="V81" s="93"/>
      <c r="W81" s="93"/>
      <c r="X81" s="93"/>
      <c r="Y81" s="93"/>
      <c r="Z81" s="93"/>
    </row>
    <row r="82" spans="2:26" ht="11.25" customHeight="1" x14ac:dyDescent="0.2">
      <c r="B82" s="17">
        <v>1</v>
      </c>
      <c r="C82" s="19">
        <v>2</v>
      </c>
      <c r="D82" s="19">
        <v>3</v>
      </c>
      <c r="E82" s="19">
        <v>4</v>
      </c>
      <c r="F82" s="17">
        <v>5</v>
      </c>
      <c r="G82" s="17">
        <v>6</v>
      </c>
      <c r="H82" s="19">
        <v>7</v>
      </c>
      <c r="I82" s="19">
        <v>8</v>
      </c>
      <c r="J82" s="17">
        <v>9</v>
      </c>
      <c r="K82" s="19">
        <v>10</v>
      </c>
      <c r="M82" s="93"/>
      <c r="N82" s="93"/>
      <c r="O82" s="93"/>
      <c r="P82" s="93"/>
      <c r="Q82" s="93"/>
      <c r="R82" s="93"/>
      <c r="S82" s="93"/>
      <c r="T82" s="93"/>
      <c r="U82" s="93"/>
      <c r="V82" s="93"/>
      <c r="W82" s="93"/>
      <c r="X82" s="93"/>
      <c r="Y82" s="93"/>
      <c r="Z82" s="93"/>
    </row>
    <row r="83" spans="2:26" ht="25.5" customHeight="1" x14ac:dyDescent="0.2">
      <c r="B83" s="126" t="s">
        <v>248</v>
      </c>
      <c r="C83" s="135">
        <f>127615070171.8</f>
        <v>127615070171.8</v>
      </c>
      <c r="D83" s="135">
        <f>57062191512.44</f>
        <v>57062191512.440002</v>
      </c>
      <c r="E83" s="135">
        <f>103510661097.05</f>
        <v>103510661097.05</v>
      </c>
      <c r="F83" s="135">
        <f>3692804105.12</f>
        <v>3692804105.1199999</v>
      </c>
      <c r="G83" s="135">
        <f>381729.03</f>
        <v>381729.03</v>
      </c>
      <c r="H83" s="135">
        <f>4580818.27</f>
        <v>4580818.2699999996</v>
      </c>
      <c r="I83" s="135">
        <f>0</f>
        <v>0</v>
      </c>
      <c r="J83" s="101">
        <f>IF($D$83=0,"",100*$D83/$D$83)</f>
        <v>100</v>
      </c>
      <c r="K83" s="101">
        <f>IF(C83=0,"",100*D83/C83)</f>
        <v>44.714304851002957</v>
      </c>
      <c r="N83" s="112"/>
      <c r="O83" s="113"/>
    </row>
    <row r="84" spans="2:26" x14ac:dyDescent="0.2">
      <c r="B84" s="149" t="s">
        <v>40</v>
      </c>
      <c r="C84" s="136">
        <f>27346703625.87</f>
        <v>27346703625.869999</v>
      </c>
      <c r="D84" s="136">
        <f>6966694365.75001</f>
        <v>6966694365.7500095</v>
      </c>
      <c r="E84" s="136">
        <f>18599717870.48</f>
        <v>18599717870.48</v>
      </c>
      <c r="F84" s="136">
        <f>793189173.88</f>
        <v>793189173.88</v>
      </c>
      <c r="G84" s="136">
        <f>132263.6</f>
        <v>132263.6</v>
      </c>
      <c r="H84" s="136">
        <f>55835.42</f>
        <v>55835.42</v>
      </c>
      <c r="I84" s="136">
        <f>0</f>
        <v>0</v>
      </c>
      <c r="J84" s="101">
        <f t="shared" ref="J84:J92" si="7">IF($D$83=0,"",100*$D84/$D$83)</f>
        <v>12.208949886250366</v>
      </c>
      <c r="K84" s="101">
        <f t="shared" ref="K84:K92" si="8">IF(C84=0,"",100*D84/C84)</f>
        <v>25.475444722922703</v>
      </c>
      <c r="N84" s="114"/>
      <c r="O84" s="113"/>
    </row>
    <row r="85" spans="2:26" ht="12.95" customHeight="1" outlineLevel="1" x14ac:dyDescent="0.2">
      <c r="B85" s="49" t="s">
        <v>39</v>
      </c>
      <c r="C85" s="130">
        <f>24917408617.35</f>
        <v>24917408617.349998</v>
      </c>
      <c r="D85" s="130">
        <f>5598152451.71001</f>
        <v>5598152451.7100096</v>
      </c>
      <c r="E85" s="130">
        <f>16984002248.13</f>
        <v>16984002248.129999</v>
      </c>
      <c r="F85" s="130">
        <f>770932411.27</f>
        <v>770932411.26999998</v>
      </c>
      <c r="G85" s="130">
        <f>132263.6</f>
        <v>132263.6</v>
      </c>
      <c r="H85" s="130">
        <f>55835.42</f>
        <v>55835.42</v>
      </c>
      <c r="I85" s="130">
        <f>0</f>
        <v>0</v>
      </c>
      <c r="J85" s="101">
        <f t="shared" si="7"/>
        <v>9.8106159320739881</v>
      </c>
      <c r="K85" s="101">
        <f t="shared" si="8"/>
        <v>22.466832477162232</v>
      </c>
      <c r="N85" s="87"/>
      <c r="O85" s="113"/>
    </row>
    <row r="86" spans="2:26" ht="25.5" customHeight="1" x14ac:dyDescent="0.2">
      <c r="B86" s="149" t="s">
        <v>249</v>
      </c>
      <c r="C86" s="136">
        <f t="shared" ref="C86:I86" si="9">C83-C84</f>
        <v>100268366545.93001</v>
      </c>
      <c r="D86" s="136">
        <f t="shared" si="9"/>
        <v>50095497146.689995</v>
      </c>
      <c r="E86" s="136">
        <f>E83-E84</f>
        <v>84910943226.570007</v>
      </c>
      <c r="F86" s="136">
        <f t="shared" si="9"/>
        <v>2899614931.2399998</v>
      </c>
      <c r="G86" s="136">
        <f t="shared" si="9"/>
        <v>249465.43000000002</v>
      </c>
      <c r="H86" s="136">
        <f t="shared" si="9"/>
        <v>4524982.8499999996</v>
      </c>
      <c r="I86" s="136">
        <f t="shared" si="9"/>
        <v>0</v>
      </c>
      <c r="J86" s="101">
        <f t="shared" si="7"/>
        <v>87.791050113749634</v>
      </c>
      <c r="K86" s="101">
        <f t="shared" si="8"/>
        <v>49.961417416471733</v>
      </c>
      <c r="N86" s="114"/>
      <c r="O86" s="113"/>
    </row>
    <row r="87" spans="2:26" ht="24" customHeight="1" outlineLevel="1" x14ac:dyDescent="0.2">
      <c r="B87" s="49" t="s">
        <v>413</v>
      </c>
      <c r="C87" s="130">
        <f>40186444906.77</f>
        <v>40186444906.769997</v>
      </c>
      <c r="D87" s="130">
        <f>21351118588.96</f>
        <v>21351118588.959999</v>
      </c>
      <c r="E87" s="130">
        <f>37185637685.6199</f>
        <v>37185637685.619904</v>
      </c>
      <c r="F87" s="130">
        <f>1184724474.08</f>
        <v>1184724474.0799999</v>
      </c>
      <c r="G87" s="130">
        <f>7717.82</f>
        <v>7717.82</v>
      </c>
      <c r="H87" s="130">
        <f>3413.58</f>
        <v>3413.58</v>
      </c>
      <c r="I87" s="130">
        <f>0</f>
        <v>0</v>
      </c>
      <c r="J87" s="101">
        <f t="shared" si="7"/>
        <v>37.417277575652328</v>
      </c>
      <c r="K87" s="101">
        <f t="shared" si="8"/>
        <v>53.13015032430274</v>
      </c>
      <c r="N87" s="87"/>
      <c r="O87" s="113"/>
    </row>
    <row r="88" spans="2:26" ht="12.95" customHeight="1" outlineLevel="1" x14ac:dyDescent="0.2">
      <c r="B88" s="49" t="s">
        <v>189</v>
      </c>
      <c r="C88" s="137">
        <f>12598556530.77</f>
        <v>12598556530.77</v>
      </c>
      <c r="D88" s="137">
        <f>7048198516.54</f>
        <v>7048198516.54</v>
      </c>
      <c r="E88" s="137">
        <f>10293622226.88</f>
        <v>10293622226.879999</v>
      </c>
      <c r="F88" s="137">
        <f>205701350.1</f>
        <v>205701350.09999999</v>
      </c>
      <c r="G88" s="137">
        <f>0</f>
        <v>0</v>
      </c>
      <c r="H88" s="137">
        <f>0</f>
        <v>0</v>
      </c>
      <c r="I88" s="137">
        <f>0</f>
        <v>0</v>
      </c>
      <c r="J88" s="101">
        <f t="shared" si="7"/>
        <v>12.351783781391287</v>
      </c>
      <c r="K88" s="101">
        <f t="shared" si="8"/>
        <v>55.944492524408489</v>
      </c>
      <c r="N88" s="115"/>
      <c r="O88" s="113"/>
    </row>
    <row r="89" spans="2:26" ht="12.95" customHeight="1" outlineLevel="1" x14ac:dyDescent="0.2">
      <c r="B89" s="49" t="s">
        <v>188</v>
      </c>
      <c r="C89" s="130">
        <f>3099753877.75</f>
        <v>3099753877.75</v>
      </c>
      <c r="D89" s="130">
        <f>1415569477.86</f>
        <v>1415569477.8599999</v>
      </c>
      <c r="E89" s="130">
        <f>2396058819.17</f>
        <v>2396058819.1700001</v>
      </c>
      <c r="F89" s="130">
        <f>46897961.3</f>
        <v>46897961.299999997</v>
      </c>
      <c r="G89" s="130">
        <f>0</f>
        <v>0</v>
      </c>
      <c r="H89" s="130">
        <f>0</f>
        <v>0</v>
      </c>
      <c r="I89" s="130">
        <f>0</f>
        <v>0</v>
      </c>
      <c r="J89" s="101">
        <f t="shared" si="7"/>
        <v>2.4807485312781843</v>
      </c>
      <c r="K89" s="101">
        <f t="shared" si="8"/>
        <v>45.667157254675686</v>
      </c>
      <c r="N89" s="87"/>
      <c r="O89" s="113"/>
    </row>
    <row r="90" spans="2:26" ht="22.5" customHeight="1" outlineLevel="1" x14ac:dyDescent="0.2">
      <c r="B90" s="49" t="s">
        <v>295</v>
      </c>
      <c r="C90" s="137">
        <f>92609845.67</f>
        <v>92609845.670000002</v>
      </c>
      <c r="D90" s="137">
        <f>3721669.94</f>
        <v>3721669.94</v>
      </c>
      <c r="E90" s="137">
        <f>9978308.38</f>
        <v>9978308.3800000008</v>
      </c>
      <c r="F90" s="137">
        <f>0</f>
        <v>0</v>
      </c>
      <c r="G90" s="137">
        <f>0</f>
        <v>0</v>
      </c>
      <c r="H90" s="137">
        <f>0</f>
        <v>0</v>
      </c>
      <c r="I90" s="137">
        <f>0</f>
        <v>0</v>
      </c>
      <c r="J90" s="101">
        <f t="shared" si="7"/>
        <v>6.5221293493234432E-3</v>
      </c>
      <c r="K90" s="101">
        <f t="shared" si="8"/>
        <v>4.0186547262604888</v>
      </c>
      <c r="N90" s="115"/>
      <c r="O90" s="113"/>
    </row>
    <row r="91" spans="2:26" ht="22.5" customHeight="1" outlineLevel="1" x14ac:dyDescent="0.2">
      <c r="B91" s="49" t="s">
        <v>306</v>
      </c>
      <c r="C91" s="137">
        <f>5674972085.27</f>
        <v>5674972085.2700005</v>
      </c>
      <c r="D91" s="137">
        <f>3046045597.72</f>
        <v>3046045597.7199998</v>
      </c>
      <c r="E91" s="137">
        <f>4481525120.64</f>
        <v>4481525120.6400003</v>
      </c>
      <c r="F91" s="137">
        <f>37542055.19</f>
        <v>37542055.189999998</v>
      </c>
      <c r="G91" s="137">
        <f>12526.5</f>
        <v>12526.5</v>
      </c>
      <c r="H91" s="137">
        <f>10441.45</f>
        <v>10441.450000000001</v>
      </c>
      <c r="I91" s="138">
        <f>0</f>
        <v>0</v>
      </c>
      <c r="J91" s="101">
        <f t="shared" si="7"/>
        <v>5.3381153386931137</v>
      </c>
      <c r="K91" s="101">
        <f t="shared" si="8"/>
        <v>53.675076316698338</v>
      </c>
      <c r="N91" s="115"/>
      <c r="O91" s="113"/>
    </row>
    <row r="92" spans="2:26" ht="12.95" customHeight="1" outlineLevel="1" x14ac:dyDescent="0.2">
      <c r="B92" s="49" t="s">
        <v>187</v>
      </c>
      <c r="C92" s="130">
        <f t="shared" ref="C92:I92" si="10">C86-C87-C88-C89-C90-C91</f>
        <v>38616029299.700012</v>
      </c>
      <c r="D92" s="130">
        <f t="shared" si="10"/>
        <v>17230843295.669994</v>
      </c>
      <c r="E92" s="130">
        <f>E86-E87-E88-E89-E90-E91</f>
        <v>30544121065.880112</v>
      </c>
      <c r="F92" s="130">
        <f t="shared" si="10"/>
        <v>1424749090.5699999</v>
      </c>
      <c r="G92" s="130">
        <f t="shared" si="10"/>
        <v>229221.11000000002</v>
      </c>
      <c r="H92" s="130">
        <f t="shared" si="10"/>
        <v>4511127.8199999994</v>
      </c>
      <c r="I92" s="138">
        <f t="shared" si="10"/>
        <v>0</v>
      </c>
      <c r="J92" s="101">
        <f t="shared" si="7"/>
        <v>30.196602757385399</v>
      </c>
      <c r="K92" s="101">
        <f t="shared" si="8"/>
        <v>44.620960798276201</v>
      </c>
      <c r="N92" s="87"/>
      <c r="O92" s="113"/>
    </row>
    <row r="93" spans="2:26" x14ac:dyDescent="0.2">
      <c r="B93" s="126" t="s">
        <v>52</v>
      </c>
      <c r="C93" s="136">
        <f>C5-C83</f>
        <v>-18473170810.529999</v>
      </c>
      <c r="D93" s="136">
        <f>D5-D83</f>
        <v>6853068.1399993896</v>
      </c>
      <c r="E93" s="120"/>
      <c r="F93" s="114"/>
      <c r="G93" s="114"/>
      <c r="H93" s="114"/>
      <c r="I93" s="199"/>
      <c r="J93" s="199"/>
      <c r="K93" s="95"/>
      <c r="L93" s="95"/>
      <c r="M93" s="13"/>
      <c r="N93" s="113"/>
      <c r="O93" s="114"/>
    </row>
    <row r="94" spans="2:26" ht="38.25" x14ac:dyDescent="0.2">
      <c r="B94" s="157" t="s">
        <v>426</v>
      </c>
      <c r="C94" s="136">
        <f>+C73-C86</f>
        <v>-3379432387.2799988</v>
      </c>
      <c r="D94" s="136">
        <f>+D73-D86</f>
        <v>3190557849.9300079</v>
      </c>
      <c r="E94" s="120"/>
      <c r="F94" s="114"/>
      <c r="G94" s="114"/>
      <c r="H94" s="114"/>
      <c r="I94" s="114"/>
      <c r="J94" s="114"/>
      <c r="K94" s="95"/>
      <c r="L94" s="95"/>
      <c r="M94" s="13"/>
      <c r="N94" s="113"/>
      <c r="O94" s="114"/>
    </row>
    <row r="95" spans="2:26" ht="8.25" customHeight="1" x14ac:dyDescent="0.2">
      <c r="B95" s="96"/>
      <c r="C95" s="97"/>
      <c r="D95" s="97"/>
      <c r="E95" s="97"/>
      <c r="F95" s="98"/>
      <c r="G95" s="98"/>
      <c r="H95" s="98"/>
      <c r="I95" s="98"/>
      <c r="J95" s="99"/>
      <c r="K95" s="99"/>
      <c r="L95" s="100"/>
      <c r="M95" s="93"/>
    </row>
    <row r="96" spans="2:26" x14ac:dyDescent="0.2">
      <c r="B96" s="167" t="s">
        <v>447</v>
      </c>
      <c r="C96" s="116"/>
      <c r="D96" s="116"/>
      <c r="E96" s="116"/>
      <c r="F96" s="117"/>
      <c r="G96" s="117"/>
      <c r="H96" s="117"/>
      <c r="I96" s="117"/>
      <c r="J96" s="118"/>
      <c r="K96" s="118"/>
      <c r="L96" s="100"/>
      <c r="M96" s="93"/>
    </row>
    <row r="97" spans="2:13" ht="26.25" customHeight="1" x14ac:dyDescent="0.2">
      <c r="B97" s="126" t="s">
        <v>383</v>
      </c>
      <c r="C97" s="139">
        <f>8567324796.67002</f>
        <v>8567324796.6700201</v>
      </c>
      <c r="D97" s="140">
        <f>2397999375.7</f>
        <v>2397999375.6999998</v>
      </c>
      <c r="E97" s="140">
        <f>6304534031.56</f>
        <v>6304534031.5600004</v>
      </c>
      <c r="F97" s="140">
        <f>178976792.04</f>
        <v>178976792.03999999</v>
      </c>
      <c r="G97" s="140">
        <f>0</f>
        <v>0</v>
      </c>
      <c r="H97" s="140">
        <f>1968</f>
        <v>1968</v>
      </c>
      <c r="I97" s="140">
        <f>0</f>
        <v>0</v>
      </c>
      <c r="J97" s="121">
        <f>IF($D$97=0,"",100*$D97/$D$97)</f>
        <v>100</v>
      </c>
      <c r="K97" s="101">
        <f>IF(C97=0,"",100*D97/C97)</f>
        <v>27.990060288505266</v>
      </c>
      <c r="L97" s="93"/>
    </row>
    <row r="98" spans="2:13" ht="15" customHeight="1" x14ac:dyDescent="0.2">
      <c r="B98" s="162" t="s">
        <v>317</v>
      </c>
      <c r="C98" s="141">
        <f>7884131684.6</f>
        <v>7884131684.6000004</v>
      </c>
      <c r="D98" s="137">
        <f>2096696268.49</f>
        <v>2096696268.49</v>
      </c>
      <c r="E98" s="137">
        <f>5906339380.9</f>
        <v>5906339380.8999996</v>
      </c>
      <c r="F98" s="137">
        <f>168566859.06</f>
        <v>168566859.06</v>
      </c>
      <c r="G98" s="137">
        <f>0</f>
        <v>0</v>
      </c>
      <c r="H98" s="137">
        <f>0</f>
        <v>0</v>
      </c>
      <c r="I98" s="137">
        <f>0</f>
        <v>0</v>
      </c>
      <c r="J98" s="121">
        <f>IF($D$97=0,"",100*$D98/$D$97)</f>
        <v>87.435229956135984</v>
      </c>
      <c r="K98" s="121">
        <f>IF(C98=0,"",100*D98/C98)</f>
        <v>26.593876819503876</v>
      </c>
      <c r="L98" s="93"/>
    </row>
    <row r="99" spans="2:13" x14ac:dyDescent="0.2">
      <c r="B99" s="163" t="s">
        <v>318</v>
      </c>
      <c r="C99" s="141">
        <f>C97-C98</f>
        <v>683193112.07001972</v>
      </c>
      <c r="D99" s="137">
        <f t="shared" ref="D99:I99" si="11">D97-D98</f>
        <v>301303107.2099998</v>
      </c>
      <c r="E99" s="137">
        <f t="shared" si="11"/>
        <v>398194650.6600008</v>
      </c>
      <c r="F99" s="137">
        <f t="shared" si="11"/>
        <v>10409932.979999989</v>
      </c>
      <c r="G99" s="137">
        <f t="shared" si="11"/>
        <v>0</v>
      </c>
      <c r="H99" s="137">
        <f t="shared" si="11"/>
        <v>1968</v>
      </c>
      <c r="I99" s="137">
        <f t="shared" si="11"/>
        <v>0</v>
      </c>
      <c r="J99" s="121">
        <f>IF($D$97=0,"",100*$D99/$D$97)</f>
        <v>12.564770043864021</v>
      </c>
      <c r="K99" s="121">
        <f>IF(C99=0,"",100*D99/C99)</f>
        <v>44.102187490894899</v>
      </c>
    </row>
    <row r="100" spans="2:13" ht="6" customHeight="1" x14ac:dyDescent="0.2"/>
    <row r="101" spans="2:13" ht="18" x14ac:dyDescent="0.2">
      <c r="B101" s="148" t="str">
        <f>CONCATENATE("Informacja z wykonania budżetów miast na prawach powiatu za ",$D$137," ",$C$138," rok    ",$C$140,"")</f>
        <v xml:space="preserve">Informacja z wykonania budżetów miast na prawach powiatu za II Kwartały 2023 rok    </v>
      </c>
      <c r="C101" s="148"/>
      <c r="D101" s="148"/>
      <c r="E101" s="148"/>
      <c r="F101" s="148"/>
      <c r="G101" s="148"/>
      <c r="H101" s="148"/>
      <c r="I101" s="148"/>
      <c r="J101" s="148"/>
      <c r="K101" s="148"/>
      <c r="L101" s="148"/>
      <c r="M101" s="148"/>
    </row>
    <row r="102" spans="2:13" ht="6.75" customHeight="1" x14ac:dyDescent="0.2"/>
    <row r="103" spans="2:13" x14ac:dyDescent="0.2">
      <c r="B103" s="64" t="s">
        <v>53</v>
      </c>
      <c r="C103" s="109" t="s">
        <v>54</v>
      </c>
      <c r="D103" s="19" t="s">
        <v>1</v>
      </c>
      <c r="E103" s="19" t="s">
        <v>129</v>
      </c>
      <c r="F103" s="19" t="s">
        <v>130</v>
      </c>
    </row>
    <row r="104" spans="2:13" x14ac:dyDescent="0.2">
      <c r="B104" s="64"/>
      <c r="C104" s="183" t="s">
        <v>327</v>
      </c>
      <c r="D104" s="190"/>
      <c r="E104" s="193" t="s">
        <v>4</v>
      </c>
      <c r="F104" s="194"/>
    </row>
    <row r="105" spans="2:13" x14ac:dyDescent="0.2">
      <c r="B105" s="62">
        <v>1</v>
      </c>
      <c r="C105" s="71">
        <v>2</v>
      </c>
      <c r="D105" s="63">
        <v>3</v>
      </c>
      <c r="E105" s="63">
        <v>4</v>
      </c>
      <c r="F105" s="63">
        <v>5</v>
      </c>
    </row>
    <row r="106" spans="2:13" ht="25.5" x14ac:dyDescent="0.2">
      <c r="B106" s="124" t="s">
        <v>250</v>
      </c>
      <c r="C106" s="142">
        <f>21696709374.35</f>
        <v>21696709374.349998</v>
      </c>
      <c r="D106" s="135">
        <f>11447879419.69</f>
        <v>11447879419.690001</v>
      </c>
      <c r="E106" s="102">
        <f>IF($D$106=0,"",100*$D106/$D$106)</f>
        <v>100</v>
      </c>
      <c r="F106" s="94">
        <f t="shared" ref="F106:F113" si="12">IF(C106=0,"",100*D106/C106)</f>
        <v>52.76320580310562</v>
      </c>
    </row>
    <row r="107" spans="2:13" ht="22.5" x14ac:dyDescent="0.2">
      <c r="B107" s="158" t="s">
        <v>384</v>
      </c>
      <c r="C107" s="143">
        <f>12819785815.73</f>
        <v>12819785815.73</v>
      </c>
      <c r="D107" s="132">
        <f>1265504462.22</f>
        <v>1265504462.22</v>
      </c>
      <c r="E107" s="103">
        <f t="shared" ref="E107:E116" si="13">IF($D$106=0,"",100*$D107/$D$106)</f>
        <v>11.054488048182716</v>
      </c>
      <c r="F107" s="104">
        <f t="shared" si="12"/>
        <v>9.8714945819704258</v>
      </c>
    </row>
    <row r="108" spans="2:13" ht="11.25" customHeight="1" x14ac:dyDescent="0.2">
      <c r="B108" s="160" t="s">
        <v>385</v>
      </c>
      <c r="C108" s="144">
        <f>1691596000</f>
        <v>1691596000</v>
      </c>
      <c r="D108" s="131">
        <f>78000000</f>
        <v>78000000</v>
      </c>
      <c r="E108" s="105">
        <f t="shared" si="13"/>
        <v>0.68134889563775802</v>
      </c>
      <c r="F108" s="101">
        <f t="shared" si="12"/>
        <v>4.6110300568220781</v>
      </c>
    </row>
    <row r="109" spans="2:13" ht="12.95" customHeight="1" x14ac:dyDescent="0.2">
      <c r="B109" s="159" t="s">
        <v>386</v>
      </c>
      <c r="C109" s="144">
        <f>54426654.47</f>
        <v>54426654.469999999</v>
      </c>
      <c r="D109" s="131">
        <f>15249662.11</f>
        <v>15249662.109999999</v>
      </c>
      <c r="E109" s="105">
        <f t="shared" si="13"/>
        <v>0.133209492788429</v>
      </c>
      <c r="F109" s="101">
        <f t="shared" si="12"/>
        <v>28.018738720024803</v>
      </c>
    </row>
    <row r="110" spans="2:13" ht="45.75" customHeight="1" x14ac:dyDescent="0.2">
      <c r="B110" s="159" t="s">
        <v>405</v>
      </c>
      <c r="C110" s="144">
        <f>57421026.05</f>
        <v>57421026.049999997</v>
      </c>
      <c r="D110" s="131">
        <f>74936078.56</f>
        <v>74936078.560000002</v>
      </c>
      <c r="E110" s="105">
        <f t="shared" si="13"/>
        <v>0.65458479961897786</v>
      </c>
      <c r="F110" s="101">
        <f t="shared" si="12"/>
        <v>130.50285533864994</v>
      </c>
    </row>
    <row r="111" spans="2:13" ht="35.25" customHeight="1" x14ac:dyDescent="0.2">
      <c r="B111" s="159" t="s">
        <v>397</v>
      </c>
      <c r="C111" s="144">
        <f>1088149484.49</f>
        <v>1088149484.49</v>
      </c>
      <c r="D111" s="131">
        <f>1406001860.66</f>
        <v>1406001860.6600001</v>
      </c>
      <c r="E111" s="105">
        <f t="shared" si="13"/>
        <v>12.281766859299024</v>
      </c>
      <c r="F111" s="101">
        <f t="shared" si="12"/>
        <v>129.21035948649765</v>
      </c>
    </row>
    <row r="112" spans="2:13" ht="12.95" customHeight="1" x14ac:dyDescent="0.2">
      <c r="B112" s="159" t="s">
        <v>387</v>
      </c>
      <c r="C112" s="144">
        <f>22960000</f>
        <v>22960000</v>
      </c>
      <c r="D112" s="131">
        <f>0</f>
        <v>0</v>
      </c>
      <c r="E112" s="105">
        <f t="shared" si="13"/>
        <v>0</v>
      </c>
      <c r="F112" s="101">
        <f t="shared" si="12"/>
        <v>0</v>
      </c>
    </row>
    <row r="113" spans="2:8" ht="35.25" customHeight="1" x14ac:dyDescent="0.2">
      <c r="B113" s="159" t="s">
        <v>390</v>
      </c>
      <c r="C113" s="144">
        <f>5200443133.32</f>
        <v>5200443133.3199997</v>
      </c>
      <c r="D113" s="131">
        <f>5984138392.85</f>
        <v>5984138392.8500004</v>
      </c>
      <c r="E113" s="105">
        <f t="shared" si="13"/>
        <v>52.272898529639178</v>
      </c>
      <c r="F113" s="101">
        <f t="shared" si="12"/>
        <v>115.06977846769922</v>
      </c>
    </row>
    <row r="114" spans="2:8" ht="56.25" x14ac:dyDescent="0.2">
      <c r="B114" s="175" t="s">
        <v>501</v>
      </c>
      <c r="C114" s="144">
        <f>0</f>
        <v>0</v>
      </c>
      <c r="D114" s="131">
        <f>170525703</f>
        <v>170525703</v>
      </c>
      <c r="E114" s="105">
        <f t="shared" si="13"/>
        <v>1.489583325857722</v>
      </c>
      <c r="F114" s="101" t="str">
        <f t="shared" ref="F114:F122" si="14">IF(C114=0,"",100*D114/C114)</f>
        <v/>
      </c>
    </row>
    <row r="115" spans="2:8" x14ac:dyDescent="0.2">
      <c r="B115" s="175" t="s">
        <v>482</v>
      </c>
      <c r="C115" s="144">
        <f>2453523260.29</f>
        <v>2453523260.29</v>
      </c>
      <c r="D115" s="131">
        <f>2531523260.29</f>
        <v>2531523260.29</v>
      </c>
      <c r="E115" s="105">
        <f t="shared" si="13"/>
        <v>22.113468944613949</v>
      </c>
      <c r="F115" s="101">
        <f t="shared" si="14"/>
        <v>103.17910171313316</v>
      </c>
    </row>
    <row r="116" spans="2:8" ht="22.5" x14ac:dyDescent="0.2">
      <c r="B116" s="176" t="s">
        <v>483</v>
      </c>
      <c r="C116" s="144">
        <f>2331302284.73</f>
        <v>2331302284.73</v>
      </c>
      <c r="D116" s="131">
        <f>2331302284.73</f>
        <v>2331302284.73</v>
      </c>
      <c r="E116" s="105">
        <f t="shared" si="13"/>
        <v>20.364490219212406</v>
      </c>
      <c r="F116" s="101">
        <f t="shared" si="14"/>
        <v>100</v>
      </c>
    </row>
    <row r="117" spans="2:8" ht="25.5" x14ac:dyDescent="0.2">
      <c r="B117" s="127" t="s">
        <v>251</v>
      </c>
      <c r="C117" s="145">
        <f>3223538563.82</f>
        <v>3223538563.8200002</v>
      </c>
      <c r="D117" s="135">
        <f>1771744292.72</f>
        <v>1771744292.72</v>
      </c>
      <c r="E117" s="106">
        <f t="shared" ref="E117:E122" si="15">IF($D$117=0,"",100*$D117/$D$117)</f>
        <v>100</v>
      </c>
      <c r="F117" s="94">
        <f t="shared" si="14"/>
        <v>54.96271434768952</v>
      </c>
    </row>
    <row r="118" spans="2:8" ht="22.5" x14ac:dyDescent="0.2">
      <c r="B118" s="159" t="s">
        <v>388</v>
      </c>
      <c r="C118" s="144">
        <f>3015872027.57</f>
        <v>3015872027.5700002</v>
      </c>
      <c r="D118" s="131">
        <f>1396707508.61</f>
        <v>1396707508.6099999</v>
      </c>
      <c r="E118" s="105">
        <f t="shared" si="15"/>
        <v>78.832341345700641</v>
      </c>
      <c r="F118" s="101">
        <f t="shared" si="14"/>
        <v>46.311895725077534</v>
      </c>
    </row>
    <row r="119" spans="2:8" ht="12.95" customHeight="1" x14ac:dyDescent="0.2">
      <c r="B119" s="160" t="s">
        <v>389</v>
      </c>
      <c r="C119" s="144">
        <f>182616000</f>
        <v>182616000</v>
      </c>
      <c r="D119" s="131">
        <f>106016000</f>
        <v>106016000</v>
      </c>
      <c r="E119" s="105">
        <f t="shared" si="15"/>
        <v>5.9837077187500434</v>
      </c>
      <c r="F119" s="101">
        <f t="shared" si="14"/>
        <v>58.054058790029352</v>
      </c>
    </row>
    <row r="120" spans="2:8" ht="12.95" customHeight="1" x14ac:dyDescent="0.2">
      <c r="B120" s="159" t="s">
        <v>427</v>
      </c>
      <c r="C120" s="144">
        <f>65571788</f>
        <v>65571788</v>
      </c>
      <c r="D120" s="131">
        <f>35542409.34</f>
        <v>35542409.340000004</v>
      </c>
      <c r="E120" s="105">
        <f t="shared" si="15"/>
        <v>2.0060687925476501</v>
      </c>
      <c r="F120" s="101">
        <f t="shared" si="14"/>
        <v>54.203812987378058</v>
      </c>
    </row>
    <row r="121" spans="2:8" ht="12.95" customHeight="1" x14ac:dyDescent="0.2">
      <c r="B121" s="159" t="s">
        <v>493</v>
      </c>
      <c r="C121" s="144">
        <f>142094748.25</f>
        <v>142094748.25</v>
      </c>
      <c r="D121" s="131">
        <f>339494374.77</f>
        <v>339494374.76999998</v>
      </c>
      <c r="E121" s="105">
        <f t="shared" si="15"/>
        <v>19.161589861751708</v>
      </c>
      <c r="F121" s="101">
        <f t="shared" si="14"/>
        <v>238.92112759346824</v>
      </c>
    </row>
    <row r="122" spans="2:8" ht="22.5" x14ac:dyDescent="0.2">
      <c r="B122" s="176" t="s">
        <v>495</v>
      </c>
      <c r="C122" s="144">
        <f>8882063</f>
        <v>8882063</v>
      </c>
      <c r="D122" s="131">
        <f>0</f>
        <v>0</v>
      </c>
      <c r="E122" s="105">
        <f t="shared" si="15"/>
        <v>0</v>
      </c>
      <c r="F122" s="101">
        <f t="shared" si="14"/>
        <v>0</v>
      </c>
    </row>
    <row r="123" spans="2:8" x14ac:dyDescent="0.2">
      <c r="B123" s="84"/>
      <c r="C123" s="84"/>
      <c r="D123" s="84"/>
      <c r="E123" s="84"/>
      <c r="F123" s="84"/>
      <c r="G123" s="84"/>
      <c r="H123" s="84"/>
    </row>
    <row r="124" spans="2:8" x14ac:dyDescent="0.2">
      <c r="B124" s="64" t="s">
        <v>53</v>
      </c>
      <c r="C124" s="62" t="s">
        <v>54</v>
      </c>
      <c r="D124" s="62" t="s">
        <v>1</v>
      </c>
      <c r="E124" s="119"/>
    </row>
    <row r="125" spans="2:8" x14ac:dyDescent="0.2">
      <c r="B125" s="64"/>
      <c r="C125" s="191" t="s">
        <v>327</v>
      </c>
      <c r="D125" s="192"/>
      <c r="E125" s="119"/>
    </row>
    <row r="126" spans="2:8" x14ac:dyDescent="0.2">
      <c r="B126" s="62">
        <v>1</v>
      </c>
      <c r="C126" s="62">
        <v>2</v>
      </c>
      <c r="D126" s="62">
        <v>3</v>
      </c>
      <c r="E126" s="119"/>
    </row>
    <row r="127" spans="2:8" ht="36" customHeight="1" x14ac:dyDescent="0.2">
      <c r="B127" s="125" t="s">
        <v>502</v>
      </c>
      <c r="C127" s="144">
        <f>18473170810.53</f>
        <v>18473170810.529999</v>
      </c>
      <c r="D127" s="131">
        <f>0</f>
        <v>0</v>
      </c>
      <c r="E127" s="119"/>
    </row>
    <row r="128" spans="2:8" ht="33.75" x14ac:dyDescent="0.2">
      <c r="B128" s="164" t="s">
        <v>357</v>
      </c>
      <c r="C128" s="144">
        <f>1382449695.56</f>
        <v>1382449695.5599999</v>
      </c>
      <c r="D128" s="131">
        <f>0</f>
        <v>0</v>
      </c>
      <c r="E128" s="119"/>
    </row>
    <row r="129" spans="2:8" ht="12.95" customHeight="1" x14ac:dyDescent="0.2">
      <c r="B129" s="164" t="s">
        <v>360</v>
      </c>
      <c r="C129" s="144">
        <f>9257728930.17</f>
        <v>9257728930.1700001</v>
      </c>
      <c r="D129" s="131">
        <f>0</f>
        <v>0</v>
      </c>
      <c r="E129" s="119"/>
    </row>
    <row r="130" spans="2:8" ht="22.5" x14ac:dyDescent="0.2">
      <c r="B130" s="164" t="s">
        <v>363</v>
      </c>
      <c r="C130" s="144">
        <f>22960000</f>
        <v>22960000</v>
      </c>
      <c r="D130" s="131">
        <f>0</f>
        <v>0</v>
      </c>
      <c r="E130" s="119"/>
    </row>
    <row r="131" spans="2:8" ht="58.5" customHeight="1" x14ac:dyDescent="0.2">
      <c r="B131" s="164" t="s">
        <v>412</v>
      </c>
      <c r="C131" s="144">
        <f>51341026.05</f>
        <v>51341026.049999997</v>
      </c>
      <c r="D131" s="131">
        <f>0</f>
        <v>0</v>
      </c>
      <c r="E131" s="119"/>
    </row>
    <row r="132" spans="2:8" ht="78.75" x14ac:dyDescent="0.2">
      <c r="B132" s="164" t="s">
        <v>368</v>
      </c>
      <c r="C132" s="144">
        <f>4341307558.44</f>
        <v>4341307558.4399996</v>
      </c>
      <c r="D132" s="131">
        <f>0</f>
        <v>0</v>
      </c>
      <c r="E132" s="119"/>
    </row>
    <row r="133" spans="2:8" ht="147" customHeight="1" x14ac:dyDescent="0.2">
      <c r="B133" s="164" t="s">
        <v>406</v>
      </c>
      <c r="C133" s="144">
        <f>1081970777.49</f>
        <v>1081970777.49</v>
      </c>
      <c r="D133" s="131">
        <f>0</f>
        <v>0</v>
      </c>
      <c r="E133" s="93"/>
    </row>
    <row r="134" spans="2:8" ht="22.5" x14ac:dyDescent="0.2">
      <c r="B134" s="164" t="s">
        <v>407</v>
      </c>
      <c r="C134" s="144">
        <f>19802373.76</f>
        <v>19802373.760000002</v>
      </c>
      <c r="D134" s="131">
        <f>0</f>
        <v>0</v>
      </c>
      <c r="E134" s="93"/>
    </row>
    <row r="135" spans="2:8" ht="22.5" x14ac:dyDescent="0.2">
      <c r="B135" s="177" t="s">
        <v>483</v>
      </c>
      <c r="C135" s="144">
        <f>2315610449.06</f>
        <v>2315610449.0599999</v>
      </c>
      <c r="D135" s="131">
        <f>0</f>
        <v>0</v>
      </c>
      <c r="E135" s="93"/>
    </row>
    <row r="136" spans="2:8" x14ac:dyDescent="0.2">
      <c r="B136" s="107"/>
      <c r="C136" s="99"/>
      <c r="D136" s="99"/>
      <c r="E136" s="99"/>
      <c r="F136" s="99"/>
      <c r="G136" s="99"/>
      <c r="H136" s="99"/>
    </row>
    <row r="137" spans="2:8" ht="12" customHeight="1" x14ac:dyDescent="0.2">
      <c r="B137" s="108" t="s">
        <v>252</v>
      </c>
      <c r="C137" s="108">
        <f>2</f>
        <v>2</v>
      </c>
      <c r="D137" s="108" t="str">
        <f>IF(C137=1,"I Kwartał",IF(C137=2,"II Kwartały",IF(C137=3,"III Kwartały",IF(C137=4,"IV Kwartały",IF(C137="M1","Styczeń",IF(C137="M11","Listopad",IF(C137="M12","Grudzień","-")))))))</f>
        <v>II Kwartały</v>
      </c>
    </row>
    <row r="138" spans="2:8" x14ac:dyDescent="0.2">
      <c r="B138" s="108" t="s">
        <v>253</v>
      </c>
      <c r="C138" s="146">
        <f>2023</f>
        <v>2023</v>
      </c>
      <c r="D138" s="107"/>
    </row>
    <row r="139" spans="2:8" x14ac:dyDescent="0.2">
      <c r="B139" s="108" t="s">
        <v>254</v>
      </c>
      <c r="C139" s="196" t="str">
        <f>"Aug 14 2023 12:00AM"</f>
        <v>Aug 14 2023 12:00AM</v>
      </c>
      <c r="D139" s="197"/>
    </row>
    <row r="140" spans="2:8" hidden="1" x14ac:dyDescent="0.2">
      <c r="B140" s="108" t="s">
        <v>309</v>
      </c>
      <c r="C140" s="147" t="str">
        <f>""</f>
        <v/>
      </c>
      <c r="D140" s="107"/>
    </row>
  </sheetData>
  <mergeCells count="20">
    <mergeCell ref="C104:D104"/>
    <mergeCell ref="C125:D125"/>
    <mergeCell ref="E104:F104"/>
    <mergeCell ref="J81:K81"/>
    <mergeCell ref="C139:D139"/>
    <mergeCell ref="J3:L3"/>
    <mergeCell ref="C3:I3"/>
    <mergeCell ref="G79:H79"/>
    <mergeCell ref="I93:J93"/>
    <mergeCell ref="D78:D80"/>
    <mergeCell ref="E78:E80"/>
    <mergeCell ref="B2:B3"/>
    <mergeCell ref="C78:C80"/>
    <mergeCell ref="B78:B81"/>
    <mergeCell ref="J78:J80"/>
    <mergeCell ref="K78:K80"/>
    <mergeCell ref="F79:F80"/>
    <mergeCell ref="F78:H78"/>
    <mergeCell ref="I78:I80"/>
    <mergeCell ref="C81:I81"/>
  </mergeCells>
  <phoneticPr fontId="0" type="noConversion"/>
  <pageMargins left="0.19685039370078741" right="0.19685039370078741" top="0.39370078740157483" bottom="0.39370078740157483" header="0.31496062992125984" footer="0.19685039370078741"/>
  <pageSetup paperSize="9" scale="85" fitToWidth="2" fitToHeight="2" orientation="landscape" useFirstPageNumber="1" r:id="rId1"/>
  <headerFooter alignWithMargins="0">
    <oddFooter>&amp;RStrona &amp;P z &amp;N</oddFooter>
  </headerFooter>
  <rowBreaks count="5" manualBreakCount="5">
    <brk id="22" max="16383" man="1"/>
    <brk id="59" max="12" man="1"/>
    <brk id="75" max="16383" man="1"/>
    <brk id="100" max="16383" man="1"/>
    <brk id="1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AA137"/>
  <sheetViews>
    <sheetView zoomScaleNormal="100" workbookViewId="0">
      <selection activeCell="B2" sqref="B2:B3"/>
    </sheetView>
  </sheetViews>
  <sheetFormatPr defaultRowHeight="12.75" x14ac:dyDescent="0.2"/>
  <cols>
    <col min="1" max="1" width="11.42578125" style="43" bestFit="1" customWidth="1"/>
    <col min="2" max="2" width="22.85546875" style="1" customWidth="1"/>
    <col min="3" max="6" width="13.85546875" style="1" customWidth="1"/>
    <col min="7" max="10" width="13.5703125" style="1" customWidth="1"/>
    <col min="11" max="11" width="13.28515625" style="1" bestFit="1" customWidth="1"/>
    <col min="12" max="12" width="7.28515625" style="1" customWidth="1"/>
    <col min="13" max="13" width="8.140625" style="1" customWidth="1"/>
    <col min="14" max="16384" width="9.140625" style="1"/>
  </cols>
  <sheetData>
    <row r="1" spans="1:13" ht="45" customHeight="1" x14ac:dyDescent="0.2">
      <c r="B1" s="242" t="str">
        <f>CONCATENATE("Informacja z wykonania budżetów miast na prawach powiatu za ",definicja!$D$135," ",definicja!$C$136," roku")</f>
        <v>Informacja z wykonania budżetów miast na prawach powiatu za - 2023 roku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</row>
    <row r="2" spans="1:13" ht="66.75" customHeight="1" x14ac:dyDescent="0.2">
      <c r="B2" s="180" t="s">
        <v>0</v>
      </c>
      <c r="C2" s="16" t="s">
        <v>174</v>
      </c>
      <c r="D2" s="16" t="s">
        <v>175</v>
      </c>
      <c r="E2" s="16" t="s">
        <v>176</v>
      </c>
      <c r="F2" s="16" t="s">
        <v>177</v>
      </c>
      <c r="G2" s="16" t="s">
        <v>178</v>
      </c>
      <c r="H2" s="16" t="s">
        <v>179</v>
      </c>
      <c r="I2" s="16" t="s">
        <v>180</v>
      </c>
      <c r="J2" s="17" t="s">
        <v>2</v>
      </c>
      <c r="K2" s="16" t="s">
        <v>65</v>
      </c>
      <c r="L2" s="16" t="s">
        <v>3</v>
      </c>
    </row>
    <row r="3" spans="1:13" x14ac:dyDescent="0.2">
      <c r="B3" s="180"/>
      <c r="C3" s="17" t="s">
        <v>193</v>
      </c>
      <c r="D3" s="17" t="s">
        <v>127</v>
      </c>
      <c r="E3" s="17" t="s">
        <v>194</v>
      </c>
      <c r="F3" s="17" t="s">
        <v>195</v>
      </c>
      <c r="G3" s="17" t="s">
        <v>197</v>
      </c>
      <c r="H3" s="17" t="s">
        <v>198</v>
      </c>
      <c r="I3" s="17" t="s">
        <v>196</v>
      </c>
      <c r="J3" s="195" t="s">
        <v>4</v>
      </c>
      <c r="K3" s="195"/>
      <c r="L3" s="195"/>
    </row>
    <row r="4" spans="1:13" x14ac:dyDescent="0.2">
      <c r="B4" s="17">
        <v>1</v>
      </c>
      <c r="C4" s="19">
        <v>2</v>
      </c>
      <c r="D4" s="19">
        <v>3</v>
      </c>
      <c r="E4" s="17">
        <v>5</v>
      </c>
      <c r="F4" s="19">
        <v>6</v>
      </c>
      <c r="G4" s="17">
        <v>7</v>
      </c>
      <c r="H4" s="19">
        <v>8</v>
      </c>
      <c r="I4" s="17">
        <v>9</v>
      </c>
      <c r="J4" s="19">
        <v>10</v>
      </c>
      <c r="K4" s="17">
        <v>11</v>
      </c>
      <c r="L4" s="19">
        <v>12</v>
      </c>
    </row>
    <row r="5" spans="1:13" ht="25.5" customHeight="1" x14ac:dyDescent="0.2">
      <c r="A5" s="43" t="s">
        <v>10</v>
      </c>
      <c r="B5" s="20" t="s">
        <v>5</v>
      </c>
      <c r="C5" s="256" t="s">
        <v>199</v>
      </c>
      <c r="D5" s="256"/>
      <c r="E5" s="256"/>
      <c r="F5" s="256"/>
      <c r="G5" s="256"/>
      <c r="H5" s="256"/>
      <c r="I5" s="256"/>
      <c r="J5" s="256"/>
      <c r="K5" s="39">
        <v>100</v>
      </c>
      <c r="L5" s="39" t="s">
        <v>103</v>
      </c>
      <c r="M5" s="39"/>
    </row>
    <row r="6" spans="1:13" ht="25.5" customHeight="1" x14ac:dyDescent="0.2">
      <c r="A6" s="43" t="s">
        <v>11</v>
      </c>
      <c r="B6" s="21" t="s">
        <v>241</v>
      </c>
      <c r="C6" s="255" t="s">
        <v>448</v>
      </c>
      <c r="D6" s="255"/>
      <c r="E6" s="255"/>
      <c r="F6" s="255"/>
      <c r="G6" s="255"/>
      <c r="H6" s="255"/>
      <c r="I6" s="255"/>
      <c r="J6" s="255"/>
      <c r="K6" s="40" t="s">
        <v>74</v>
      </c>
      <c r="L6" s="40" t="s">
        <v>103</v>
      </c>
      <c r="M6" s="40">
        <v>100</v>
      </c>
    </row>
    <row r="7" spans="1:13" ht="33" customHeight="1" x14ac:dyDescent="0.2">
      <c r="A7" s="43" t="s">
        <v>12</v>
      </c>
      <c r="B7" s="22" t="s">
        <v>242</v>
      </c>
      <c r="C7" s="243" t="s">
        <v>267</v>
      </c>
      <c r="D7" s="243"/>
      <c r="E7" s="243"/>
      <c r="F7" s="243"/>
      <c r="G7" s="243"/>
      <c r="H7" s="243"/>
      <c r="I7" s="243"/>
      <c r="J7" s="243"/>
      <c r="K7" s="25" t="s">
        <v>75</v>
      </c>
      <c r="L7" s="25" t="s">
        <v>103</v>
      </c>
      <c r="M7" s="25" t="s">
        <v>104</v>
      </c>
    </row>
    <row r="8" spans="1:13" ht="33" customHeight="1" x14ac:dyDescent="0.2">
      <c r="A8" s="43" t="s">
        <v>13</v>
      </c>
      <c r="B8" s="23" t="s">
        <v>243</v>
      </c>
      <c r="C8" s="228" t="s">
        <v>268</v>
      </c>
      <c r="D8" s="228"/>
      <c r="E8" s="228"/>
      <c r="F8" s="228"/>
      <c r="G8" s="228"/>
      <c r="H8" s="228"/>
      <c r="I8" s="228"/>
      <c r="J8" s="228"/>
      <c r="K8" s="24" t="s">
        <v>76</v>
      </c>
      <c r="L8" s="24" t="s">
        <v>103</v>
      </c>
      <c r="M8" s="24" t="s">
        <v>105</v>
      </c>
    </row>
    <row r="9" spans="1:13" ht="33" customHeight="1" x14ac:dyDescent="0.2">
      <c r="A9" s="43" t="s">
        <v>14</v>
      </c>
      <c r="B9" s="42" t="s">
        <v>244</v>
      </c>
      <c r="C9" s="258" t="s">
        <v>269</v>
      </c>
      <c r="D9" s="258"/>
      <c r="E9" s="258"/>
      <c r="F9" s="258"/>
      <c r="G9" s="258"/>
      <c r="H9" s="258"/>
      <c r="I9" s="258"/>
      <c r="J9" s="258"/>
      <c r="K9" s="25" t="s">
        <v>77</v>
      </c>
      <c r="L9" s="25" t="s">
        <v>103</v>
      </c>
      <c r="M9" s="25" t="s">
        <v>106</v>
      </c>
    </row>
    <row r="10" spans="1:13" ht="33" customHeight="1" x14ac:dyDescent="0.2">
      <c r="A10" s="43" t="s">
        <v>15</v>
      </c>
      <c r="B10" s="23" t="s">
        <v>245</v>
      </c>
      <c r="C10" s="228" t="s">
        <v>270</v>
      </c>
      <c r="D10" s="228"/>
      <c r="E10" s="228"/>
      <c r="F10" s="228"/>
      <c r="G10" s="228"/>
      <c r="H10" s="228"/>
      <c r="I10" s="228"/>
      <c r="J10" s="228"/>
      <c r="K10" s="24" t="s">
        <v>78</v>
      </c>
      <c r="L10" s="24" t="s">
        <v>103</v>
      </c>
      <c r="M10" s="24" t="s">
        <v>107</v>
      </c>
    </row>
    <row r="11" spans="1:13" ht="13.5" customHeight="1" x14ac:dyDescent="0.2">
      <c r="A11" s="43" t="s">
        <v>16</v>
      </c>
      <c r="B11" s="22" t="s">
        <v>68</v>
      </c>
      <c r="C11" s="243" t="s">
        <v>271</v>
      </c>
      <c r="D11" s="243"/>
      <c r="E11" s="243"/>
      <c r="F11" s="243"/>
      <c r="G11" s="243"/>
      <c r="H11" s="243"/>
      <c r="I11" s="243"/>
      <c r="J11" s="243"/>
      <c r="K11" s="25" t="s">
        <v>79</v>
      </c>
      <c r="L11" s="25" t="s">
        <v>103</v>
      </c>
      <c r="M11" s="25" t="s">
        <v>108</v>
      </c>
    </row>
    <row r="12" spans="1:13" ht="13.5" customHeight="1" x14ac:dyDescent="0.2">
      <c r="A12" s="43" t="s">
        <v>17</v>
      </c>
      <c r="B12" s="23" t="s">
        <v>69</v>
      </c>
      <c r="C12" s="228" t="s">
        <v>272</v>
      </c>
      <c r="D12" s="228"/>
      <c r="E12" s="228"/>
      <c r="F12" s="228"/>
      <c r="G12" s="228"/>
      <c r="H12" s="228"/>
      <c r="I12" s="228"/>
      <c r="J12" s="228"/>
      <c r="K12" s="24" t="s">
        <v>80</v>
      </c>
      <c r="L12" s="24" t="s">
        <v>103</v>
      </c>
      <c r="M12" s="24" t="s">
        <v>109</v>
      </c>
    </row>
    <row r="13" spans="1:13" ht="13.5" customHeight="1" x14ac:dyDescent="0.2">
      <c r="A13" s="43" t="s">
        <v>18</v>
      </c>
      <c r="B13" s="22" t="s">
        <v>70</v>
      </c>
      <c r="C13" s="243" t="s">
        <v>273</v>
      </c>
      <c r="D13" s="243"/>
      <c r="E13" s="243"/>
      <c r="F13" s="243"/>
      <c r="G13" s="243"/>
      <c r="H13" s="243"/>
      <c r="I13" s="243"/>
      <c r="J13" s="243"/>
      <c r="K13" s="25" t="s">
        <v>81</v>
      </c>
      <c r="L13" s="25" t="s">
        <v>103</v>
      </c>
      <c r="M13" s="25" t="s">
        <v>110</v>
      </c>
    </row>
    <row r="14" spans="1:13" ht="22.5" customHeight="1" x14ac:dyDescent="0.2">
      <c r="A14" s="43" t="s">
        <v>19</v>
      </c>
      <c r="B14" s="23" t="s">
        <v>71</v>
      </c>
      <c r="C14" s="228" t="s">
        <v>274</v>
      </c>
      <c r="D14" s="228"/>
      <c r="E14" s="228"/>
      <c r="F14" s="228"/>
      <c r="G14" s="228"/>
      <c r="H14" s="228"/>
      <c r="I14" s="228"/>
      <c r="J14" s="228"/>
      <c r="K14" s="24" t="s">
        <v>82</v>
      </c>
      <c r="L14" s="24" t="s">
        <v>103</v>
      </c>
      <c r="M14" s="24" t="s">
        <v>111</v>
      </c>
    </row>
    <row r="15" spans="1:13" ht="33" customHeight="1" x14ac:dyDescent="0.2">
      <c r="A15" s="43" t="s">
        <v>20</v>
      </c>
      <c r="B15" s="22" t="s">
        <v>182</v>
      </c>
      <c r="C15" s="243" t="s">
        <v>275</v>
      </c>
      <c r="D15" s="243"/>
      <c r="E15" s="243"/>
      <c r="F15" s="243"/>
      <c r="G15" s="243"/>
      <c r="H15" s="243"/>
      <c r="I15" s="243"/>
      <c r="J15" s="243"/>
      <c r="K15" s="25" t="s">
        <v>83</v>
      </c>
      <c r="L15" s="25" t="s">
        <v>103</v>
      </c>
      <c r="M15" s="25" t="s">
        <v>112</v>
      </c>
    </row>
    <row r="16" spans="1:13" ht="22.5" customHeight="1" x14ac:dyDescent="0.2">
      <c r="A16" s="43" t="s">
        <v>21</v>
      </c>
      <c r="B16" s="23" t="s">
        <v>148</v>
      </c>
      <c r="C16" s="228" t="s">
        <v>276</v>
      </c>
      <c r="D16" s="228"/>
      <c r="E16" s="228"/>
      <c r="F16" s="228"/>
      <c r="G16" s="228"/>
      <c r="H16" s="228"/>
      <c r="I16" s="228"/>
      <c r="J16" s="228"/>
      <c r="K16" s="24" t="s">
        <v>84</v>
      </c>
      <c r="L16" s="24" t="s">
        <v>103</v>
      </c>
      <c r="M16" s="24" t="s">
        <v>113</v>
      </c>
    </row>
    <row r="17" spans="1:13" ht="22.5" customHeight="1" x14ac:dyDescent="0.2">
      <c r="A17" s="43" t="s">
        <v>22</v>
      </c>
      <c r="B17" s="22" t="s">
        <v>149</v>
      </c>
      <c r="C17" s="243" t="s">
        <v>277</v>
      </c>
      <c r="D17" s="243"/>
      <c r="E17" s="243"/>
      <c r="F17" s="243"/>
      <c r="G17" s="243"/>
      <c r="H17" s="243"/>
      <c r="I17" s="243"/>
      <c r="J17" s="243"/>
      <c r="K17" s="25" t="s">
        <v>85</v>
      </c>
      <c r="L17" s="25" t="s">
        <v>103</v>
      </c>
      <c r="M17" s="25" t="s">
        <v>114</v>
      </c>
    </row>
    <row r="18" spans="1:13" ht="13.5" customHeight="1" x14ac:dyDescent="0.2">
      <c r="A18" s="43" t="s">
        <v>23</v>
      </c>
      <c r="B18" s="23" t="s">
        <v>216</v>
      </c>
      <c r="C18" s="228" t="s">
        <v>278</v>
      </c>
      <c r="D18" s="228"/>
      <c r="E18" s="228"/>
      <c r="F18" s="228"/>
      <c r="G18" s="228"/>
      <c r="H18" s="228"/>
      <c r="I18" s="228"/>
      <c r="J18" s="228"/>
      <c r="K18" s="24" t="s">
        <v>86</v>
      </c>
      <c r="L18" s="24" t="s">
        <v>103</v>
      </c>
      <c r="M18" s="24" t="s">
        <v>115</v>
      </c>
    </row>
    <row r="19" spans="1:13" ht="13.5" customHeight="1" x14ac:dyDescent="0.2">
      <c r="A19" s="43" t="s">
        <v>24</v>
      </c>
      <c r="B19" s="22" t="s">
        <v>217</v>
      </c>
      <c r="C19" s="243" t="s">
        <v>279</v>
      </c>
      <c r="D19" s="243"/>
      <c r="E19" s="243"/>
      <c r="F19" s="243"/>
      <c r="G19" s="243"/>
      <c r="H19" s="243"/>
      <c r="I19" s="243"/>
      <c r="J19" s="243"/>
      <c r="K19" s="25" t="s">
        <v>87</v>
      </c>
      <c r="L19" s="25" t="s">
        <v>103</v>
      </c>
      <c r="M19" s="25" t="s">
        <v>116</v>
      </c>
    </row>
    <row r="20" spans="1:13" ht="13.5" customHeight="1" x14ac:dyDescent="0.2">
      <c r="A20" s="43" t="s">
        <v>25</v>
      </c>
      <c r="B20" s="23" t="s">
        <v>218</v>
      </c>
      <c r="C20" s="228" t="s">
        <v>280</v>
      </c>
      <c r="D20" s="228"/>
      <c r="E20" s="228"/>
      <c r="F20" s="228"/>
      <c r="G20" s="228"/>
      <c r="H20" s="228"/>
      <c r="I20" s="228"/>
      <c r="J20" s="228"/>
      <c r="K20" s="24" t="s">
        <v>88</v>
      </c>
      <c r="L20" s="24" t="s">
        <v>103</v>
      </c>
      <c r="M20" s="24" t="s">
        <v>152</v>
      </c>
    </row>
    <row r="21" spans="1:13" ht="13.5" customHeight="1" x14ac:dyDescent="0.2">
      <c r="A21" s="43" t="s">
        <v>26</v>
      </c>
      <c r="B21" s="22" t="s">
        <v>72</v>
      </c>
      <c r="C21" s="243" t="s">
        <v>378</v>
      </c>
      <c r="D21" s="243"/>
      <c r="E21" s="243"/>
      <c r="F21" s="243"/>
      <c r="G21" s="243"/>
      <c r="H21" s="243"/>
      <c r="I21" s="243"/>
      <c r="J21" s="243"/>
      <c r="K21" s="25" t="s">
        <v>89</v>
      </c>
      <c r="L21" s="25" t="s">
        <v>103</v>
      </c>
      <c r="M21" s="25" t="s">
        <v>212</v>
      </c>
    </row>
    <row r="22" spans="1:13" ht="13.5" customHeight="1" x14ac:dyDescent="0.2">
      <c r="A22" s="43" t="s">
        <v>27</v>
      </c>
      <c r="B22" s="23" t="s">
        <v>73</v>
      </c>
      <c r="C22" s="228" t="s">
        <v>328</v>
      </c>
      <c r="D22" s="228"/>
      <c r="E22" s="228"/>
      <c r="F22" s="228"/>
      <c r="G22" s="228"/>
      <c r="H22" s="228"/>
      <c r="I22" s="228"/>
      <c r="J22" s="228"/>
      <c r="K22" s="24" t="s">
        <v>90</v>
      </c>
      <c r="L22" s="24" t="s">
        <v>103</v>
      </c>
      <c r="M22" s="24" t="s">
        <v>213</v>
      </c>
    </row>
    <row r="23" spans="1:13" ht="26.25" customHeight="1" x14ac:dyDescent="0.2">
      <c r="A23" s="43" t="s">
        <v>28</v>
      </c>
      <c r="B23" s="47" t="s">
        <v>304</v>
      </c>
      <c r="C23" s="229" t="s">
        <v>449</v>
      </c>
      <c r="D23" s="229"/>
      <c r="E23" s="229"/>
      <c r="F23" s="54"/>
      <c r="G23" s="55"/>
      <c r="H23" s="55"/>
      <c r="I23" s="55"/>
      <c r="J23" s="56"/>
      <c r="K23" s="33" t="s">
        <v>91</v>
      </c>
      <c r="L23" s="25" t="s">
        <v>103</v>
      </c>
      <c r="M23" s="123"/>
    </row>
    <row r="24" spans="1:13" ht="25.5" customHeight="1" x14ac:dyDescent="0.2">
      <c r="A24" s="43" t="s">
        <v>29</v>
      </c>
      <c r="B24" s="47" t="s">
        <v>246</v>
      </c>
      <c r="C24" s="229" t="s">
        <v>350</v>
      </c>
      <c r="D24" s="229"/>
      <c r="E24" s="229"/>
      <c r="F24" s="34"/>
      <c r="G24" s="51"/>
      <c r="H24" s="51"/>
      <c r="I24" s="51"/>
      <c r="J24" s="36"/>
      <c r="K24" s="26" t="s">
        <v>92</v>
      </c>
      <c r="L24" s="25" t="s">
        <v>103</v>
      </c>
      <c r="M24" s="37"/>
    </row>
    <row r="25" spans="1:13" ht="13.5" customHeight="1" x14ac:dyDescent="0.2">
      <c r="A25" s="43" t="s">
        <v>30</v>
      </c>
      <c r="B25" s="50" t="s">
        <v>219</v>
      </c>
      <c r="C25" s="230" t="s">
        <v>351</v>
      </c>
      <c r="D25" s="230"/>
      <c r="E25" s="230"/>
      <c r="F25" s="34"/>
      <c r="G25" s="46"/>
      <c r="H25" s="46"/>
      <c r="I25" s="46"/>
      <c r="J25" s="36"/>
      <c r="K25" s="33" t="s">
        <v>93</v>
      </c>
      <c r="L25" s="24" t="s">
        <v>103</v>
      </c>
      <c r="M25" s="37"/>
    </row>
    <row r="26" spans="1:13" ht="22.5" customHeight="1" x14ac:dyDescent="0.2">
      <c r="A26" s="43" t="s">
        <v>31</v>
      </c>
      <c r="B26" s="42" t="s">
        <v>450</v>
      </c>
      <c r="C26" s="201" t="s">
        <v>470</v>
      </c>
      <c r="D26" s="201"/>
      <c r="E26" s="201"/>
      <c r="F26" s="34"/>
      <c r="G26" s="46"/>
      <c r="H26" s="46"/>
      <c r="I26" s="46"/>
      <c r="J26" s="36"/>
      <c r="K26" s="24" t="s">
        <v>94</v>
      </c>
      <c r="L26" s="25" t="s">
        <v>103</v>
      </c>
      <c r="M26" s="37"/>
    </row>
    <row r="27" spans="1:13" ht="13.5" customHeight="1" x14ac:dyDescent="0.2">
      <c r="A27" s="43" t="s">
        <v>32</v>
      </c>
      <c r="B27" s="41" t="s">
        <v>6</v>
      </c>
      <c r="C27" s="200" t="s">
        <v>471</v>
      </c>
      <c r="D27" s="200"/>
      <c r="E27" s="200"/>
      <c r="F27" s="34"/>
      <c r="G27" s="46"/>
      <c r="H27" s="46"/>
      <c r="I27" s="46"/>
      <c r="J27" s="36"/>
      <c r="K27" s="25" t="s">
        <v>95</v>
      </c>
      <c r="L27" s="24" t="s">
        <v>103</v>
      </c>
      <c r="M27" s="37"/>
    </row>
    <row r="28" spans="1:13" ht="13.5" customHeight="1" x14ac:dyDescent="0.2">
      <c r="A28" s="43" t="s">
        <v>33</v>
      </c>
      <c r="B28" s="42" t="s">
        <v>451</v>
      </c>
      <c r="C28" s="201" t="s">
        <v>472</v>
      </c>
      <c r="D28" s="201"/>
      <c r="E28" s="201"/>
      <c r="F28" s="34"/>
      <c r="G28" s="46"/>
      <c r="H28" s="46"/>
      <c r="I28" s="46"/>
      <c r="J28" s="36"/>
      <c r="K28" s="25" t="s">
        <v>96</v>
      </c>
      <c r="L28" s="24" t="s">
        <v>103</v>
      </c>
      <c r="M28" s="37"/>
    </row>
    <row r="29" spans="1:13" ht="13.5" customHeight="1" x14ac:dyDescent="0.2">
      <c r="A29" s="43" t="s">
        <v>34</v>
      </c>
      <c r="B29" s="41" t="s">
        <v>6</v>
      </c>
      <c r="C29" s="200" t="s">
        <v>473</v>
      </c>
      <c r="D29" s="200"/>
      <c r="E29" s="200"/>
      <c r="F29" s="34"/>
      <c r="G29" s="46"/>
      <c r="H29" s="46"/>
      <c r="I29" s="46"/>
      <c r="J29" s="36"/>
      <c r="K29" s="25" t="s">
        <v>97</v>
      </c>
      <c r="L29" s="25" t="s">
        <v>103</v>
      </c>
      <c r="M29" s="37"/>
    </row>
    <row r="30" spans="1:13" ht="33" customHeight="1" x14ac:dyDescent="0.2">
      <c r="A30" s="43" t="s">
        <v>35</v>
      </c>
      <c r="B30" s="42" t="s">
        <v>8</v>
      </c>
      <c r="C30" s="201" t="s">
        <v>281</v>
      </c>
      <c r="D30" s="201"/>
      <c r="E30" s="201"/>
      <c r="F30" s="34"/>
      <c r="G30" s="46"/>
      <c r="H30" s="46"/>
      <c r="I30" s="46"/>
      <c r="J30" s="36"/>
      <c r="K30" s="24" t="s">
        <v>98</v>
      </c>
      <c r="L30" s="24" t="s">
        <v>103</v>
      </c>
      <c r="M30" s="37"/>
    </row>
    <row r="31" spans="1:13" ht="13.5" customHeight="1" x14ac:dyDescent="0.2">
      <c r="A31" s="43" t="s">
        <v>36</v>
      </c>
      <c r="B31" s="41" t="s">
        <v>6</v>
      </c>
      <c r="C31" s="200" t="s">
        <v>282</v>
      </c>
      <c r="D31" s="200"/>
      <c r="E31" s="200"/>
      <c r="F31" s="34"/>
      <c r="G31" s="46"/>
      <c r="H31" s="46"/>
      <c r="I31" s="46"/>
      <c r="J31" s="36"/>
      <c r="K31" s="24" t="s">
        <v>99</v>
      </c>
      <c r="L31" s="24" t="s">
        <v>103</v>
      </c>
      <c r="M31" s="37"/>
    </row>
    <row r="32" spans="1:13" ht="13.5" customHeight="1" x14ac:dyDescent="0.2">
      <c r="A32" s="43" t="s">
        <v>37</v>
      </c>
      <c r="B32" s="48" t="s">
        <v>220</v>
      </c>
      <c r="C32" s="229" t="s">
        <v>352</v>
      </c>
      <c r="D32" s="229"/>
      <c r="E32" s="229"/>
      <c r="F32" s="34"/>
      <c r="G32" s="46"/>
      <c r="H32" s="46"/>
      <c r="I32" s="46"/>
      <c r="J32" s="36"/>
      <c r="K32" s="26" t="s">
        <v>100</v>
      </c>
      <c r="L32" s="24" t="s">
        <v>103</v>
      </c>
      <c r="M32" s="37"/>
    </row>
    <row r="33" spans="1:13" ht="22.5" customHeight="1" x14ac:dyDescent="0.2">
      <c r="A33" s="43" t="s">
        <v>66</v>
      </c>
      <c r="B33" s="23" t="s">
        <v>450</v>
      </c>
      <c r="C33" s="200" t="s">
        <v>474</v>
      </c>
      <c r="D33" s="200"/>
      <c r="E33" s="200"/>
      <c r="F33" s="34"/>
      <c r="G33" s="46"/>
      <c r="H33" s="46"/>
      <c r="I33" s="46"/>
      <c r="J33" s="36"/>
      <c r="K33" s="24" t="s">
        <v>101</v>
      </c>
      <c r="L33" s="25" t="s">
        <v>103</v>
      </c>
      <c r="M33" s="37"/>
    </row>
    <row r="34" spans="1:13" ht="13.5" customHeight="1" x14ac:dyDescent="0.2">
      <c r="A34" s="43" t="s">
        <v>67</v>
      </c>
      <c r="B34" s="49" t="s">
        <v>6</v>
      </c>
      <c r="C34" s="201" t="s">
        <v>475</v>
      </c>
      <c r="D34" s="201"/>
      <c r="E34" s="201"/>
      <c r="F34" s="34"/>
      <c r="G34" s="46"/>
      <c r="H34" s="46"/>
      <c r="I34" s="46"/>
      <c r="J34" s="36"/>
      <c r="K34" s="24" t="s">
        <v>102</v>
      </c>
      <c r="L34" s="24" t="s">
        <v>103</v>
      </c>
      <c r="M34" s="37"/>
    </row>
    <row r="35" spans="1:13" ht="13.5" customHeight="1" x14ac:dyDescent="0.2">
      <c r="A35" s="43" t="s">
        <v>150</v>
      </c>
      <c r="B35" s="23" t="s">
        <v>451</v>
      </c>
      <c r="C35" s="200" t="s">
        <v>476</v>
      </c>
      <c r="D35" s="200"/>
      <c r="E35" s="200"/>
      <c r="F35" s="34"/>
      <c r="G35" s="46"/>
      <c r="H35" s="46"/>
      <c r="I35" s="46"/>
      <c r="J35" s="36"/>
      <c r="K35" s="25" t="s">
        <v>151</v>
      </c>
      <c r="L35" s="25" t="s">
        <v>103</v>
      </c>
      <c r="M35" s="37"/>
    </row>
    <row r="36" spans="1:13" ht="13.5" customHeight="1" x14ac:dyDescent="0.2">
      <c r="A36" s="43" t="s">
        <v>154</v>
      </c>
      <c r="B36" s="49" t="s">
        <v>6</v>
      </c>
      <c r="C36" s="201" t="s">
        <v>477</v>
      </c>
      <c r="D36" s="201"/>
      <c r="E36" s="201"/>
      <c r="F36" s="34"/>
      <c r="G36" s="46"/>
      <c r="H36" s="46"/>
      <c r="I36" s="46"/>
      <c r="J36" s="36"/>
      <c r="K36" s="24" t="s">
        <v>156</v>
      </c>
      <c r="L36" s="24" t="s">
        <v>103</v>
      </c>
      <c r="M36" s="37"/>
    </row>
    <row r="37" spans="1:13" ht="33" customHeight="1" x14ac:dyDescent="0.2">
      <c r="A37" s="43" t="s">
        <v>155</v>
      </c>
      <c r="B37" s="23" t="s">
        <v>8</v>
      </c>
      <c r="C37" s="200" t="s">
        <v>283</v>
      </c>
      <c r="D37" s="200"/>
      <c r="E37" s="200"/>
      <c r="F37" s="34"/>
      <c r="G37" s="46"/>
      <c r="H37" s="46"/>
      <c r="I37" s="46"/>
      <c r="J37" s="36"/>
      <c r="K37" s="25" t="s">
        <v>157</v>
      </c>
      <c r="L37" s="25" t="s">
        <v>103</v>
      </c>
      <c r="M37" s="37"/>
    </row>
    <row r="38" spans="1:13" ht="13.5" customHeight="1" x14ac:dyDescent="0.2">
      <c r="A38" s="43" t="s">
        <v>214</v>
      </c>
      <c r="B38" s="49" t="s">
        <v>6</v>
      </c>
      <c r="C38" s="201" t="s">
        <v>284</v>
      </c>
      <c r="D38" s="201"/>
      <c r="E38" s="201"/>
      <c r="F38" s="34"/>
      <c r="G38" s="46"/>
      <c r="H38" s="46"/>
      <c r="I38" s="46"/>
      <c r="J38" s="36"/>
      <c r="K38" s="24" t="s">
        <v>237</v>
      </c>
      <c r="L38" s="24" t="s">
        <v>103</v>
      </c>
      <c r="M38" s="37"/>
    </row>
    <row r="39" spans="1:13" ht="13.5" customHeight="1" x14ac:dyDescent="0.2">
      <c r="A39" s="43" t="s">
        <v>215</v>
      </c>
      <c r="B39" s="50" t="s">
        <v>221</v>
      </c>
      <c r="C39" s="235" t="s">
        <v>469</v>
      </c>
      <c r="D39" s="236"/>
      <c r="E39" s="237"/>
      <c r="F39" s="34"/>
      <c r="G39" s="46"/>
      <c r="H39" s="46"/>
      <c r="I39" s="46"/>
      <c r="J39" s="36"/>
      <c r="K39" s="33" t="s">
        <v>238</v>
      </c>
      <c r="L39" s="25" t="s">
        <v>103</v>
      </c>
      <c r="M39" s="37"/>
    </row>
    <row r="40" spans="1:13" ht="33.75" x14ac:dyDescent="0.2">
      <c r="A40" s="44" t="s">
        <v>455</v>
      </c>
      <c r="B40" s="42" t="s">
        <v>456</v>
      </c>
      <c r="C40" s="257" t="s">
        <v>457</v>
      </c>
      <c r="D40" s="257"/>
      <c r="E40" s="257"/>
      <c r="F40" s="34"/>
      <c r="G40" s="46"/>
      <c r="H40" s="46"/>
      <c r="I40" s="46"/>
      <c r="J40" s="36"/>
      <c r="K40" s="173" t="s">
        <v>465</v>
      </c>
      <c r="L40" s="25" t="s">
        <v>103</v>
      </c>
      <c r="M40" s="37"/>
    </row>
    <row r="41" spans="1:13" ht="13.5" customHeight="1" x14ac:dyDescent="0.2">
      <c r="A41" s="44" t="s">
        <v>458</v>
      </c>
      <c r="B41" s="49" t="s">
        <v>6</v>
      </c>
      <c r="C41" s="201" t="s">
        <v>459</v>
      </c>
      <c r="D41" s="201"/>
      <c r="E41" s="201"/>
      <c r="F41" s="34"/>
      <c r="G41" s="46"/>
      <c r="H41" s="46"/>
      <c r="I41" s="46"/>
      <c r="J41" s="36"/>
      <c r="K41" s="173" t="s">
        <v>466</v>
      </c>
      <c r="L41" s="25" t="s">
        <v>103</v>
      </c>
      <c r="M41" s="37"/>
    </row>
    <row r="42" spans="1:13" ht="33.75" x14ac:dyDescent="0.2">
      <c r="A42" s="44" t="s">
        <v>460</v>
      </c>
      <c r="B42" s="42" t="s">
        <v>461</v>
      </c>
      <c r="C42" s="201" t="s">
        <v>462</v>
      </c>
      <c r="D42" s="201"/>
      <c r="E42" s="201"/>
      <c r="F42" s="34"/>
      <c r="G42" s="46"/>
      <c r="H42" s="46"/>
      <c r="I42" s="46"/>
      <c r="J42" s="36"/>
      <c r="K42" s="173" t="s">
        <v>467</v>
      </c>
      <c r="L42" s="25" t="s">
        <v>103</v>
      </c>
      <c r="M42" s="37"/>
    </row>
    <row r="43" spans="1:13" ht="13.5" customHeight="1" x14ac:dyDescent="0.2">
      <c r="A43" s="44" t="s">
        <v>463</v>
      </c>
      <c r="B43" s="49" t="s">
        <v>6</v>
      </c>
      <c r="C43" s="201" t="s">
        <v>464</v>
      </c>
      <c r="D43" s="201"/>
      <c r="E43" s="201"/>
      <c r="F43" s="34"/>
      <c r="G43" s="46"/>
      <c r="H43" s="46"/>
      <c r="I43" s="46"/>
      <c r="J43" s="36"/>
      <c r="K43" s="173" t="s">
        <v>468</v>
      </c>
      <c r="L43" s="25" t="s">
        <v>103</v>
      </c>
      <c r="M43" s="37"/>
    </row>
    <row r="44" spans="1:13" ht="33" customHeight="1" x14ac:dyDescent="0.2">
      <c r="A44" s="43" t="s">
        <v>224</v>
      </c>
      <c r="B44" s="42" t="s">
        <v>9</v>
      </c>
      <c r="C44" s="201" t="s">
        <v>285</v>
      </c>
      <c r="D44" s="201"/>
      <c r="E44" s="201"/>
      <c r="F44" s="34"/>
      <c r="G44" s="46"/>
      <c r="H44" s="46"/>
      <c r="I44" s="46"/>
      <c r="J44" s="36"/>
      <c r="K44" s="25" t="s">
        <v>239</v>
      </c>
      <c r="L44" s="24" t="s">
        <v>103</v>
      </c>
      <c r="M44" s="37"/>
    </row>
    <row r="45" spans="1:13" ht="13.5" customHeight="1" x14ac:dyDescent="0.2">
      <c r="A45" s="43" t="s">
        <v>225</v>
      </c>
      <c r="B45" s="41" t="s">
        <v>6</v>
      </c>
      <c r="C45" s="200" t="s">
        <v>286</v>
      </c>
      <c r="D45" s="200"/>
      <c r="E45" s="200"/>
      <c r="F45" s="34"/>
      <c r="G45" s="46"/>
      <c r="H45" s="46"/>
      <c r="I45" s="46"/>
      <c r="J45" s="36"/>
      <c r="K45" s="24" t="s">
        <v>332</v>
      </c>
      <c r="L45" s="25" t="s">
        <v>103</v>
      </c>
      <c r="M45" s="37"/>
    </row>
    <row r="46" spans="1:13" ht="45" x14ac:dyDescent="0.2">
      <c r="A46" s="43" t="s">
        <v>230</v>
      </c>
      <c r="B46" s="42" t="s">
        <v>349</v>
      </c>
      <c r="C46" s="201" t="s">
        <v>391</v>
      </c>
      <c r="D46" s="201"/>
      <c r="E46" s="201"/>
      <c r="F46" s="34"/>
      <c r="G46" s="46"/>
      <c r="H46" s="46"/>
      <c r="I46" s="46"/>
      <c r="J46" s="36"/>
      <c r="K46" s="24" t="s">
        <v>337</v>
      </c>
      <c r="L46" s="24" t="s">
        <v>103</v>
      </c>
      <c r="M46" s="37"/>
    </row>
    <row r="47" spans="1:13" x14ac:dyDescent="0.2">
      <c r="A47" s="43" t="s">
        <v>231</v>
      </c>
      <c r="B47" s="41" t="s">
        <v>6</v>
      </c>
      <c r="C47" s="200" t="s">
        <v>329</v>
      </c>
      <c r="D47" s="200"/>
      <c r="E47" s="200"/>
      <c r="F47" s="34"/>
      <c r="G47" s="46"/>
      <c r="H47" s="46"/>
      <c r="I47" s="46"/>
      <c r="J47" s="36"/>
      <c r="K47" s="24" t="s">
        <v>338</v>
      </c>
      <c r="L47" s="24" t="s">
        <v>103</v>
      </c>
      <c r="M47" s="37"/>
    </row>
    <row r="48" spans="1:13" ht="22.5" customHeight="1" x14ac:dyDescent="0.2">
      <c r="A48" s="43" t="s">
        <v>226</v>
      </c>
      <c r="B48" s="42" t="s">
        <v>7</v>
      </c>
      <c r="C48" s="201" t="s">
        <v>287</v>
      </c>
      <c r="D48" s="201"/>
      <c r="E48" s="201"/>
      <c r="F48" s="34"/>
      <c r="G48" s="46"/>
      <c r="H48" s="46"/>
      <c r="I48" s="46"/>
      <c r="J48" s="36"/>
      <c r="K48" s="24" t="s">
        <v>333</v>
      </c>
      <c r="L48" s="24" t="s">
        <v>103</v>
      </c>
      <c r="M48" s="37"/>
    </row>
    <row r="49" spans="1:13" ht="13.5" customHeight="1" x14ac:dyDescent="0.2">
      <c r="A49" s="43" t="s">
        <v>227</v>
      </c>
      <c r="B49" s="41" t="s">
        <v>6</v>
      </c>
      <c r="C49" s="200" t="s">
        <v>288</v>
      </c>
      <c r="D49" s="200"/>
      <c r="E49" s="200"/>
      <c r="F49" s="34"/>
      <c r="G49" s="46"/>
      <c r="H49" s="46"/>
      <c r="I49" s="46"/>
      <c r="J49" s="36"/>
      <c r="K49" s="25" t="s">
        <v>334</v>
      </c>
      <c r="L49" s="25" t="s">
        <v>103</v>
      </c>
      <c r="M49" s="37"/>
    </row>
    <row r="50" spans="1:13" ht="78.75" x14ac:dyDescent="0.2">
      <c r="A50" s="43" t="s">
        <v>228</v>
      </c>
      <c r="B50" s="42" t="s">
        <v>402</v>
      </c>
      <c r="C50" s="224" t="s">
        <v>403</v>
      </c>
      <c r="D50" s="225"/>
      <c r="E50" s="226"/>
      <c r="F50" s="34"/>
      <c r="G50" s="46"/>
      <c r="H50" s="46"/>
      <c r="I50" s="46"/>
      <c r="J50" s="36"/>
      <c r="K50" s="24" t="s">
        <v>335</v>
      </c>
      <c r="L50" s="24" t="s">
        <v>103</v>
      </c>
      <c r="M50" s="37"/>
    </row>
    <row r="51" spans="1:13" ht="13.5" customHeight="1" x14ac:dyDescent="0.2">
      <c r="A51" s="43" t="s">
        <v>229</v>
      </c>
      <c r="B51" s="41" t="s">
        <v>399</v>
      </c>
      <c r="C51" s="224" t="s">
        <v>404</v>
      </c>
      <c r="D51" s="225"/>
      <c r="E51" s="226"/>
      <c r="F51" s="34"/>
      <c r="G51" s="46"/>
      <c r="H51" s="46"/>
      <c r="I51" s="46"/>
      <c r="J51" s="36"/>
      <c r="K51" s="24" t="s">
        <v>336</v>
      </c>
      <c r="L51" s="24" t="s">
        <v>103</v>
      </c>
      <c r="M51" s="37"/>
    </row>
    <row r="52" spans="1:13" ht="56.25" x14ac:dyDescent="0.2">
      <c r="A52" s="43" t="s">
        <v>232</v>
      </c>
      <c r="B52" s="42" t="s">
        <v>398</v>
      </c>
      <c r="C52" s="200" t="s">
        <v>428</v>
      </c>
      <c r="D52" s="200"/>
      <c r="E52" s="200"/>
      <c r="F52" s="34"/>
      <c r="G52" s="46"/>
      <c r="H52" s="46"/>
      <c r="I52" s="46"/>
      <c r="J52" s="36"/>
      <c r="K52" s="24" t="s">
        <v>339</v>
      </c>
      <c r="L52" s="24" t="s">
        <v>103</v>
      </c>
      <c r="M52" s="37"/>
    </row>
    <row r="53" spans="1:13" x14ac:dyDescent="0.2">
      <c r="A53" s="43" t="s">
        <v>233</v>
      </c>
      <c r="B53" s="41" t="s">
        <v>399</v>
      </c>
      <c r="C53" s="200" t="s">
        <v>429</v>
      </c>
      <c r="D53" s="200"/>
      <c r="E53" s="200"/>
      <c r="F53" s="34"/>
      <c r="G53" s="46"/>
      <c r="H53" s="46"/>
      <c r="I53" s="46"/>
      <c r="J53" s="36"/>
      <c r="K53" s="24" t="s">
        <v>340</v>
      </c>
      <c r="L53" s="24" t="s">
        <v>103</v>
      </c>
      <c r="M53" s="37"/>
    </row>
    <row r="54" spans="1:13" ht="32.25" customHeight="1" x14ac:dyDescent="0.2">
      <c r="A54" s="165" t="s">
        <v>430</v>
      </c>
      <c r="B54" s="42" t="s">
        <v>452</v>
      </c>
      <c r="C54" s="205" t="s">
        <v>432</v>
      </c>
      <c r="D54" s="205"/>
      <c r="E54" s="205"/>
      <c r="F54" s="34"/>
      <c r="G54" s="46"/>
      <c r="H54" s="46"/>
      <c r="I54" s="46"/>
      <c r="J54" s="36"/>
      <c r="K54" s="24" t="s">
        <v>436</v>
      </c>
      <c r="L54" s="24" t="s">
        <v>434</v>
      </c>
      <c r="M54" s="37"/>
    </row>
    <row r="55" spans="1:13" x14ac:dyDescent="0.2">
      <c r="A55" s="165" t="s">
        <v>431</v>
      </c>
      <c r="B55" s="41" t="s">
        <v>6</v>
      </c>
      <c r="C55" s="205" t="s">
        <v>433</v>
      </c>
      <c r="D55" s="205"/>
      <c r="E55" s="205"/>
      <c r="F55" s="34"/>
      <c r="G55" s="46"/>
      <c r="H55" s="46"/>
      <c r="I55" s="46"/>
      <c r="J55" s="36"/>
      <c r="K55" s="24" t="s">
        <v>437</v>
      </c>
      <c r="L55" s="24" t="s">
        <v>435</v>
      </c>
      <c r="M55" s="37"/>
    </row>
    <row r="56" spans="1:13" ht="13.5" customHeight="1" x14ac:dyDescent="0.2">
      <c r="A56" s="43" t="s">
        <v>234</v>
      </c>
      <c r="B56" s="47" t="s">
        <v>307</v>
      </c>
      <c r="C56" s="201" t="s">
        <v>300</v>
      </c>
      <c r="D56" s="201"/>
      <c r="E56" s="201"/>
      <c r="F56" s="34"/>
      <c r="G56" s="46"/>
      <c r="H56" s="46"/>
      <c r="I56" s="46"/>
      <c r="J56" s="36"/>
      <c r="K56" s="26" t="s">
        <v>341</v>
      </c>
      <c r="L56" s="24" t="s">
        <v>103</v>
      </c>
      <c r="M56" s="37"/>
    </row>
    <row r="57" spans="1:13" ht="13.5" customHeight="1" x14ac:dyDescent="0.2">
      <c r="A57" s="43" t="s">
        <v>235</v>
      </c>
      <c r="B57" s="49" t="s">
        <v>308</v>
      </c>
      <c r="C57" s="201" t="s">
        <v>301</v>
      </c>
      <c r="D57" s="201"/>
      <c r="E57" s="201"/>
      <c r="F57" s="34"/>
      <c r="G57" s="46"/>
      <c r="H57" s="46"/>
      <c r="I57" s="46"/>
      <c r="J57" s="36"/>
      <c r="K57" s="24" t="s">
        <v>342</v>
      </c>
      <c r="L57" s="24" t="s">
        <v>103</v>
      </c>
      <c r="M57" s="37"/>
    </row>
    <row r="58" spans="1:13" ht="13.5" customHeight="1" x14ac:dyDescent="0.2">
      <c r="A58" s="43" t="s">
        <v>236</v>
      </c>
      <c r="B58" s="47" t="s">
        <v>374</v>
      </c>
      <c r="C58" s="201" t="s">
        <v>375</v>
      </c>
      <c r="D58" s="201"/>
      <c r="E58" s="201"/>
      <c r="F58" s="34"/>
      <c r="G58" s="46"/>
      <c r="H58" s="46"/>
      <c r="I58" s="46"/>
      <c r="J58" s="36"/>
      <c r="K58" s="26" t="s">
        <v>343</v>
      </c>
      <c r="L58" s="25" t="s">
        <v>103</v>
      </c>
      <c r="M58" s="37"/>
    </row>
    <row r="59" spans="1:13" ht="13.5" customHeight="1" x14ac:dyDescent="0.2">
      <c r="A59" s="43" t="s">
        <v>302</v>
      </c>
      <c r="B59" s="49" t="s">
        <v>308</v>
      </c>
      <c r="C59" s="201" t="s">
        <v>376</v>
      </c>
      <c r="D59" s="201"/>
      <c r="E59" s="201"/>
      <c r="F59" s="34"/>
      <c r="G59" s="46"/>
      <c r="H59" s="46"/>
      <c r="I59" s="46"/>
      <c r="J59" s="36"/>
      <c r="K59" s="24" t="s">
        <v>344</v>
      </c>
      <c r="L59" s="24" t="s">
        <v>103</v>
      </c>
      <c r="M59" s="37"/>
    </row>
    <row r="60" spans="1:13" s="5" customFormat="1" ht="25.5" customHeight="1" x14ac:dyDescent="0.2">
      <c r="A60" s="43" t="s">
        <v>303</v>
      </c>
      <c r="B60" s="47" t="s">
        <v>247</v>
      </c>
      <c r="C60" s="229" t="s">
        <v>422</v>
      </c>
      <c r="D60" s="229"/>
      <c r="E60" s="229"/>
      <c r="F60" s="34"/>
      <c r="G60" s="46"/>
      <c r="H60" s="46"/>
      <c r="I60" s="46"/>
      <c r="J60" s="36"/>
      <c r="K60" s="26" t="s">
        <v>345</v>
      </c>
      <c r="L60" s="25" t="s">
        <v>103</v>
      </c>
      <c r="M60" s="38"/>
    </row>
    <row r="61" spans="1:13" ht="25.5" customHeight="1" x14ac:dyDescent="0.2">
      <c r="A61" s="43" t="s">
        <v>305</v>
      </c>
      <c r="B61" s="23" t="s">
        <v>185</v>
      </c>
      <c r="C61" s="231" t="s">
        <v>289</v>
      </c>
      <c r="D61" s="232"/>
      <c r="E61" s="233"/>
      <c r="F61" s="34"/>
      <c r="G61" s="35"/>
      <c r="H61" s="35"/>
      <c r="I61" s="35"/>
      <c r="J61" s="36"/>
      <c r="K61" s="24" t="s">
        <v>346</v>
      </c>
      <c r="L61" s="24" t="s">
        <v>103</v>
      </c>
      <c r="M61" s="37"/>
    </row>
    <row r="62" spans="1:13" s="5" customFormat="1" ht="22.5" customHeight="1" x14ac:dyDescent="0.2">
      <c r="A62" s="43" t="s">
        <v>330</v>
      </c>
      <c r="B62" s="42" t="s">
        <v>181</v>
      </c>
      <c r="C62" s="231" t="s">
        <v>438</v>
      </c>
      <c r="D62" s="232"/>
      <c r="E62" s="233"/>
      <c r="F62" s="34"/>
      <c r="G62" s="35"/>
      <c r="H62" s="35"/>
      <c r="I62" s="35"/>
      <c r="J62" s="36"/>
      <c r="K62" s="24" t="s">
        <v>347</v>
      </c>
      <c r="L62" s="25" t="s">
        <v>103</v>
      </c>
      <c r="M62" s="38"/>
    </row>
    <row r="63" spans="1:13" s="5" customFormat="1" ht="25.5" customHeight="1" x14ac:dyDescent="0.2">
      <c r="A63" s="43" t="s">
        <v>331</v>
      </c>
      <c r="B63" s="21" t="s">
        <v>222</v>
      </c>
      <c r="C63" s="235" t="s">
        <v>421</v>
      </c>
      <c r="D63" s="236"/>
      <c r="E63" s="237"/>
      <c r="F63" s="34"/>
      <c r="G63" s="35"/>
      <c r="H63" s="35"/>
      <c r="I63" s="35"/>
      <c r="J63" s="36"/>
      <c r="K63" s="26" t="s">
        <v>348</v>
      </c>
      <c r="L63" s="25" t="s">
        <v>103</v>
      </c>
      <c r="M63" s="38"/>
    </row>
    <row r="64" spans="1:13" ht="22.5" customHeight="1" x14ac:dyDescent="0.2">
      <c r="A64" s="43" t="s">
        <v>370</v>
      </c>
      <c r="B64" s="42" t="s">
        <v>186</v>
      </c>
      <c r="C64" s="202" t="s">
        <v>290</v>
      </c>
      <c r="D64" s="203"/>
      <c r="E64" s="204"/>
      <c r="F64" s="34"/>
      <c r="G64" s="35"/>
      <c r="H64" s="35"/>
      <c r="I64" s="35"/>
      <c r="J64" s="36"/>
      <c r="K64" s="24" t="s">
        <v>372</v>
      </c>
      <c r="L64" s="25" t="s">
        <v>103</v>
      </c>
      <c r="M64" s="37"/>
    </row>
    <row r="65" spans="1:27" ht="22.5" customHeight="1" x14ac:dyDescent="0.2">
      <c r="A65" s="43" t="s">
        <v>371</v>
      </c>
      <c r="B65" s="42" t="s">
        <v>184</v>
      </c>
      <c r="C65" s="202" t="s">
        <v>291</v>
      </c>
      <c r="D65" s="203"/>
      <c r="E65" s="204"/>
      <c r="F65" s="34"/>
      <c r="G65" s="35"/>
      <c r="H65" s="35"/>
      <c r="I65" s="35"/>
      <c r="J65" s="36"/>
      <c r="K65" s="24" t="s">
        <v>373</v>
      </c>
      <c r="L65" s="24" t="s">
        <v>103</v>
      </c>
      <c r="M65" s="37"/>
    </row>
    <row r="66" spans="1:27" ht="22.5" customHeight="1" x14ac:dyDescent="0.2">
      <c r="A66" s="43" t="s">
        <v>400</v>
      </c>
      <c r="B66" s="42" t="s">
        <v>183</v>
      </c>
      <c r="C66" s="202" t="s">
        <v>292</v>
      </c>
      <c r="D66" s="203"/>
      <c r="E66" s="204"/>
      <c r="F66" s="34"/>
      <c r="G66" s="35"/>
      <c r="H66" s="35"/>
      <c r="I66" s="35"/>
      <c r="J66" s="36"/>
      <c r="K66" s="24" t="s">
        <v>414</v>
      </c>
      <c r="L66" s="25" t="s">
        <v>103</v>
      </c>
      <c r="M66" s="37"/>
    </row>
    <row r="67" spans="1:27" s="5" customFormat="1" ht="25.5" customHeight="1" x14ac:dyDescent="0.2">
      <c r="A67" s="43" t="s">
        <v>401</v>
      </c>
      <c r="B67" s="21" t="s">
        <v>223</v>
      </c>
      <c r="C67" s="235" t="s">
        <v>420</v>
      </c>
      <c r="D67" s="236"/>
      <c r="E67" s="237"/>
      <c r="F67" s="34"/>
      <c r="G67" s="35"/>
      <c r="H67" s="35"/>
      <c r="I67" s="35"/>
      <c r="J67" s="36"/>
      <c r="K67" s="26" t="s">
        <v>415</v>
      </c>
      <c r="L67" s="25" t="s">
        <v>103</v>
      </c>
      <c r="M67" s="38"/>
    </row>
    <row r="68" spans="1:27" ht="22.5" customHeight="1" x14ac:dyDescent="0.2">
      <c r="A68" s="43" t="s">
        <v>418</v>
      </c>
      <c r="B68" s="42" t="s">
        <v>183</v>
      </c>
      <c r="C68" s="202" t="s">
        <v>293</v>
      </c>
      <c r="D68" s="203"/>
      <c r="E68" s="204"/>
      <c r="F68" s="34"/>
      <c r="G68" s="35"/>
      <c r="H68" s="35"/>
      <c r="I68" s="35"/>
      <c r="J68" s="36"/>
      <c r="K68" s="24" t="s">
        <v>416</v>
      </c>
      <c r="L68" s="25" t="s">
        <v>103</v>
      </c>
      <c r="M68" s="37"/>
    </row>
    <row r="69" spans="1:27" ht="22.5" customHeight="1" x14ac:dyDescent="0.2">
      <c r="A69" s="43" t="s">
        <v>419</v>
      </c>
      <c r="B69" s="42" t="s">
        <v>186</v>
      </c>
      <c r="C69" s="202" t="s">
        <v>294</v>
      </c>
      <c r="D69" s="203"/>
      <c r="E69" s="204"/>
      <c r="F69" s="34"/>
      <c r="G69" s="35"/>
      <c r="H69" s="35"/>
      <c r="I69" s="35"/>
      <c r="J69" s="36"/>
      <c r="K69" s="24" t="s">
        <v>417</v>
      </c>
      <c r="L69" s="25" t="s">
        <v>103</v>
      </c>
      <c r="M69" s="37"/>
    </row>
    <row r="70" spans="1:27" ht="13.5" customHeight="1" x14ac:dyDescent="0.2">
      <c r="B70" s="58"/>
      <c r="C70" s="59"/>
      <c r="D70" s="59"/>
      <c r="E70" s="59"/>
      <c r="F70" s="35"/>
      <c r="G70" s="35"/>
      <c r="H70" s="35"/>
      <c r="I70" s="35"/>
      <c r="J70" s="35"/>
      <c r="K70" s="57"/>
      <c r="L70" s="57"/>
      <c r="M70" s="37"/>
    </row>
    <row r="71" spans="1:27" ht="13.5" customHeight="1" x14ac:dyDescent="0.2">
      <c r="A71" s="43" t="s">
        <v>10</v>
      </c>
      <c r="B71" s="23" t="s">
        <v>5</v>
      </c>
      <c r="C71" s="234" t="s">
        <v>312</v>
      </c>
      <c r="D71" s="234"/>
      <c r="E71" s="234"/>
      <c r="F71" s="234"/>
      <c r="G71" s="234"/>
      <c r="H71" s="234"/>
      <c r="I71" s="234"/>
      <c r="J71" s="234"/>
      <c r="K71" s="39">
        <v>100</v>
      </c>
      <c r="L71" s="39" t="s">
        <v>103</v>
      </c>
      <c r="M71" s="37"/>
    </row>
    <row r="72" spans="1:27" ht="40.5" customHeight="1" x14ac:dyDescent="0.2">
      <c r="A72" s="43" t="s">
        <v>313</v>
      </c>
      <c r="B72" s="23" t="s">
        <v>310</v>
      </c>
      <c r="C72" s="238" t="s">
        <v>439</v>
      </c>
      <c r="D72" s="239"/>
      <c r="E72" s="239"/>
      <c r="F72" s="239"/>
      <c r="G72" s="239"/>
      <c r="H72" s="239"/>
      <c r="I72" s="239"/>
      <c r="J72" s="240"/>
      <c r="K72" s="26" t="s">
        <v>325</v>
      </c>
      <c r="L72" s="39" t="s">
        <v>103</v>
      </c>
      <c r="M72" s="37"/>
    </row>
    <row r="73" spans="1:27" s="5" customFormat="1" ht="13.5" customHeight="1" x14ac:dyDescent="0.2">
      <c r="A73" s="45" t="s">
        <v>314</v>
      </c>
      <c r="B73" s="42" t="s">
        <v>311</v>
      </c>
      <c r="C73" s="234" t="s">
        <v>315</v>
      </c>
      <c r="D73" s="234"/>
      <c r="E73" s="234"/>
      <c r="F73" s="234"/>
      <c r="G73" s="234"/>
      <c r="H73" s="234"/>
      <c r="I73" s="234"/>
      <c r="J73" s="234"/>
      <c r="K73" s="26" t="s">
        <v>326</v>
      </c>
      <c r="L73" s="39" t="s">
        <v>103</v>
      </c>
      <c r="M73" s="3"/>
    </row>
    <row r="74" spans="1:27" s="5" customFormat="1" ht="13.5" customHeight="1" x14ac:dyDescent="0.2">
      <c r="A74" s="45"/>
      <c r="B74" s="171" t="s">
        <v>454</v>
      </c>
      <c r="C74" s="168"/>
      <c r="D74" s="168"/>
      <c r="E74" s="168"/>
      <c r="F74" s="168"/>
      <c r="G74" s="168"/>
      <c r="H74" s="168"/>
      <c r="I74" s="168"/>
      <c r="J74" s="168"/>
      <c r="K74" s="169"/>
      <c r="L74" s="170"/>
      <c r="M74" s="3"/>
    </row>
    <row r="75" spans="1:27" s="5" customFormat="1" ht="13.5" customHeight="1" x14ac:dyDescent="0.2">
      <c r="A75" s="45"/>
      <c r="B75" s="171" t="s">
        <v>453</v>
      </c>
      <c r="C75" s="168"/>
      <c r="D75" s="168"/>
      <c r="E75" s="168"/>
      <c r="F75" s="168"/>
      <c r="G75" s="168"/>
      <c r="H75" s="168"/>
      <c r="I75" s="168"/>
      <c r="J75" s="168"/>
      <c r="K75" s="169"/>
      <c r="L75" s="170"/>
      <c r="M75" s="3"/>
    </row>
    <row r="76" spans="1:27" ht="49.5" customHeight="1" x14ac:dyDescent="0.2">
      <c r="B76" s="242" t="str">
        <f>CONCATENATE("Informacja z wykonania budżetów miast na prawach powiatu za ",definicja!$D$135," ",definicja!$C$136," roku")</f>
        <v>Informacja z wykonania budżetów miast na prawach powiatu za - 2023 roku</v>
      </c>
      <c r="C76" s="242"/>
      <c r="D76" s="242"/>
      <c r="E76" s="242"/>
      <c r="F76" s="242"/>
      <c r="G76" s="242"/>
      <c r="H76" s="242"/>
      <c r="I76" s="242"/>
      <c r="J76" s="242"/>
      <c r="K76" s="242"/>
      <c r="L76" s="242"/>
      <c r="M76" s="242"/>
    </row>
    <row r="77" spans="1:27" s="5" customFormat="1" ht="13.5" customHeight="1" x14ac:dyDescent="0.2">
      <c r="A77" s="44"/>
      <c r="B77" s="6"/>
      <c r="C77" s="7"/>
      <c r="D77" s="8"/>
      <c r="E77" s="8"/>
      <c r="F77" s="4"/>
      <c r="G77" s="4"/>
      <c r="H77" s="4"/>
      <c r="I77" s="4"/>
      <c r="J77" s="4"/>
      <c r="K77" s="9"/>
      <c r="L77" s="9"/>
      <c r="M77" s="3"/>
    </row>
    <row r="78" spans="1:27" ht="29.25" customHeight="1" x14ac:dyDescent="0.2">
      <c r="B78" s="180" t="s">
        <v>0</v>
      </c>
      <c r="C78" s="178" t="s">
        <v>208</v>
      </c>
      <c r="D78" s="178" t="s">
        <v>210</v>
      </c>
      <c r="E78" s="178" t="s">
        <v>209</v>
      </c>
      <c r="F78" s="178" t="s">
        <v>38</v>
      </c>
      <c r="G78" s="178"/>
      <c r="H78" s="178"/>
      <c r="I78" s="178" t="s">
        <v>377</v>
      </c>
      <c r="J78" s="178"/>
      <c r="K78" s="178" t="s">
        <v>2</v>
      </c>
      <c r="L78" s="182" t="s">
        <v>65</v>
      </c>
      <c r="N78" s="10"/>
      <c r="O78" s="1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</row>
    <row r="79" spans="1:27" ht="18" customHeight="1" x14ac:dyDescent="0.2">
      <c r="B79" s="180"/>
      <c r="C79" s="178"/>
      <c r="D79" s="178"/>
      <c r="E79" s="179"/>
      <c r="F79" s="183" t="s">
        <v>211</v>
      </c>
      <c r="G79" s="198" t="s">
        <v>173</v>
      </c>
      <c r="H79" s="179"/>
      <c r="I79" s="178"/>
      <c r="J79" s="178"/>
      <c r="K79" s="178"/>
      <c r="L79" s="182"/>
      <c r="M79" s="11"/>
      <c r="N79" s="12"/>
      <c r="O79" s="111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</row>
    <row r="80" spans="1:27" ht="36" customHeight="1" x14ac:dyDescent="0.2">
      <c r="B80" s="180"/>
      <c r="C80" s="178"/>
      <c r="D80" s="178"/>
      <c r="E80" s="179"/>
      <c r="F80" s="179"/>
      <c r="G80" s="18" t="s">
        <v>190</v>
      </c>
      <c r="H80" s="18" t="s">
        <v>191</v>
      </c>
      <c r="I80" s="178"/>
      <c r="J80" s="178"/>
      <c r="K80" s="178"/>
      <c r="L80" s="182"/>
      <c r="M80" s="11"/>
      <c r="N80" s="10"/>
      <c r="O80" s="111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</row>
    <row r="81" spans="1:27" ht="13.5" customHeight="1" x14ac:dyDescent="0.2">
      <c r="B81" s="180"/>
      <c r="C81" s="17" t="s">
        <v>193</v>
      </c>
      <c r="D81" s="17" t="s">
        <v>201</v>
      </c>
      <c r="E81" s="17" t="s">
        <v>200</v>
      </c>
      <c r="F81" s="17" t="s">
        <v>202</v>
      </c>
      <c r="G81" s="17" t="s">
        <v>203</v>
      </c>
      <c r="H81" s="17" t="s">
        <v>204</v>
      </c>
      <c r="I81" s="187" t="s">
        <v>205</v>
      </c>
      <c r="J81" s="189"/>
      <c r="K81" s="195" t="s">
        <v>4</v>
      </c>
      <c r="L81" s="195"/>
      <c r="O81" s="122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</row>
    <row r="82" spans="1:27" ht="11.25" customHeight="1" x14ac:dyDescent="0.2">
      <c r="B82" s="17">
        <v>1</v>
      </c>
      <c r="C82" s="19">
        <v>2</v>
      </c>
      <c r="D82" s="19">
        <v>3</v>
      </c>
      <c r="E82" s="19">
        <v>4</v>
      </c>
      <c r="F82" s="17">
        <v>5</v>
      </c>
      <c r="G82" s="17">
        <v>6</v>
      </c>
      <c r="H82" s="19">
        <v>7</v>
      </c>
      <c r="I82" s="179">
        <v>8</v>
      </c>
      <c r="J82" s="179"/>
      <c r="K82" s="17">
        <v>9</v>
      </c>
      <c r="L82" s="19">
        <v>10</v>
      </c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</row>
    <row r="83" spans="1:27" ht="25.5" customHeight="1" x14ac:dyDescent="0.2">
      <c r="A83" s="43" t="s">
        <v>41</v>
      </c>
      <c r="B83" s="20" t="s">
        <v>248</v>
      </c>
      <c r="C83" s="219" t="s">
        <v>192</v>
      </c>
      <c r="D83" s="219"/>
      <c r="E83" s="219"/>
      <c r="F83" s="219"/>
      <c r="G83" s="219"/>
      <c r="H83" s="219"/>
      <c r="I83" s="219"/>
      <c r="J83" s="219"/>
      <c r="K83" s="28">
        <v>100</v>
      </c>
      <c r="L83" s="28" t="s">
        <v>103</v>
      </c>
    </row>
    <row r="84" spans="1:27" ht="47.25" customHeight="1" x14ac:dyDescent="0.2">
      <c r="A84" s="43" t="s">
        <v>42</v>
      </c>
      <c r="B84" s="21" t="s">
        <v>40</v>
      </c>
      <c r="C84" s="218" t="s">
        <v>440</v>
      </c>
      <c r="D84" s="218"/>
      <c r="E84" s="218"/>
      <c r="F84" s="218"/>
      <c r="G84" s="218"/>
      <c r="H84" s="218"/>
      <c r="I84" s="218"/>
      <c r="J84" s="218"/>
      <c r="K84" s="29" t="s">
        <v>117</v>
      </c>
      <c r="L84" s="29" t="s">
        <v>103</v>
      </c>
    </row>
    <row r="85" spans="1:27" ht="22.5" customHeight="1" x14ac:dyDescent="0.2">
      <c r="A85" s="43" t="s">
        <v>43</v>
      </c>
      <c r="B85" s="22" t="s">
        <v>39</v>
      </c>
      <c r="C85" s="261" t="s">
        <v>441</v>
      </c>
      <c r="D85" s="261"/>
      <c r="E85" s="261"/>
      <c r="F85" s="261"/>
      <c r="G85" s="261"/>
      <c r="H85" s="261"/>
      <c r="I85" s="261"/>
      <c r="J85" s="261"/>
      <c r="K85" s="30" t="s">
        <v>118</v>
      </c>
      <c r="L85" s="30" t="s">
        <v>103</v>
      </c>
    </row>
    <row r="86" spans="1:27" ht="25.5" customHeight="1" x14ac:dyDescent="0.2">
      <c r="A86" s="43" t="s">
        <v>44</v>
      </c>
      <c r="B86" s="21" t="s">
        <v>249</v>
      </c>
      <c r="C86" s="218" t="s">
        <v>128</v>
      </c>
      <c r="D86" s="218"/>
      <c r="E86" s="218"/>
      <c r="F86" s="218"/>
      <c r="G86" s="218"/>
      <c r="H86" s="218"/>
      <c r="I86" s="218"/>
      <c r="J86" s="218"/>
      <c r="K86" s="29" t="s">
        <v>119</v>
      </c>
      <c r="L86" s="29" t="s">
        <v>103</v>
      </c>
    </row>
    <row r="87" spans="1:27" ht="27" customHeight="1" x14ac:dyDescent="0.2">
      <c r="A87" s="43" t="s">
        <v>45</v>
      </c>
      <c r="B87" s="22" t="s">
        <v>413</v>
      </c>
      <c r="C87" s="243" t="s">
        <v>442</v>
      </c>
      <c r="D87" s="243"/>
      <c r="E87" s="243"/>
      <c r="F87" s="243"/>
      <c r="G87" s="243"/>
      <c r="H87" s="243"/>
      <c r="I87" s="243"/>
      <c r="J87" s="243"/>
      <c r="K87" s="30" t="s">
        <v>120</v>
      </c>
      <c r="L87" s="30" t="s">
        <v>103</v>
      </c>
    </row>
    <row r="88" spans="1:27" ht="36.75" customHeight="1" x14ac:dyDescent="0.2">
      <c r="A88" s="43" t="s">
        <v>46</v>
      </c>
      <c r="B88" s="23" t="s">
        <v>189</v>
      </c>
      <c r="C88" s="248" t="s">
        <v>443</v>
      </c>
      <c r="D88" s="248"/>
      <c r="E88" s="248"/>
      <c r="F88" s="248"/>
      <c r="G88" s="248"/>
      <c r="H88" s="248"/>
      <c r="I88" s="248"/>
      <c r="J88" s="248"/>
      <c r="K88" s="31" t="s">
        <v>121</v>
      </c>
      <c r="L88" s="31" t="s">
        <v>103</v>
      </c>
      <c r="N88" s="72"/>
    </row>
    <row r="89" spans="1:27" ht="13.5" customHeight="1" x14ac:dyDescent="0.2">
      <c r="A89" s="43" t="s">
        <v>47</v>
      </c>
      <c r="B89" s="22" t="s">
        <v>188</v>
      </c>
      <c r="C89" s="243" t="s">
        <v>395</v>
      </c>
      <c r="D89" s="243"/>
      <c r="E89" s="243"/>
      <c r="F89" s="243"/>
      <c r="G89" s="243"/>
      <c r="H89" s="243"/>
      <c r="I89" s="243"/>
      <c r="J89" s="243"/>
      <c r="K89" s="30" t="s">
        <v>122</v>
      </c>
      <c r="L89" s="30" t="s">
        <v>103</v>
      </c>
    </row>
    <row r="90" spans="1:27" ht="22.5" customHeight="1" x14ac:dyDescent="0.2">
      <c r="A90" s="43" t="s">
        <v>48</v>
      </c>
      <c r="B90" s="23" t="s">
        <v>295</v>
      </c>
      <c r="C90" s="248" t="s">
        <v>392</v>
      </c>
      <c r="D90" s="248"/>
      <c r="E90" s="248"/>
      <c r="F90" s="248"/>
      <c r="G90" s="248"/>
      <c r="H90" s="248"/>
      <c r="I90" s="248"/>
      <c r="J90" s="248"/>
      <c r="K90" s="31" t="s">
        <v>123</v>
      </c>
      <c r="L90" s="31" t="s">
        <v>103</v>
      </c>
    </row>
    <row r="91" spans="1:27" ht="22.5" customHeight="1" x14ac:dyDescent="0.2">
      <c r="A91" s="43" t="s">
        <v>49</v>
      </c>
      <c r="B91" s="23" t="s">
        <v>306</v>
      </c>
      <c r="C91" s="249" t="s">
        <v>444</v>
      </c>
      <c r="D91" s="250"/>
      <c r="E91" s="250"/>
      <c r="F91" s="250"/>
      <c r="G91" s="250"/>
      <c r="H91" s="250"/>
      <c r="I91" s="250"/>
      <c r="J91" s="251"/>
      <c r="K91" s="31" t="s">
        <v>124</v>
      </c>
      <c r="L91" s="31" t="s">
        <v>103</v>
      </c>
    </row>
    <row r="92" spans="1:27" ht="13.5" customHeight="1" x14ac:dyDescent="0.2">
      <c r="A92" s="43" t="s">
        <v>50</v>
      </c>
      <c r="B92" s="22" t="s">
        <v>187</v>
      </c>
      <c r="C92" s="243" t="s">
        <v>394</v>
      </c>
      <c r="D92" s="243"/>
      <c r="E92" s="243"/>
      <c r="F92" s="243"/>
      <c r="G92" s="243"/>
      <c r="H92" s="243"/>
      <c r="I92" s="243"/>
      <c r="J92" s="243"/>
      <c r="K92" s="30" t="s">
        <v>125</v>
      </c>
      <c r="L92" s="30" t="s">
        <v>103</v>
      </c>
    </row>
    <row r="93" spans="1:27" ht="24" customHeight="1" x14ac:dyDescent="0.2">
      <c r="A93" s="43" t="s">
        <v>51</v>
      </c>
      <c r="B93" s="21" t="s">
        <v>52</v>
      </c>
      <c r="C93" s="218" t="s">
        <v>126</v>
      </c>
      <c r="D93" s="218"/>
      <c r="E93" s="218"/>
      <c r="F93" s="218"/>
      <c r="G93" s="218"/>
      <c r="H93" s="218"/>
      <c r="I93" s="218"/>
      <c r="J93" s="218"/>
      <c r="K93" s="32"/>
      <c r="L93" s="32"/>
      <c r="M93" s="13"/>
    </row>
    <row r="94" spans="1:27" ht="12" customHeight="1" x14ac:dyDescent="0.2">
      <c r="B94" s="14"/>
      <c r="C94" s="15"/>
      <c r="D94" s="15"/>
      <c r="E94" s="15"/>
      <c r="F94" s="2"/>
      <c r="G94" s="2"/>
      <c r="H94" s="2"/>
      <c r="I94" s="2"/>
      <c r="L94" s="10"/>
      <c r="M94" s="10"/>
    </row>
    <row r="95" spans="1:27" ht="12" customHeight="1" x14ac:dyDescent="0.2">
      <c r="B95" s="167" t="s">
        <v>445</v>
      </c>
      <c r="C95" s="15"/>
      <c r="D95" s="15"/>
      <c r="E95" s="15"/>
      <c r="F95" s="2"/>
      <c r="G95" s="2"/>
      <c r="H95" s="2"/>
      <c r="I95" s="2"/>
      <c r="L95" s="10"/>
      <c r="M95" s="10"/>
    </row>
    <row r="96" spans="1:27" ht="24.75" customHeight="1" x14ac:dyDescent="0.2">
      <c r="A96" s="43" t="s">
        <v>316</v>
      </c>
      <c r="B96" s="166" t="s">
        <v>322</v>
      </c>
      <c r="C96" s="246" t="s">
        <v>393</v>
      </c>
      <c r="D96" s="247"/>
      <c r="E96" s="247"/>
      <c r="F96" s="247"/>
      <c r="G96" s="247"/>
      <c r="H96" s="247"/>
      <c r="I96" s="247"/>
      <c r="J96" s="247"/>
      <c r="K96" s="27">
        <v>100</v>
      </c>
      <c r="L96" s="27" t="s">
        <v>103</v>
      </c>
      <c r="M96" s="10"/>
    </row>
    <row r="97" spans="1:13" ht="42.75" customHeight="1" x14ac:dyDescent="0.2">
      <c r="A97" s="43" t="s">
        <v>319</v>
      </c>
      <c r="B97" s="61" t="s">
        <v>317</v>
      </c>
      <c r="C97" s="252" t="s">
        <v>446</v>
      </c>
      <c r="D97" s="253"/>
      <c r="E97" s="253"/>
      <c r="F97" s="253"/>
      <c r="G97" s="253"/>
      <c r="H97" s="253"/>
      <c r="I97" s="253"/>
      <c r="J97" s="254"/>
      <c r="K97" s="31" t="s">
        <v>323</v>
      </c>
      <c r="L97" s="27" t="s">
        <v>103</v>
      </c>
      <c r="M97" s="10"/>
    </row>
    <row r="98" spans="1:13" ht="16.5" customHeight="1" x14ac:dyDescent="0.2">
      <c r="A98" s="43" t="s">
        <v>320</v>
      </c>
      <c r="B98" s="60" t="s">
        <v>318</v>
      </c>
      <c r="C98" s="246" t="s">
        <v>321</v>
      </c>
      <c r="D98" s="247"/>
      <c r="E98" s="247"/>
      <c r="F98" s="247"/>
      <c r="G98" s="247"/>
      <c r="H98" s="247"/>
      <c r="I98" s="247"/>
      <c r="J98" s="247"/>
      <c r="K98" s="31" t="s">
        <v>324</v>
      </c>
      <c r="L98" s="27" t="s">
        <v>103</v>
      </c>
    </row>
    <row r="100" spans="1:13" ht="58.5" customHeight="1" x14ac:dyDescent="0.2">
      <c r="B100" s="242" t="str">
        <f>CONCATENATE("Informacja z wykonania budżetów miast na prawach powiatu za ",definicja!$D$135," ",definicja!$C$136," roku")</f>
        <v>Informacja z wykonania budżetów miast na prawach powiatu za - 2023 roku</v>
      </c>
      <c r="C100" s="242"/>
      <c r="D100" s="242"/>
      <c r="E100" s="242"/>
      <c r="F100" s="242"/>
      <c r="G100" s="242"/>
      <c r="H100" s="242"/>
      <c r="I100" s="242"/>
      <c r="J100" s="242"/>
      <c r="K100" s="242"/>
      <c r="L100" s="242"/>
      <c r="M100" s="242"/>
    </row>
    <row r="101" spans="1:13" x14ac:dyDescent="0.2">
      <c r="A101"/>
      <c r="B101" s="221" t="s">
        <v>53</v>
      </c>
      <c r="C101" s="221"/>
      <c r="D101" s="179" t="s">
        <v>54</v>
      </c>
      <c r="E101" s="179"/>
      <c r="F101" s="179" t="s">
        <v>1</v>
      </c>
      <c r="G101" s="179"/>
      <c r="H101" s="19" t="s">
        <v>129</v>
      </c>
      <c r="I101" s="19" t="s">
        <v>130</v>
      </c>
    </row>
    <row r="102" spans="1:13" x14ac:dyDescent="0.2">
      <c r="A102"/>
      <c r="B102" s="221"/>
      <c r="C102" s="221"/>
      <c r="D102" s="178" t="s">
        <v>206</v>
      </c>
      <c r="E102" s="178"/>
      <c r="F102" s="178" t="s">
        <v>207</v>
      </c>
      <c r="G102" s="178"/>
      <c r="H102" s="220" t="s">
        <v>4</v>
      </c>
      <c r="I102" s="220"/>
    </row>
    <row r="103" spans="1:13" x14ac:dyDescent="0.2">
      <c r="A103"/>
      <c r="B103" s="265">
        <v>1</v>
      </c>
      <c r="C103" s="178"/>
      <c r="D103" s="213">
        <v>2</v>
      </c>
      <c r="E103" s="213"/>
      <c r="F103" s="213">
        <v>3</v>
      </c>
      <c r="G103" s="213"/>
      <c r="H103" s="63">
        <v>4</v>
      </c>
      <c r="I103" s="63">
        <v>5</v>
      </c>
    </row>
    <row r="104" spans="1:13" ht="29.25" customHeight="1" x14ac:dyDescent="0.2">
      <c r="A104" s="43" t="s">
        <v>55</v>
      </c>
      <c r="B104" s="244" t="s">
        <v>250</v>
      </c>
      <c r="C104" s="245"/>
      <c r="D104" s="262" t="s">
        <v>255</v>
      </c>
      <c r="E104" s="263"/>
      <c r="F104" s="263"/>
      <c r="G104" s="264"/>
      <c r="H104" s="65">
        <v>100</v>
      </c>
      <c r="I104" s="68" t="s">
        <v>131</v>
      </c>
    </row>
    <row r="105" spans="1:13" ht="27" customHeight="1" x14ac:dyDescent="0.2">
      <c r="A105" s="43" t="s">
        <v>56</v>
      </c>
      <c r="B105" s="209" t="s">
        <v>384</v>
      </c>
      <c r="C105" s="209"/>
      <c r="D105" s="214" t="s">
        <v>256</v>
      </c>
      <c r="E105" s="215"/>
      <c r="F105" s="215"/>
      <c r="G105" s="216"/>
      <c r="H105" s="66" t="s">
        <v>132</v>
      </c>
      <c r="I105" s="66" t="s">
        <v>133</v>
      </c>
    </row>
    <row r="106" spans="1:13" x14ac:dyDescent="0.2">
      <c r="A106" s="43" t="s">
        <v>158</v>
      </c>
      <c r="B106" s="227" t="s">
        <v>385</v>
      </c>
      <c r="C106" s="227" t="s">
        <v>159</v>
      </c>
      <c r="D106" s="206" t="s">
        <v>257</v>
      </c>
      <c r="E106" s="207"/>
      <c r="F106" s="207"/>
      <c r="G106" s="208"/>
      <c r="H106" s="67" t="s">
        <v>160</v>
      </c>
      <c r="I106" s="67" t="s">
        <v>161</v>
      </c>
    </row>
    <row r="107" spans="1:13" x14ac:dyDescent="0.2">
      <c r="A107" s="43" t="s">
        <v>57</v>
      </c>
      <c r="B107" s="217" t="s">
        <v>386</v>
      </c>
      <c r="C107" s="217" t="s">
        <v>162</v>
      </c>
      <c r="D107" s="206" t="s">
        <v>258</v>
      </c>
      <c r="E107" s="207"/>
      <c r="F107" s="207"/>
      <c r="G107" s="208"/>
      <c r="H107" s="67" t="s">
        <v>134</v>
      </c>
      <c r="I107" s="67" t="s">
        <v>135</v>
      </c>
    </row>
    <row r="108" spans="1:13" ht="45.75" customHeight="1" x14ac:dyDescent="0.2">
      <c r="A108" s="43" t="s">
        <v>58</v>
      </c>
      <c r="B108" s="209" t="s">
        <v>405</v>
      </c>
      <c r="C108" s="209" t="s">
        <v>163</v>
      </c>
      <c r="D108" s="214" t="s">
        <v>259</v>
      </c>
      <c r="E108" s="215"/>
      <c r="F108" s="215"/>
      <c r="G108" s="216"/>
      <c r="H108" s="66" t="s">
        <v>136</v>
      </c>
      <c r="I108" s="66" t="s">
        <v>137</v>
      </c>
    </row>
    <row r="109" spans="1:13" ht="33.75" customHeight="1" x14ac:dyDescent="0.2">
      <c r="A109" s="43" t="s">
        <v>59</v>
      </c>
      <c r="B109" s="209" t="s">
        <v>396</v>
      </c>
      <c r="C109" s="209"/>
      <c r="D109" s="214" t="s">
        <v>260</v>
      </c>
      <c r="E109" s="215"/>
      <c r="F109" s="215"/>
      <c r="G109" s="216"/>
      <c r="H109" s="66" t="s">
        <v>138</v>
      </c>
      <c r="I109" s="66" t="s">
        <v>139</v>
      </c>
    </row>
    <row r="110" spans="1:13" x14ac:dyDescent="0.2">
      <c r="A110" s="43" t="s">
        <v>60</v>
      </c>
      <c r="B110" s="209" t="s">
        <v>387</v>
      </c>
      <c r="C110" s="209" t="s">
        <v>164</v>
      </c>
      <c r="D110" s="214" t="s">
        <v>261</v>
      </c>
      <c r="E110" s="215"/>
      <c r="F110" s="215"/>
      <c r="G110" s="216"/>
      <c r="H110" s="66" t="s">
        <v>140</v>
      </c>
      <c r="I110" s="66" t="s">
        <v>141</v>
      </c>
    </row>
    <row r="111" spans="1:13" ht="24.75" customHeight="1" x14ac:dyDescent="0.2">
      <c r="A111" s="43" t="s">
        <v>61</v>
      </c>
      <c r="B111" s="209" t="s">
        <v>390</v>
      </c>
      <c r="C111" s="209" t="s">
        <v>165</v>
      </c>
      <c r="D111" s="214" t="s">
        <v>262</v>
      </c>
      <c r="E111" s="215"/>
      <c r="F111" s="215"/>
      <c r="G111" s="216"/>
      <c r="H111" s="66" t="s">
        <v>142</v>
      </c>
      <c r="I111" s="66" t="s">
        <v>143</v>
      </c>
    </row>
    <row r="112" spans="1:13" ht="49.5" customHeight="1" x14ac:dyDescent="0.2">
      <c r="A112" s="43" t="s">
        <v>479</v>
      </c>
      <c r="B112" s="209" t="s">
        <v>486</v>
      </c>
      <c r="C112" s="209"/>
      <c r="D112" s="214" t="s">
        <v>478</v>
      </c>
      <c r="E112" s="215"/>
      <c r="F112" s="215"/>
      <c r="G112" s="216"/>
      <c r="H112" s="66" t="s">
        <v>487</v>
      </c>
      <c r="I112" s="66" t="s">
        <v>488</v>
      </c>
    </row>
    <row r="113" spans="1:9" x14ac:dyDescent="0.2">
      <c r="A113" s="43" t="s">
        <v>480</v>
      </c>
      <c r="B113" s="209" t="s">
        <v>482</v>
      </c>
      <c r="C113" s="209"/>
      <c r="D113" s="214" t="s">
        <v>481</v>
      </c>
      <c r="E113" s="215"/>
      <c r="F113" s="215"/>
      <c r="G113" s="216"/>
      <c r="H113" s="66" t="s">
        <v>489</v>
      </c>
      <c r="I113" s="66" t="s">
        <v>490</v>
      </c>
    </row>
    <row r="114" spans="1:9" x14ac:dyDescent="0.2">
      <c r="A114" s="43" t="s">
        <v>484</v>
      </c>
      <c r="B114" s="269" t="s">
        <v>483</v>
      </c>
      <c r="C114" s="270"/>
      <c r="D114" s="214" t="s">
        <v>485</v>
      </c>
      <c r="E114" s="215"/>
      <c r="F114" s="215"/>
      <c r="G114" s="216"/>
      <c r="H114" s="66" t="s">
        <v>491</v>
      </c>
      <c r="I114" s="66" t="s">
        <v>492</v>
      </c>
    </row>
    <row r="115" spans="1:9" ht="31.5" customHeight="1" x14ac:dyDescent="0.2">
      <c r="A115" s="43" t="s">
        <v>62</v>
      </c>
      <c r="B115" s="244" t="s">
        <v>251</v>
      </c>
      <c r="C115" s="245" t="s">
        <v>166</v>
      </c>
      <c r="D115" s="262" t="s">
        <v>263</v>
      </c>
      <c r="E115" s="263"/>
      <c r="F115" s="263"/>
      <c r="G115" s="264"/>
      <c r="H115" s="65">
        <v>100</v>
      </c>
      <c r="I115" s="68" t="s">
        <v>153</v>
      </c>
    </row>
    <row r="116" spans="1:9" ht="25.5" customHeight="1" x14ac:dyDescent="0.2">
      <c r="A116" s="43" t="s">
        <v>63</v>
      </c>
      <c r="B116" s="209" t="s">
        <v>388</v>
      </c>
      <c r="C116" s="209" t="s">
        <v>167</v>
      </c>
      <c r="D116" s="214" t="s">
        <v>264</v>
      </c>
      <c r="E116" s="215"/>
      <c r="F116" s="215"/>
      <c r="G116" s="216"/>
      <c r="H116" s="66" t="s">
        <v>144</v>
      </c>
      <c r="I116" s="66" t="s">
        <v>145</v>
      </c>
    </row>
    <row r="117" spans="1:9" x14ac:dyDescent="0.2">
      <c r="A117" s="43" t="s">
        <v>168</v>
      </c>
      <c r="B117" s="268" t="s">
        <v>389</v>
      </c>
      <c r="C117" s="268"/>
      <c r="D117" s="206" t="s">
        <v>265</v>
      </c>
      <c r="E117" s="207"/>
      <c r="F117" s="207"/>
      <c r="G117" s="208"/>
      <c r="H117" s="67" t="s">
        <v>169</v>
      </c>
      <c r="I117" s="67" t="s">
        <v>170</v>
      </c>
    </row>
    <row r="118" spans="1:9" x14ac:dyDescent="0.2">
      <c r="A118" s="43" t="s">
        <v>64</v>
      </c>
      <c r="B118" s="241" t="s">
        <v>427</v>
      </c>
      <c r="C118" s="241" t="s">
        <v>171</v>
      </c>
      <c r="D118" s="210" t="s">
        <v>266</v>
      </c>
      <c r="E118" s="211"/>
      <c r="F118" s="211"/>
      <c r="G118" s="212"/>
      <c r="H118" s="69" t="s">
        <v>146</v>
      </c>
      <c r="I118" s="69" t="s">
        <v>147</v>
      </c>
    </row>
    <row r="119" spans="1:9" x14ac:dyDescent="0.2">
      <c r="A119" s="43" t="s">
        <v>296</v>
      </c>
      <c r="B119" s="241" t="s">
        <v>493</v>
      </c>
      <c r="C119" s="241" t="s">
        <v>172</v>
      </c>
      <c r="D119" s="210" t="s">
        <v>297</v>
      </c>
      <c r="E119" s="211"/>
      <c r="F119" s="211"/>
      <c r="G119" s="212"/>
      <c r="H119" s="69" t="s">
        <v>299</v>
      </c>
      <c r="I119" s="69" t="s">
        <v>298</v>
      </c>
    </row>
    <row r="120" spans="1:9" ht="12.75" customHeight="1" x14ac:dyDescent="0.2">
      <c r="A120" s="43" t="s">
        <v>494</v>
      </c>
      <c r="B120" s="271" t="s">
        <v>495</v>
      </c>
      <c r="C120" s="271" t="s">
        <v>172</v>
      </c>
      <c r="D120" s="210" t="s">
        <v>496</v>
      </c>
      <c r="E120" s="211"/>
      <c r="F120" s="211"/>
      <c r="G120" s="212"/>
      <c r="H120" s="69" t="s">
        <v>497</v>
      </c>
      <c r="I120" s="69" t="s">
        <v>498</v>
      </c>
    </row>
    <row r="121" spans="1:9" x14ac:dyDescent="0.2">
      <c r="A121"/>
      <c r="B121"/>
      <c r="C121"/>
      <c r="D121"/>
      <c r="E121"/>
      <c r="F121"/>
      <c r="G121"/>
      <c r="H121"/>
      <c r="I121"/>
    </row>
    <row r="122" spans="1:9" x14ac:dyDescent="0.2">
      <c r="A122"/>
      <c r="B122" s="221" t="s">
        <v>53</v>
      </c>
      <c r="C122" s="221"/>
      <c r="D122" s="179" t="s">
        <v>54</v>
      </c>
      <c r="E122" s="179"/>
      <c r="F122" s="179" t="s">
        <v>1</v>
      </c>
      <c r="G122" s="179"/>
    </row>
    <row r="123" spans="1:9" x14ac:dyDescent="0.2">
      <c r="A123"/>
      <c r="B123" s="221"/>
      <c r="C123" s="221"/>
      <c r="D123" s="178" t="s">
        <v>206</v>
      </c>
      <c r="E123" s="178"/>
      <c r="F123" s="178" t="s">
        <v>207</v>
      </c>
      <c r="G123" s="178"/>
    </row>
    <row r="124" spans="1:9" x14ac:dyDescent="0.2">
      <c r="A124"/>
      <c r="B124" s="265">
        <v>1</v>
      </c>
      <c r="C124" s="178"/>
      <c r="D124" s="213">
        <v>2</v>
      </c>
      <c r="E124" s="213"/>
      <c r="F124" s="213">
        <v>3</v>
      </c>
      <c r="G124" s="213"/>
    </row>
    <row r="125" spans="1:9" x14ac:dyDescent="0.2">
      <c r="A125" s="70" t="s">
        <v>353</v>
      </c>
      <c r="B125" s="266" t="s">
        <v>354</v>
      </c>
      <c r="C125" s="267"/>
      <c r="D125" s="262" t="s">
        <v>355</v>
      </c>
      <c r="E125" s="263"/>
      <c r="F125" s="263"/>
      <c r="G125" s="264"/>
    </row>
    <row r="126" spans="1:9" ht="41.25" customHeight="1" x14ac:dyDescent="0.2">
      <c r="A126" s="70" t="s">
        <v>356</v>
      </c>
      <c r="B126" s="222" t="s">
        <v>357</v>
      </c>
      <c r="C126" s="223"/>
      <c r="D126" s="214" t="s">
        <v>358</v>
      </c>
      <c r="E126" s="215"/>
      <c r="F126" s="215"/>
      <c r="G126" s="216"/>
    </row>
    <row r="127" spans="1:9" x14ac:dyDescent="0.2">
      <c r="A127" s="70" t="s">
        <v>359</v>
      </c>
      <c r="B127" s="259" t="s">
        <v>360</v>
      </c>
      <c r="C127" s="260"/>
      <c r="D127" s="206" t="s">
        <v>361</v>
      </c>
      <c r="E127" s="207"/>
      <c r="F127" s="207"/>
      <c r="G127" s="208"/>
    </row>
    <row r="128" spans="1:9" ht="44.25" customHeight="1" x14ac:dyDescent="0.2">
      <c r="A128" s="70" t="s">
        <v>362</v>
      </c>
      <c r="B128" s="259" t="s">
        <v>363</v>
      </c>
      <c r="C128" s="260"/>
      <c r="D128" s="206" t="s">
        <v>364</v>
      </c>
      <c r="E128" s="207"/>
      <c r="F128" s="207"/>
      <c r="G128" s="208"/>
    </row>
    <row r="129" spans="1:7" ht="55.5" customHeight="1" x14ac:dyDescent="0.2">
      <c r="A129" s="70" t="s">
        <v>365</v>
      </c>
      <c r="B129" s="222" t="s">
        <v>412</v>
      </c>
      <c r="C129" s="223"/>
      <c r="D129" s="214" t="s">
        <v>366</v>
      </c>
      <c r="E129" s="215"/>
      <c r="F129" s="215"/>
      <c r="G129" s="216"/>
    </row>
    <row r="130" spans="1:7" ht="69.75" customHeight="1" x14ac:dyDescent="0.2">
      <c r="A130" s="70" t="s">
        <v>367</v>
      </c>
      <c r="B130" s="259" t="s">
        <v>368</v>
      </c>
      <c r="C130" s="260"/>
      <c r="D130" s="206" t="s">
        <v>369</v>
      </c>
      <c r="E130" s="207"/>
      <c r="F130" s="207"/>
      <c r="G130" s="208"/>
    </row>
    <row r="131" spans="1:7" ht="125.25" customHeight="1" x14ac:dyDescent="0.2">
      <c r="A131" s="70" t="s">
        <v>410</v>
      </c>
      <c r="B131" s="217" t="s">
        <v>406</v>
      </c>
      <c r="C131" s="217"/>
      <c r="D131" s="214" t="s">
        <v>408</v>
      </c>
      <c r="E131" s="215"/>
      <c r="F131" s="215"/>
      <c r="G131" s="216"/>
    </row>
    <row r="132" spans="1:7" x14ac:dyDescent="0.2">
      <c r="A132" s="70" t="s">
        <v>411</v>
      </c>
      <c r="B132" s="217" t="s">
        <v>407</v>
      </c>
      <c r="C132" s="217"/>
      <c r="D132" s="206" t="s">
        <v>409</v>
      </c>
      <c r="E132" s="207"/>
      <c r="F132" s="207"/>
      <c r="G132" s="208"/>
    </row>
    <row r="133" spans="1:7" ht="12.75" customHeight="1" x14ac:dyDescent="0.2">
      <c r="A133" s="174" t="s">
        <v>499</v>
      </c>
      <c r="B133" s="259" t="s">
        <v>483</v>
      </c>
      <c r="C133" s="260"/>
      <c r="D133" s="206" t="s">
        <v>500</v>
      </c>
      <c r="E133" s="207"/>
      <c r="F133" s="207"/>
      <c r="G133" s="208"/>
    </row>
    <row r="135" spans="1:7" x14ac:dyDescent="0.2">
      <c r="B135" s="52" t="s">
        <v>252</v>
      </c>
      <c r="C135" s="52">
        <f>2</f>
        <v>2</v>
      </c>
      <c r="D135" s="52" t="str">
        <f>IF(C135="1","I Kwartał",IF(C135="2","II Kwartały",IF(C135="3","III Kwartały",IF(C135="4","IV Kwartały","-"))))</f>
        <v>-</v>
      </c>
    </row>
    <row r="136" spans="1:7" x14ac:dyDescent="0.2">
      <c r="B136" s="52" t="s">
        <v>253</v>
      </c>
      <c r="C136" s="52">
        <f>2023</f>
        <v>2023</v>
      </c>
    </row>
    <row r="137" spans="1:7" x14ac:dyDescent="0.2">
      <c r="B137" s="52" t="s">
        <v>254</v>
      </c>
      <c r="C137" s="53" t="str">
        <f>"Aug 14 2023 12:00AM"</f>
        <v>Aug 14 2023 12:00AM</v>
      </c>
    </row>
  </sheetData>
  <mergeCells count="169">
    <mergeCell ref="D112:G112"/>
    <mergeCell ref="D113:G113"/>
    <mergeCell ref="B112:C112"/>
    <mergeCell ref="B113:C113"/>
    <mergeCell ref="B114:C114"/>
    <mergeCell ref="D120:G120"/>
    <mergeCell ref="B120:C120"/>
    <mergeCell ref="F103:G103"/>
    <mergeCell ref="B110:C110"/>
    <mergeCell ref="D127:G127"/>
    <mergeCell ref="D110:G110"/>
    <mergeCell ref="B116:C116"/>
    <mergeCell ref="D111:G111"/>
    <mergeCell ref="B111:C111"/>
    <mergeCell ref="D114:G114"/>
    <mergeCell ref="B117:C117"/>
    <mergeCell ref="D104:G104"/>
    <mergeCell ref="D102:E102"/>
    <mergeCell ref="B128:C128"/>
    <mergeCell ref="D128:G128"/>
    <mergeCell ref="B124:C124"/>
    <mergeCell ref="D122:E122"/>
    <mergeCell ref="D108:G108"/>
    <mergeCell ref="D109:G109"/>
    <mergeCell ref="F102:G102"/>
    <mergeCell ref="B107:C107"/>
    <mergeCell ref="B118:C118"/>
    <mergeCell ref="B129:C129"/>
    <mergeCell ref="D129:G129"/>
    <mergeCell ref="B130:C130"/>
    <mergeCell ref="D130:G130"/>
    <mergeCell ref="B109:C109"/>
    <mergeCell ref="B115:C115"/>
    <mergeCell ref="B127:C127"/>
    <mergeCell ref="D119:G119"/>
    <mergeCell ref="B125:C125"/>
    <mergeCell ref="D125:G125"/>
    <mergeCell ref="C92:J92"/>
    <mergeCell ref="D103:E103"/>
    <mergeCell ref="C96:J96"/>
    <mergeCell ref="D123:E123"/>
    <mergeCell ref="F123:G123"/>
    <mergeCell ref="D115:G115"/>
    <mergeCell ref="B108:C108"/>
    <mergeCell ref="B103:C103"/>
    <mergeCell ref="B101:C102"/>
    <mergeCell ref="F101:G101"/>
    <mergeCell ref="K78:K80"/>
    <mergeCell ref="F78:H78"/>
    <mergeCell ref="C47:E47"/>
    <mergeCell ref="C58:E58"/>
    <mergeCell ref="C63:E63"/>
    <mergeCell ref="C60:E60"/>
    <mergeCell ref="F79:F80"/>
    <mergeCell ref="C59:E59"/>
    <mergeCell ref="D133:G133"/>
    <mergeCell ref="B133:C133"/>
    <mergeCell ref="C42:E42"/>
    <mergeCell ref="C43:E43"/>
    <mergeCell ref="C21:J21"/>
    <mergeCell ref="C14:J14"/>
    <mergeCell ref="C17:J17"/>
    <mergeCell ref="C22:J22"/>
    <mergeCell ref="C39:E39"/>
    <mergeCell ref="C29:E29"/>
    <mergeCell ref="C7:J7"/>
    <mergeCell ref="C20:J20"/>
    <mergeCell ref="C15:J15"/>
    <mergeCell ref="C19:J19"/>
    <mergeCell ref="C10:J10"/>
    <mergeCell ref="C40:E40"/>
    <mergeCell ref="C9:J9"/>
    <mergeCell ref="C11:J11"/>
    <mergeCell ref="C16:J16"/>
    <mergeCell ref="C26:E26"/>
    <mergeCell ref="B1:M1"/>
    <mergeCell ref="B2:B3"/>
    <mergeCell ref="C12:J12"/>
    <mergeCell ref="C13:J13"/>
    <mergeCell ref="C8:J8"/>
    <mergeCell ref="C97:J97"/>
    <mergeCell ref="C23:E23"/>
    <mergeCell ref="J3:L3"/>
    <mergeCell ref="C6:J6"/>
    <mergeCell ref="C5:J5"/>
    <mergeCell ref="C88:J88"/>
    <mergeCell ref="I81:J81"/>
    <mergeCell ref="C87:J87"/>
    <mergeCell ref="C69:E69"/>
    <mergeCell ref="C90:J90"/>
    <mergeCell ref="C91:J91"/>
    <mergeCell ref="C85:J85"/>
    <mergeCell ref="C86:J86"/>
    <mergeCell ref="L78:L80"/>
    <mergeCell ref="G79:H79"/>
    <mergeCell ref="B100:M100"/>
    <mergeCell ref="D107:G107"/>
    <mergeCell ref="B104:C104"/>
    <mergeCell ref="D101:E101"/>
    <mergeCell ref="C98:J98"/>
    <mergeCell ref="K81:L81"/>
    <mergeCell ref="B78:B81"/>
    <mergeCell ref="C78:C80"/>
    <mergeCell ref="F122:G122"/>
    <mergeCell ref="C71:J71"/>
    <mergeCell ref="I82:J82"/>
    <mergeCell ref="I78:J80"/>
    <mergeCell ref="C72:J72"/>
    <mergeCell ref="C93:J93"/>
    <mergeCell ref="B119:C119"/>
    <mergeCell ref="B76:M76"/>
    <mergeCell ref="C89:J89"/>
    <mergeCell ref="D78:D80"/>
    <mergeCell ref="E78:E80"/>
    <mergeCell ref="C66:E66"/>
    <mergeCell ref="C68:E68"/>
    <mergeCell ref="C73:J73"/>
    <mergeCell ref="C67:E67"/>
    <mergeCell ref="C62:E62"/>
    <mergeCell ref="C65:E65"/>
    <mergeCell ref="C18:J18"/>
    <mergeCell ref="C45:E45"/>
    <mergeCell ref="C48:E48"/>
    <mergeCell ref="C24:E24"/>
    <mergeCell ref="C46:E46"/>
    <mergeCell ref="C28:E28"/>
    <mergeCell ref="C41:E41"/>
    <mergeCell ref="C25:E25"/>
    <mergeCell ref="C31:E31"/>
    <mergeCell ref="C32:E32"/>
    <mergeCell ref="B126:C126"/>
    <mergeCell ref="C37:E37"/>
    <mergeCell ref="C52:E52"/>
    <mergeCell ref="C53:E53"/>
    <mergeCell ref="C50:E50"/>
    <mergeCell ref="C51:E51"/>
    <mergeCell ref="B106:C106"/>
    <mergeCell ref="D105:G105"/>
    <mergeCell ref="D126:G126"/>
    <mergeCell ref="C56:E56"/>
    <mergeCell ref="D131:G131"/>
    <mergeCell ref="D132:G132"/>
    <mergeCell ref="B131:C131"/>
    <mergeCell ref="B132:C132"/>
    <mergeCell ref="C84:J84"/>
    <mergeCell ref="C83:J83"/>
    <mergeCell ref="H102:I102"/>
    <mergeCell ref="B122:C123"/>
    <mergeCell ref="D117:G117"/>
    <mergeCell ref="D116:G116"/>
    <mergeCell ref="D106:G106"/>
    <mergeCell ref="B105:C105"/>
    <mergeCell ref="C33:E33"/>
    <mergeCell ref="C38:E38"/>
    <mergeCell ref="D118:G118"/>
    <mergeCell ref="D124:E124"/>
    <mergeCell ref="F124:G124"/>
    <mergeCell ref="C49:E49"/>
    <mergeCell ref="C44:E44"/>
    <mergeCell ref="C54:E54"/>
    <mergeCell ref="C27:E27"/>
    <mergeCell ref="C36:E36"/>
    <mergeCell ref="C64:E64"/>
    <mergeCell ref="C55:E55"/>
    <mergeCell ref="C30:E30"/>
    <mergeCell ref="C34:E34"/>
    <mergeCell ref="C35:E35"/>
    <mergeCell ref="C57:E57"/>
    <mergeCell ref="C61:E61"/>
  </mergeCells>
  <phoneticPr fontId="0" type="noConversion"/>
  <pageMargins left="0.18" right="0.18" top="0.55118110236220474" bottom="0.39370078740157483" header="0.31496062992125984" footer="0.19685039370078741"/>
  <pageSetup paperSize="9" scale="66" orientation="landscape" r:id="rId1"/>
  <headerFooter alignWithMargins="0">
    <oddFooter>&amp;L&amp;"Arial CE,Kursywa"&amp;9&amp;D&amp;R&amp;9strona &amp;P z 5</oddFooter>
  </headerFooter>
  <rowBreaks count="3" manualBreakCount="3">
    <brk id="22" max="16383" man="1"/>
    <brk id="75" max="16383" man="1"/>
    <brk id="9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doch_wyd</vt:lpstr>
      <vt:lpstr>definicja</vt:lpstr>
      <vt:lpstr>doch_wyd!Obszar_wydruku</vt:lpstr>
    </vt:vector>
  </TitlesOfParts>
  <Company>Min. Fin.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Alina Karolak</dc:creator>
  <cp:lastModifiedBy>Kołacz Bernard</cp:lastModifiedBy>
  <cp:lastPrinted>2022-10-25T14:05:09Z</cp:lastPrinted>
  <dcterms:created xsi:type="dcterms:W3CDTF">2001-05-17T08:58:03Z</dcterms:created>
  <dcterms:modified xsi:type="dcterms:W3CDTF">2023-08-14T13:25:37Z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InformacjePubliczneInformacjeSektoraPublicznego</vt:lpwstr>
  </property>
  <property fmtid="{D5CDD505-2E9C-101B-9397-08002B2CF9AE}" pid="3" name="MFClassifiedBy">
    <vt:lpwstr>MF\HHCY;Kołacz Bernard</vt:lpwstr>
  </property>
  <property fmtid="{D5CDD505-2E9C-101B-9397-08002B2CF9AE}" pid="4" name="MFClassificationDate">
    <vt:lpwstr>2022-06-01T15:12:31.7108919+02:00</vt:lpwstr>
  </property>
  <property fmtid="{D5CDD505-2E9C-101B-9397-08002B2CF9AE}" pid="5" name="MFClassifiedBySID">
    <vt:lpwstr>MF\S-1-5-21-1525952054-1005573771-2909822258-435687</vt:lpwstr>
  </property>
  <property fmtid="{D5CDD505-2E9C-101B-9397-08002B2CF9AE}" pid="6" name="MFGRNItemId">
    <vt:lpwstr>GRN-2cd18ff7-932d-4776-b890-6d741b929fdc</vt:lpwstr>
  </property>
  <property fmtid="{D5CDD505-2E9C-101B-9397-08002B2CF9AE}" pid="7" name="MFHash">
    <vt:lpwstr>OTgls01WM3N6lxmUY94TawYv0KG6fXLBz/RcoeeeVtg=</vt:lpwstr>
  </property>
  <property fmtid="{D5CDD505-2E9C-101B-9397-08002B2CF9AE}" pid="8" name="DLPManualFileClassification">
    <vt:lpwstr>{2755b7d9-e53d-4779-a40c-03797dcf43b3}</vt:lpwstr>
  </property>
  <property fmtid="{D5CDD505-2E9C-101B-9397-08002B2CF9AE}" pid="9" name="MFRefresh">
    <vt:lpwstr>False</vt:lpwstr>
  </property>
</Properties>
</file>