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>
    <definedName name="_xlnm.Print_Area" localSheetId="0">'doch_wyd'!$A$1:$M$130</definedName>
  </definedNames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7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2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3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7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8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<sst xmlns="http://schemas.openxmlformats.org/spreadsheetml/2006/main" count="335" uniqueCount="119">
  <si>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</si>
  <si>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</si>
  <si>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</si>
  <si>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</si>
  <si>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</si>
  <si>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</si>
  <si>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</si>
  <si>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</si>
  <si>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</si>
  <si>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</si>
  <si>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</si>
  <si>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</si>
  <si>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</si>
  <si>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</si>
  <si>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</si>
  <si>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</si>
  <si>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</si>
  <si>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</si>
  <si>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</si>
  <si>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 xml:space="preserve">podatek rolny  </t>
  </si>
  <si>
    <t xml:space="preserve">podatek od nieruchomości </t>
  </si>
  <si>
    <t xml:space="preserve">podatek leśny        </t>
  </si>
  <si>
    <t>podatek od środków transportowych</t>
  </si>
  <si>
    <t>dochody z majątku</t>
  </si>
  <si>
    <t xml:space="preserve">pozostałe dochody </t>
  </si>
  <si>
    <t>Struktura</t>
  </si>
  <si>
    <t>Wskaźnik</t>
  </si>
  <si>
    <t xml:space="preserve">podatek od spadków i darowizn       </t>
  </si>
  <si>
    <t>podatek od czynności cywilnoprawnych</t>
  </si>
  <si>
    <t>inne cele</t>
  </si>
  <si>
    <t>w tym wymagalne:</t>
  </si>
  <si>
    <t>Wskaźnik 
(4:2)</t>
  </si>
  <si>
    <r>
      <t xml:space="preserve">Plan 
(po zmianach)
</t>
    </r>
    <r>
      <rPr>
        <b/>
        <sz val="10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</si>
  <si>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</rPr>
      <t>R4</t>
    </r>
  </si>
  <si>
    <r>
      <t xml:space="preserve">Dochody 
otrzymane
</t>
    </r>
    <r>
      <rPr>
        <b/>
        <sz val="10"/>
        <color indexed="8"/>
        <rFont val="Arial"/>
        <family val="2"/>
      </rPr>
      <t>R9</t>
    </r>
  </si>
  <si>
    <r>
      <t xml:space="preserve">Obniżenie górnych stawek podatkowych
</t>
    </r>
    <r>
      <rPr>
        <b/>
        <sz val="10"/>
        <color indexed="8"/>
        <rFont val="Arial"/>
        <family val="2"/>
      </rPr>
      <t>R7</t>
    </r>
  </si>
  <si>
    <r>
      <t xml:space="preserve">Ulgi i zwolnienia
</t>
    </r>
    <r>
      <rPr>
        <b/>
        <sz val="10"/>
        <color indexed="8"/>
        <rFont val="Arial"/>
        <family val="2"/>
      </rPr>
      <t>R8</t>
    </r>
  </si>
  <si>
    <r>
      <t xml:space="preserve">Umorzenie zaległości podatkowych
</t>
    </r>
    <r>
      <rPr>
        <b/>
        <sz val="10"/>
        <color indexed="8"/>
        <rFont val="Arial"/>
        <family val="2"/>
      </rPr>
      <t>R11Z</t>
    </r>
  </si>
  <si>
    <r>
      <t xml:space="preserve">Rozłożenie na raty, odroczenie terminu płatności
</t>
    </r>
    <r>
      <rPr>
        <b/>
        <sz val="10"/>
        <color indexed="8"/>
        <rFont val="Arial"/>
        <family val="2"/>
      </rPr>
      <t>R11R</t>
    </r>
  </si>
  <si>
    <r>
      <t xml:space="preserve">Potrącenia 
</t>
    </r>
    <r>
      <rPr>
        <b/>
        <sz val="10"/>
        <color indexed="8"/>
        <rFont val="Arial"/>
        <family val="2"/>
      </rPr>
      <t>R3</t>
    </r>
  </si>
  <si>
    <t>uzupełnienie subwencji ogólnej</t>
  </si>
  <si>
    <t xml:space="preserve">podatek od dział. gosp. osób fizycznych, opłacany w formie karty podatkowej </t>
  </si>
  <si>
    <t>część równoważąca</t>
  </si>
  <si>
    <t>część rekompensująca</t>
  </si>
  <si>
    <t>część oświatowa</t>
  </si>
  <si>
    <t>część wyrównawcza</t>
  </si>
  <si>
    <t>pozostałe wydatki</t>
  </si>
  <si>
    <t>wydatki na obsługę długu</t>
  </si>
  <si>
    <t>dotacje</t>
  </si>
  <si>
    <r>
      <t xml:space="preserve">powstałe w latach ubiegłych
</t>
    </r>
    <r>
      <rPr>
        <b/>
        <sz val="10"/>
        <rFont val="Arial"/>
        <family val="2"/>
      </rPr>
      <t>R12U</t>
    </r>
  </si>
  <si>
    <r>
      <t xml:space="preserve">powstałe w roku bieżącym
</t>
    </r>
    <r>
      <rPr>
        <b/>
        <sz val="10"/>
        <rFont val="Arial"/>
        <family val="2"/>
      </rPr>
      <t>R12B</t>
    </r>
  </si>
  <si>
    <r>
      <t xml:space="preserve">Plan 
(po zmianach)
</t>
    </r>
    <r>
      <rPr>
        <b/>
        <sz val="10"/>
        <rFont val="Arial"/>
        <family val="2"/>
      </rPr>
      <t>R1</t>
    </r>
  </si>
  <si>
    <r>
      <t xml:space="preserve">Zaangażowanie
</t>
    </r>
    <r>
      <rPr>
        <b/>
        <sz val="10"/>
        <rFont val="Arial"/>
        <family val="2"/>
      </rPr>
      <t>R10</t>
    </r>
  </si>
  <si>
    <r>
      <t xml:space="preserve">Wydatki
 wykonane
</t>
    </r>
    <r>
      <rPr>
        <b/>
        <sz val="10"/>
        <rFont val="Arial"/>
        <family val="2"/>
      </rPr>
      <t>R4</t>
    </r>
  </si>
  <si>
    <r>
      <t xml:space="preserve">ogółem
</t>
    </r>
    <r>
      <rPr>
        <b/>
        <sz val="10"/>
        <rFont val="Arial"/>
        <family val="2"/>
      </rPr>
      <t>R11</t>
    </r>
  </si>
  <si>
    <t>opłata skarbowa</t>
  </si>
  <si>
    <t>opłata eksploatacyjna</t>
  </si>
  <si>
    <t>opłata targowa</t>
  </si>
  <si>
    <t>- część gminna</t>
  </si>
  <si>
    <t>- część powiatowa</t>
  </si>
  <si>
    <t>- pozostałe</t>
  </si>
  <si>
    <t>Subwencja ogólna dla gmin z tego:</t>
  </si>
  <si>
    <t>Subwencja ogólna dla powiatów z tego:</t>
  </si>
  <si>
    <t>#</t>
  </si>
  <si>
    <t>Razem dochody własne 
z tego:</t>
  </si>
  <si>
    <t>podatek dochodowy od osób prawnych - 
część gminna</t>
  </si>
  <si>
    <t>podatek dochodowy od osób prawnych - 
część powiatowa</t>
  </si>
  <si>
    <t>podatek dochodowy od osób fizycznych - 
część gminna</t>
  </si>
  <si>
    <t>podatek dochodowy od osób fizycznych - 
część powiatowa</t>
  </si>
  <si>
    <t>Dotacje celowe 
z tego:</t>
  </si>
  <si>
    <t>Subwencja ogólna 
z tego:</t>
  </si>
  <si>
    <t>WYDATKI OGÓŁEM 
z tego:</t>
  </si>
  <si>
    <t>wydatki bieżące 
z tego:</t>
  </si>
  <si>
    <t>Przychody ogółem 
z tego:</t>
  </si>
  <si>
    <t>Rozchody ogółem 
z tego:</t>
  </si>
  <si>
    <t>wydatki z tytułu udzielania poręczeń i gwarancji</t>
  </si>
  <si>
    <t>Dotacje ogółem                      z tego:</t>
  </si>
  <si>
    <t>świadczenia na rzecz osób fizycznych</t>
  </si>
  <si>
    <t>majątkowe</t>
  </si>
  <si>
    <t>bieżące</t>
  </si>
  <si>
    <t>UE</t>
  </si>
  <si>
    <t>wydatki majątkowe</t>
  </si>
  <si>
    <t>wydatki bieżące</t>
  </si>
  <si>
    <t>Dochody bieżące minus Wydatki bieżące</t>
  </si>
  <si>
    <t>w złotych</t>
  </si>
  <si>
    <t>z tytułu pomocy finansowej udzielanej między jst na dofinansowanie własnych zadań</t>
  </si>
  <si>
    <t>inne źródła</t>
  </si>
  <si>
    <t>FINANSOWANIE DEFICYTU (E1+E2+E3+E4+E5)  z tego:</t>
  </si>
  <si>
    <t>sprzedaż papierów wartościowych wyemitowanych przez jednostkę samorządu terytorialnego</t>
  </si>
  <si>
    <t>kredyty i pożyczki</t>
  </si>
  <si>
    <t>prywatyzacja majątku jednostki samorządu terytorialnego</t>
  </si>
  <si>
    <t>nadwyżka budżetu jednostki samorządu terytorialnego z lat ubiegłych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</si>
  <si>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</si>
  <si>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t>Łączna kwota wyłączeń z relacji, o której mowa w art. 243 ust. 1 ustawy o finansach publicznych w okresie sprawozdawczym   w tym:</t>
  </si>
  <si>
    <t>kwota wyłączeń, o których mowa w art. 243 ust. 3 ustawy o finansach publicznych</t>
  </si>
  <si>
    <t>kwota wyłączeń, o których mowa w art. 243 ust. 3a ustawy o finansach publicznych</t>
  </si>
  <si>
    <t>wykup papierów wartościowych, spłata kredytów i pożyczek zaciągniętych na spłatę przejętych zobowiązań samodzielnego publicznego zakładu opieki zdrowotnej</t>
  </si>
  <si>
    <t>wykup obligacji nominowanych w walutach obcych wyemitowanych na zagraniczne rynki przed 1 stycznia 2010 r.</t>
  </si>
  <si>
    <t>Zobowiązania związku współtworzonego przez jednostkę samorządu terytorialnego przypadające do spłaty w roku budżetowym</t>
  </si>
  <si>
    <t>Kwota związana z realizacją wydatków bieżących, o których mowa w art. 242 ustawy o finansach publicznych</t>
  </si>
  <si>
    <r>
      <t xml:space="preserve">Wydatki, które nie wygasły 
z upływem roku budżetowego) 
(art.263 ust. 2 ustawy 
o finansach publicznych) 
</t>
    </r>
    <r>
      <rPr>
        <b/>
        <sz val="10"/>
        <rFont val="Arial"/>
        <family val="2"/>
      </rPr>
      <t>R9</t>
    </r>
  </si>
  <si>
    <t>Dotacje §§ 200 i 620</t>
  </si>
  <si>
    <t>w tym: inwestycyjne § 620</t>
  </si>
  <si>
    <t>Dotacje §§ 205 i 625</t>
  </si>
  <si>
    <t>w tym: inwestycyjne § 625</t>
  </si>
  <si>
    <t>WYDATKI OGÓŁEM UE                    z tego:</t>
  </si>
  <si>
    <t>kredyty, pożyczki, emisja papierów wartościowych w tym:</t>
  </si>
  <si>
    <t>ze sprzedaży papierów wartościowych</t>
  </si>
  <si>
    <t>spłata  udzielonych pożyczek</t>
  </si>
  <si>
    <t>nadwyżka z lat ubiegłych</t>
  </si>
  <si>
    <t>prywatyzacja majątku JST</t>
  </si>
  <si>
    <t>spłaty kredytów i pożyczek, wykup papierów wartościowych w tym:</t>
  </si>
  <si>
    <t>wykup papierów wartościowych</t>
  </si>
  <si>
    <t xml:space="preserve"> udzielone pożyczki</t>
  </si>
  <si>
    <t>wolne środki, o których mowa w art. 217 ust. 2 pkt 6 ustawy o finansach publicznych</t>
  </si>
  <si>
    <t>Kwota planowanych wydatków bieżących ponoszonych na spłatę przejętych zobowiązań samodzielnego publicznego zakładu opieki zdrowotnej przekształconego na zasadach określonych w ustawie o działalności leczniczej</t>
  </si>
  <si>
    <t>Kwota wykonanychwydatków bieżących ponoszonych na spłatę przejętych zobowiązań samodzielnego publicznego zakładu opieki zdrowotnej przekształconego na zasadach określonych w ustawie o działalności leczniczej</t>
  </si>
  <si>
    <t>wydatki na wynagrodzenia i pochodne od wynagrodzeń</t>
  </si>
  <si>
    <t xml:space="preserve">Informacja z wykonania budżetów miast na prawach powiatu za II Kwartały 2019 rok   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</si>
</sst>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dd/mm/yy\ h:mm;@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name val="Arial CE"/>
      <family val="2"/>
    </font>
  </fonts>
  <fills count="5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22" borderId="0" applyNumberFormat="0" applyBorder="0" applyAlignment="0" applyProtection="0"/>
    <xf numFmtId="0" fontId="16" fillId="6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16" fillId="22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22" borderId="0" applyNumberFormat="0" applyBorder="0" applyAlignment="0" applyProtection="0"/>
    <xf numFmtId="0" fontId="16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17" fillId="39" borderId="0" applyNumberFormat="0" applyBorder="0" applyAlignment="0" applyProtection="0"/>
    <xf numFmtId="0" fontId="18" fillId="40" borderId="1" applyNumberFormat="0" applyAlignment="0" applyProtection="0"/>
    <xf numFmtId="0" fontId="19" fillId="41" borderId="2" applyNumberFormat="0" applyAlignment="0" applyProtection="0"/>
    <xf numFmtId="0" fontId="40" fillId="42" borderId="3" applyNumberFormat="0" applyAlignment="0" applyProtection="0"/>
    <xf numFmtId="0" fontId="41" fillId="43" borderId="4" applyNumberFormat="0" applyAlignment="0" applyProtection="0"/>
    <xf numFmtId="0" fontId="42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5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6" borderId="1" applyNumberFormat="0" applyAlignment="0" applyProtection="0"/>
    <xf numFmtId="0" fontId="43" fillId="0" borderId="8" applyNumberFormat="0" applyFill="0" applyAlignment="0" applyProtection="0"/>
    <xf numFmtId="0" fontId="44" fillId="46" borderId="9" applyNumberFormat="0" applyAlignment="0" applyProtection="0"/>
    <xf numFmtId="0" fontId="26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48" fillId="47" borderId="0" applyNumberFormat="0" applyBorder="0" applyAlignment="0" applyProtection="0"/>
    <xf numFmtId="0" fontId="38" fillId="0" borderId="0">
      <alignment/>
      <protection/>
    </xf>
    <xf numFmtId="0" fontId="0" fillId="4" borderId="14" applyNumberFormat="0" applyFont="0" applyAlignment="0" applyProtection="0"/>
    <xf numFmtId="0" fontId="49" fillId="43" borderId="3" applyNumberFormat="0" applyAlignment="0" applyProtection="0"/>
    <xf numFmtId="0" fontId="2" fillId="0" borderId="0" applyNumberFormat="0" applyFill="0" applyBorder="0" applyAlignment="0" applyProtection="0"/>
    <xf numFmtId="0" fontId="28" fillId="40" borderId="15" applyNumberFormat="0" applyAlignment="0" applyProtection="0"/>
    <xf numFmtId="9" fontId="0" fillId="0" borderId="0" applyFont="0" applyFill="0" applyBorder="0" applyAlignment="0" applyProtection="0"/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53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4" fillId="49" borderId="0" applyNumberFormat="0" applyBorder="0" applyAlignment="0" applyProtection="0"/>
  </cellStyleXfs>
  <cellXfs count="135">
    <xf numFmtId="0" fontId="0" fillId="0" borderId="0" xfId="0" applyAlignment="1">
      <alignment/>
    </xf>
    <xf numFmtId="164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2" borderId="19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12" fillId="2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3" fillId="50" borderId="19" xfId="0" applyFont="1" applyFill="1" applyBorder="1" applyAlignment="1">
      <alignment horizontal="center" vertical="center" wrapText="1"/>
    </xf>
    <xf numFmtId="4" fontId="33" fillId="50" borderId="19" xfId="0" applyNumberFormat="1" applyFont="1" applyFill="1" applyBorder="1" applyAlignment="1">
      <alignment horizontal="center" vertical="center"/>
    </xf>
    <xf numFmtId="164" fontId="33" fillId="50" borderId="19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4" fontId="34" fillId="0" borderId="19" xfId="0" applyNumberFormat="1" applyFont="1" applyBorder="1" applyAlignment="1">
      <alignment horizontal="center" vertical="center"/>
    </xf>
    <xf numFmtId="164" fontId="34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4" fontId="34" fillId="0" borderId="19" xfId="0" applyNumberFormat="1" applyFont="1" applyFill="1" applyBorder="1" applyAlignment="1">
      <alignment horizontal="center" vertical="center"/>
    </xf>
    <xf numFmtId="4" fontId="35" fillId="0" borderId="19" xfId="0" applyNumberFormat="1" applyFont="1" applyFill="1" applyBorder="1" applyAlignment="1">
      <alignment horizontal="center" vertical="center"/>
    </xf>
    <xf numFmtId="4" fontId="34" fillId="50" borderId="19" xfId="0" applyNumberFormat="1" applyFont="1" applyFill="1" applyBorder="1" applyAlignment="1">
      <alignment horizontal="center" vertical="center"/>
    </xf>
    <xf numFmtId="164" fontId="34" fillId="0" borderId="0" xfId="0" applyNumberFormat="1" applyFont="1" applyFill="1" applyBorder="1" applyAlignment="1">
      <alignment horizontal="center" vertical="center"/>
    </xf>
    <xf numFmtId="164" fontId="35" fillId="0" borderId="0" xfId="0" applyNumberFormat="1" applyFont="1" applyAlignment="1">
      <alignment horizontal="center" vertical="center"/>
    </xf>
    <xf numFmtId="0" fontId="13" fillId="40" borderId="19" xfId="0" applyFont="1" applyFill="1" applyBorder="1" applyAlignment="1" quotePrefix="1">
      <alignment horizontal="center" vertical="center" wrapText="1"/>
    </xf>
    <xf numFmtId="4" fontId="35" fillId="0" borderId="19" xfId="0" applyNumberFormat="1" applyFont="1" applyBorder="1" applyAlignment="1">
      <alignment horizontal="center" vertical="center"/>
    </xf>
    <xf numFmtId="0" fontId="13" fillId="50" borderId="19" xfId="0" applyFont="1" applyFill="1" applyBorder="1" applyAlignment="1" quotePrefix="1">
      <alignment horizontal="center" vertical="center" wrapText="1"/>
    </xf>
    <xf numFmtId="164" fontId="34" fillId="40" borderId="19" xfId="0" applyNumberFormat="1" applyFont="1" applyFill="1" applyBorder="1" applyAlignment="1">
      <alignment horizontal="center" vertical="center"/>
    </xf>
    <xf numFmtId="0" fontId="5" fillId="51" borderId="19" xfId="0" applyFont="1" applyFill="1" applyBorder="1" applyAlignment="1">
      <alignment horizontal="center" vertical="center" wrapText="1"/>
    </xf>
    <xf numFmtId="4" fontId="34" fillId="51" borderId="19" xfId="0" applyNumberFormat="1" applyFont="1" applyFill="1" applyBorder="1" applyAlignment="1">
      <alignment horizontal="center" vertical="center"/>
    </xf>
    <xf numFmtId="164" fontId="34" fillId="51" borderId="1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164" fontId="3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" fontId="34" fillId="0" borderId="0" xfId="0" applyNumberFormat="1" applyFont="1" applyFill="1" applyBorder="1" applyAlignment="1">
      <alignment horizontal="center" vertical="center"/>
    </xf>
    <xf numFmtId="164" fontId="35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4" fontId="36" fillId="50" borderId="19" xfId="0" applyNumberFormat="1" applyFont="1" applyFill="1" applyBorder="1" applyAlignment="1">
      <alignment horizontal="center" vertical="center"/>
    </xf>
    <xf numFmtId="164" fontId="36" fillId="50" borderId="19" xfId="0" applyNumberFormat="1" applyFont="1" applyFill="1" applyBorder="1" applyAlignment="1">
      <alignment horizontal="center" vertical="center"/>
    </xf>
    <xf numFmtId="4" fontId="33" fillId="50" borderId="19" xfId="0" applyNumberFormat="1" applyFont="1" applyFill="1" applyBorder="1" applyAlignment="1">
      <alignment horizontal="center" vertical="center" wrapText="1"/>
    </xf>
    <xf numFmtId="4" fontId="33" fillId="50" borderId="19" xfId="0" applyNumberFormat="1" applyFont="1" applyFill="1" applyBorder="1" applyAlignment="1">
      <alignment horizontal="center" vertical="center" wrapText="1"/>
    </xf>
    <xf numFmtId="164" fontId="35" fillId="0" borderId="19" xfId="0" applyNumberFormat="1" applyFont="1" applyFill="1" applyBorder="1" applyAlignment="1">
      <alignment horizontal="center" vertical="center"/>
    </xf>
    <xf numFmtId="4" fontId="34" fillId="0" borderId="19" xfId="0" applyNumberFormat="1" applyFont="1" applyFill="1" applyBorder="1" applyAlignment="1">
      <alignment horizontal="center" vertical="center" wrapText="1"/>
    </xf>
    <xf numFmtId="4" fontId="35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3" fontId="33" fillId="0" borderId="0" xfId="0" applyNumberFormat="1" applyFont="1" applyBorder="1" applyAlignment="1">
      <alignment horizontal="center" vertical="center"/>
    </xf>
    <xf numFmtId="164" fontId="35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13" fillId="0" borderId="19" xfId="0" applyFont="1" applyBorder="1" applyAlignment="1">
      <alignment horizontal="center" vertical="center"/>
    </xf>
    <xf numFmtId="3" fontId="33" fillId="0" borderId="21" xfId="0" applyNumberFormat="1" applyFont="1" applyBorder="1" applyAlignment="1">
      <alignment horizontal="center" vertical="center"/>
    </xf>
    <xf numFmtId="3" fontId="33" fillId="0" borderId="19" xfId="0" applyNumberFormat="1" applyFont="1" applyBorder="1" applyAlignment="1">
      <alignment horizontal="center" vertical="center"/>
    </xf>
    <xf numFmtId="164" fontId="35" fillId="0" borderId="19" xfId="0" applyNumberFormat="1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4" fontId="34" fillId="50" borderId="21" xfId="0" applyNumberFormat="1" applyFont="1" applyFill="1" applyBorder="1" applyAlignment="1">
      <alignment horizontal="center" vertical="center" wrapText="1"/>
    </xf>
    <xf numFmtId="4" fontId="34" fillId="50" borderId="19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4" fontId="34" fillId="0" borderId="21" xfId="0" applyNumberFormat="1" applyFont="1" applyFill="1" applyBorder="1" applyAlignment="1">
      <alignment horizontal="center" vertical="center" wrapText="1"/>
    </xf>
    <xf numFmtId="164" fontId="36" fillId="0" borderId="19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/>
    </xf>
    <xf numFmtId="0" fontId="12" fillId="40" borderId="19" xfId="0" applyFont="1" applyFill="1" applyBorder="1" applyAlignment="1">
      <alignment horizontal="center" vertical="top" wrapText="1"/>
    </xf>
    <xf numFmtId="4" fontId="36" fillId="40" borderId="20" xfId="0" applyNumberFormat="1" applyFont="1" applyFill="1" applyBorder="1" applyAlignment="1">
      <alignment horizontal="center" vertical="center"/>
    </xf>
    <xf numFmtId="4" fontId="36" fillId="40" borderId="21" xfId="0" applyNumberFormat="1" applyFont="1" applyFill="1" applyBorder="1" applyAlignment="1">
      <alignment horizontal="center" vertical="center"/>
    </xf>
    <xf numFmtId="164" fontId="36" fillId="40" borderId="19" xfId="71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top" wrapText="1"/>
    </xf>
    <xf numFmtId="4" fontId="35" fillId="0" borderId="20" xfId="0" applyNumberFormat="1" applyFont="1" applyBorder="1" applyAlignment="1">
      <alignment horizontal="center" vertical="center"/>
    </xf>
    <xf numFmtId="4" fontId="35" fillId="0" borderId="21" xfId="0" applyNumberFormat="1" applyFont="1" applyBorder="1" applyAlignment="1">
      <alignment horizontal="center" vertical="center"/>
    </xf>
    <xf numFmtId="164" fontId="36" fillId="51" borderId="19" xfId="71" applyNumberFormat="1" applyFont="1" applyFill="1" applyBorder="1" applyAlignment="1">
      <alignment horizontal="center" vertical="center"/>
    </xf>
    <xf numFmtId="164" fontId="36" fillId="51" borderId="19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top" wrapText="1"/>
    </xf>
    <xf numFmtId="4" fontId="35" fillId="0" borderId="20" xfId="0" applyNumberFormat="1" applyFont="1" applyFill="1" applyBorder="1" applyAlignment="1">
      <alignment horizontal="center" vertical="center"/>
    </xf>
    <xf numFmtId="4" fontId="35" fillId="0" borderId="21" xfId="0" applyNumberFormat="1" applyFont="1" applyFill="1" applyBorder="1" applyAlignment="1">
      <alignment horizontal="center" vertical="center"/>
    </xf>
    <xf numFmtId="164" fontId="36" fillId="0" borderId="19" xfId="71" applyNumberFormat="1" applyFont="1" applyFill="1" applyBorder="1" applyAlignment="1">
      <alignment horizontal="center" vertical="center"/>
    </xf>
    <xf numFmtId="0" fontId="12" fillId="50" borderId="19" xfId="0" applyFont="1" applyFill="1" applyBorder="1" applyAlignment="1">
      <alignment horizontal="center" vertical="top" wrapText="1"/>
    </xf>
    <xf numFmtId="4" fontId="36" fillId="50" borderId="20" xfId="0" applyNumberFormat="1" applyFont="1" applyFill="1" applyBorder="1" applyAlignment="1">
      <alignment horizontal="center" vertical="center"/>
    </xf>
    <xf numFmtId="4" fontId="36" fillId="50" borderId="21" xfId="0" applyNumberFormat="1" applyFont="1" applyFill="1" applyBorder="1" applyAlignment="1">
      <alignment horizontal="center" vertical="center"/>
    </xf>
    <xf numFmtId="164" fontId="36" fillId="50" borderId="19" xfId="71" applyNumberFormat="1" applyFont="1" applyFill="1" applyBorder="1" applyAlignment="1">
      <alignment horizontal="center" vertical="center"/>
    </xf>
    <xf numFmtId="0" fontId="55" fillId="0" borderId="19" xfId="89" applyFont="1" applyFill="1" applyBorder="1" applyAlignment="1">
      <alignment horizontal="center" vertical="top" wrapText="1"/>
      <protection/>
    </xf>
    <xf numFmtId="4" fontId="36" fillId="0" borderId="2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5" fillId="50" borderId="19" xfId="89" applyFont="1" applyFill="1" applyBorder="1" applyAlignment="1">
      <alignment horizontal="center" vertical="top" wrapText="1"/>
      <protection/>
    </xf>
    <xf numFmtId="0" fontId="55" fillId="0" borderId="19" xfId="89" applyFont="1" applyBorder="1" applyAlignment="1">
      <alignment horizontal="center" vertical="top" wrapText="1"/>
      <protection/>
    </xf>
    <xf numFmtId="4" fontId="34" fillId="0" borderId="19" xfId="0" applyNumberFormat="1" applyFont="1" applyFill="1" applyBorder="1" applyAlignment="1">
      <alignment horizontal="center" vertical="center"/>
    </xf>
    <xf numFmtId="4" fontId="34" fillId="0" borderId="19" xfId="0" applyNumberFormat="1" applyFont="1" applyFill="1" applyBorder="1" applyAlignment="1">
      <alignment horizontal="center" vertical="center" wrapText="1"/>
    </xf>
    <xf numFmtId="4" fontId="34" fillId="0" borderId="20" xfId="0" applyNumberFormat="1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4" fontId="36" fillId="50" borderId="19" xfId="0" applyNumberFormat="1" applyFont="1" applyFill="1" applyBorder="1" applyAlignment="1">
      <alignment horizontal="center" vertical="center"/>
    </xf>
    <xf numFmtId="4" fontId="33" fillId="50" borderId="19" xfId="0" applyNumberFormat="1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7" fillId="2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4" fontId="35" fillId="50" borderId="20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35" fillId="2" borderId="20" xfId="0" applyFont="1" applyFill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35" fillId="2" borderId="20" xfId="0" applyFont="1" applyFill="1" applyBorder="1" applyAlignment="1">
      <alignment horizontal="center" vertical="center"/>
    </xf>
    <xf numFmtId="0" fontId="35" fillId="2" borderId="20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te" xfId="90"/>
    <cellStyle name="Obliczenia" xfId="91"/>
    <cellStyle name="Followed Hyperlink" xfId="92"/>
    <cellStyle name="Output" xfId="93"/>
    <cellStyle name="Percent" xfId="94"/>
    <cellStyle name="Suma" xfId="95"/>
    <cellStyle name="Tekst objaśnienia" xfId="96"/>
    <cellStyle name="Tekst ostrzeżenia" xfId="97"/>
    <cellStyle name="Title" xfId="98"/>
    <cellStyle name="Total" xfId="99"/>
    <cellStyle name="Tytuł" xfId="100"/>
    <cellStyle name="Uwaga" xfId="101"/>
    <cellStyle name="Currency" xfId="102"/>
    <cellStyle name="Currency [0]" xfId="103"/>
    <cellStyle name="Warning Text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129"/>
  <sheetViews>
    <sheetView tabSelected="1" workbookViewId="0" topLeftCell="B1">
      <selection activeCell="B5" sqref="B5"/>
    </sheetView>
  </sheetViews>
  <sheetFormatPr defaultColWidth="9.00390625" defaultRowHeight="12.75"/>
  <cols>
    <col min="1" max="1" width="5.75390625" style="23" hidden="1" customWidth="1"/>
    <col min="2" max="2" width="22.875" style="23" customWidth="1"/>
    <col min="3" max="5" width="14.625" style="23" customWidth="1"/>
    <col min="6" max="6" width="13.875" style="23" customWidth="1"/>
    <col min="7" max="7" width="13.00390625" style="23" customWidth="1"/>
    <col min="8" max="9" width="12.25390625" style="23" customWidth="1"/>
    <col min="10" max="10" width="13.00390625" style="23" customWidth="1"/>
    <col min="11" max="11" width="7.375" style="23" customWidth="1"/>
    <col min="12" max="12" width="7.25390625" style="23" customWidth="1"/>
    <col min="13" max="13" width="8.125" style="23" customWidth="1"/>
    <col min="14" max="16384" width="9.125" style="23" customWidth="1"/>
  </cols>
  <sheetData>
    <row r="1" spans="2:13" ht="27.75" customHeight="1">
      <c r="B1" s="102" t="s">
        <v>118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2:13" ht="63" customHeight="1">
      <c r="B2" s="103" t="s">
        <v>0</v>
      </c>
      <c r="C2" s="5" t="s">
        <v>32</v>
      </c>
      <c r="D2" s="5" t="s">
        <v>33</v>
      </c>
      <c r="E2" s="5" t="s">
        <v>34</v>
      </c>
      <c r="F2" s="5" t="s">
        <v>35</v>
      </c>
      <c r="G2" s="5" t="s">
        <v>36</v>
      </c>
      <c r="H2" s="5" t="s">
        <v>37</v>
      </c>
      <c r="I2" s="5" t="s">
        <v>38</v>
      </c>
      <c r="J2" s="5" t="s">
        <v>39</v>
      </c>
      <c r="K2" s="6" t="s">
        <v>2</v>
      </c>
      <c r="L2" s="5" t="s">
        <v>18</v>
      </c>
      <c r="M2" s="5" t="s">
        <v>3</v>
      </c>
    </row>
    <row r="3" spans="2:13" ht="12.75">
      <c r="B3" s="103"/>
      <c r="C3" s="122" t="s">
        <v>84</v>
      </c>
      <c r="D3" s="122"/>
      <c r="E3" s="122"/>
      <c r="F3" s="122"/>
      <c r="G3" s="122"/>
      <c r="H3" s="122"/>
      <c r="I3" s="122"/>
      <c r="J3" s="122"/>
      <c r="K3" s="122" t="s">
        <v>4</v>
      </c>
      <c r="L3" s="122"/>
      <c r="M3" s="122"/>
    </row>
    <row r="4" spans="2:13" ht="12.75">
      <c r="B4" s="6">
        <v>1</v>
      </c>
      <c r="C4" s="8">
        <v>2</v>
      </c>
      <c r="D4" s="8">
        <v>3</v>
      </c>
      <c r="E4" s="8">
        <v>4</v>
      </c>
      <c r="F4" s="6">
        <v>5</v>
      </c>
      <c r="G4" s="8">
        <v>6</v>
      </c>
      <c r="H4" s="6">
        <v>7</v>
      </c>
      <c r="I4" s="8">
        <v>8</v>
      </c>
      <c r="J4" s="6">
        <v>9</v>
      </c>
      <c r="K4" s="8">
        <v>10</v>
      </c>
      <c r="L4" s="6">
        <v>11</v>
      </c>
      <c r="M4" s="8">
        <v>12</v>
      </c>
    </row>
    <row r="5" spans="2:13" ht="12.75">
      <c r="B5" s="24" t="s">
        <v>5</v>
      </c>
      <c r="C5" s="25">
        <f>90260795917.92</f>
        <v>90260795917.92</v>
      </c>
      <c r="D5" s="25">
        <f>45697195222.71</f>
        <v>45697195222.71</v>
      </c>
      <c r="E5" s="25">
        <f>42940532371.73</f>
        <v>42940532371.73</v>
      </c>
      <c r="F5" s="25">
        <f>293634681.49</f>
        <v>293634681.49</v>
      </c>
      <c r="G5" s="25">
        <f>62571371.66</f>
        <v>62571371.66</v>
      </c>
      <c r="H5" s="25">
        <f>7657131.1</f>
        <v>7657131.1</v>
      </c>
      <c r="I5" s="25">
        <f>69700525.23</f>
        <v>69700525.23</v>
      </c>
      <c r="J5" s="25">
        <f>642161.58</f>
        <v>642161.58</v>
      </c>
      <c r="K5" s="26">
        <f aca="true" t="shared" si="0" ref="K5:K63">IF($D$5=0,"",100*$D5/$D$5)</f>
        <v>100</v>
      </c>
      <c r="L5" s="26">
        <f aca="true" t="shared" si="1" ref="L5:L63">IF(C5=0,"",100*D5/C5)</f>
        <v>50.62795509167172</v>
      </c>
      <c r="M5" s="26"/>
    </row>
    <row r="6" spans="2:13" ht="25.5" customHeight="1">
      <c r="B6" s="24" t="s">
        <v>64</v>
      </c>
      <c r="C6" s="25">
        <f>C5-C23-C50</f>
        <v>54346783727.5</v>
      </c>
      <c r="D6" s="25">
        <f>D5-D23-D50</f>
        <v>27168460201</v>
      </c>
      <c r="E6" s="25">
        <f>E5-E23-E50</f>
        <v>25655178568.600006</v>
      </c>
      <c r="F6" s="25">
        <f>F5</f>
        <v>293634681.49</v>
      </c>
      <c r="G6" s="25">
        <f>G5</f>
        <v>62571371.66</v>
      </c>
      <c r="H6" s="25">
        <f>H5</f>
        <v>7657131.1</v>
      </c>
      <c r="I6" s="25">
        <f>I5</f>
        <v>69700525.23</v>
      </c>
      <c r="J6" s="25">
        <f>J5</f>
        <v>642161.58</v>
      </c>
      <c r="K6" s="26">
        <f t="shared" si="0"/>
        <v>59.45323354878063</v>
      </c>
      <c r="L6" s="26">
        <f t="shared" si="1"/>
        <v>49.99092556649768</v>
      </c>
      <c r="M6" s="26">
        <f aca="true" t="shared" si="2" ref="M6:M22">IF($D$6=0,"",100*$D6/$D$6)</f>
        <v>100</v>
      </c>
    </row>
    <row r="7" spans="2:13" ht="33.75">
      <c r="B7" s="27" t="s">
        <v>65</v>
      </c>
      <c r="C7" s="28">
        <f>1769573484.57</f>
        <v>1769573484.57</v>
      </c>
      <c r="D7" s="28">
        <f>1237355181.67</f>
        <v>1237355181.67</v>
      </c>
      <c r="E7" s="28">
        <f>1250915473.02</f>
        <v>1250915473.02</v>
      </c>
      <c r="F7" s="28">
        <f>0</f>
        <v>0</v>
      </c>
      <c r="G7" s="28">
        <f>0</f>
        <v>0</v>
      </c>
      <c r="H7" s="28">
        <f>0</f>
        <v>0</v>
      </c>
      <c r="I7" s="28">
        <f>0</f>
        <v>0</v>
      </c>
      <c r="J7" s="28">
        <f>0</f>
        <v>0</v>
      </c>
      <c r="K7" s="29">
        <f t="shared" si="0"/>
        <v>2.707726755744246</v>
      </c>
      <c r="L7" s="29">
        <f t="shared" si="1"/>
        <v>69.92392192012714</v>
      </c>
      <c r="M7" s="29">
        <f t="shared" si="2"/>
        <v>4.554380971596087</v>
      </c>
    </row>
    <row r="8" spans="2:13" ht="33.75">
      <c r="B8" s="30" t="s">
        <v>66</v>
      </c>
      <c r="C8" s="31">
        <f>476674003</f>
        <v>476674003</v>
      </c>
      <c r="D8" s="31">
        <f>258166545.25</f>
        <v>258166545.25</v>
      </c>
      <c r="E8" s="31">
        <f>260941177.51</f>
        <v>260941177.51</v>
      </c>
      <c r="F8" s="31">
        <f>0</f>
        <v>0</v>
      </c>
      <c r="G8" s="31">
        <f>0</f>
        <v>0</v>
      </c>
      <c r="H8" s="31">
        <f>0</f>
        <v>0</v>
      </c>
      <c r="I8" s="31">
        <f>0</f>
        <v>0</v>
      </c>
      <c r="J8" s="31">
        <f>0</f>
        <v>0</v>
      </c>
      <c r="K8" s="29">
        <f t="shared" si="0"/>
        <v>0.5649505270330021</v>
      </c>
      <c r="L8" s="29">
        <f t="shared" si="1"/>
        <v>54.159980117480835</v>
      </c>
      <c r="M8" s="29">
        <f t="shared" si="2"/>
        <v>0.9502435667682689</v>
      </c>
    </row>
    <row r="9" spans="2:13" ht="33.75">
      <c r="B9" s="30" t="s">
        <v>67</v>
      </c>
      <c r="C9" s="31">
        <f>19405923024</f>
        <v>19405923024</v>
      </c>
      <c r="D9" s="31">
        <f>9082182541</f>
        <v>9082182541</v>
      </c>
      <c r="E9" s="31">
        <f>7887756212</f>
        <v>7887756212</v>
      </c>
      <c r="F9" s="31">
        <f>0</f>
        <v>0</v>
      </c>
      <c r="G9" s="31">
        <f>0</f>
        <v>0</v>
      </c>
      <c r="H9" s="31">
        <f>0</f>
        <v>0</v>
      </c>
      <c r="I9" s="31">
        <f>0</f>
        <v>0</v>
      </c>
      <c r="J9" s="31">
        <f>0</f>
        <v>0</v>
      </c>
      <c r="K9" s="29">
        <f t="shared" si="0"/>
        <v>19.87470455623599</v>
      </c>
      <c r="L9" s="29">
        <f t="shared" si="1"/>
        <v>46.801085059276694</v>
      </c>
      <c r="M9" s="29">
        <f t="shared" si="2"/>
        <v>33.42913979595247</v>
      </c>
    </row>
    <row r="10" spans="2:13" ht="33.75">
      <c r="B10" s="30" t="s">
        <v>68</v>
      </c>
      <c r="C10" s="31">
        <f>5220025948</f>
        <v>5220025948</v>
      </c>
      <c r="D10" s="31">
        <f>2441338370</f>
        <v>2441338370</v>
      </c>
      <c r="E10" s="31">
        <f>2120573833</f>
        <v>2120573833</v>
      </c>
      <c r="F10" s="31">
        <f>0</f>
        <v>0</v>
      </c>
      <c r="G10" s="31">
        <f>0</f>
        <v>0</v>
      </c>
      <c r="H10" s="31">
        <f>0</f>
        <v>0</v>
      </c>
      <c r="I10" s="31">
        <f>0</f>
        <v>0</v>
      </c>
      <c r="J10" s="31">
        <f>0</f>
        <v>0</v>
      </c>
      <c r="K10" s="29">
        <f t="shared" si="0"/>
        <v>5.342424974009642</v>
      </c>
      <c r="L10" s="29">
        <f t="shared" si="1"/>
        <v>46.76870180952595</v>
      </c>
      <c r="M10" s="29">
        <f t="shared" si="2"/>
        <v>8.985928359348613</v>
      </c>
    </row>
    <row r="11" spans="2:13" ht="12.75">
      <c r="B11" s="30" t="s">
        <v>19</v>
      </c>
      <c r="C11" s="31">
        <f>21732493</f>
        <v>21732493</v>
      </c>
      <c r="D11" s="31">
        <f>14898417.75</f>
        <v>14898417.75</v>
      </c>
      <c r="E11" s="31">
        <f>14887400.81</f>
        <v>14887400.81</v>
      </c>
      <c r="F11" s="31">
        <f>623898.4</f>
        <v>623898.4</v>
      </c>
      <c r="G11" s="31">
        <f>7523.32</f>
        <v>7523.32</v>
      </c>
      <c r="H11" s="31">
        <f>30297.01</f>
        <v>30297.01</v>
      </c>
      <c r="I11" s="31">
        <f>81307.74</f>
        <v>81307.74</v>
      </c>
      <c r="J11" s="31">
        <f>0</f>
        <v>0</v>
      </c>
      <c r="K11" s="29">
        <f t="shared" si="0"/>
        <v>0.03260247741112124</v>
      </c>
      <c r="L11" s="29">
        <f t="shared" si="1"/>
        <v>68.55365258831557</v>
      </c>
      <c r="M11" s="29">
        <f t="shared" si="2"/>
        <v>0.05483718120120635</v>
      </c>
    </row>
    <row r="12" spans="2:13" ht="12.75">
      <c r="B12" s="30" t="s">
        <v>20</v>
      </c>
      <c r="C12" s="31">
        <f>8955861297.44</f>
        <v>8955861297.44</v>
      </c>
      <c r="D12" s="32">
        <f>4740458590.47</f>
        <v>4740458590.47</v>
      </c>
      <c r="E12" s="31">
        <f>4740333795.66</f>
        <v>4740333795.66</v>
      </c>
      <c r="F12" s="31">
        <f>159701755.56</f>
        <v>159701755.56</v>
      </c>
      <c r="G12" s="31">
        <f>61820680.44</f>
        <v>61820680.44</v>
      </c>
      <c r="H12" s="31">
        <f>5997944.97</f>
        <v>5997944.97</v>
      </c>
      <c r="I12" s="31">
        <f>58126237.71</f>
        <v>58126237.71</v>
      </c>
      <c r="J12" s="31">
        <f>489178.36</f>
        <v>489178.36</v>
      </c>
      <c r="K12" s="29">
        <f t="shared" si="0"/>
        <v>10.37363139546505</v>
      </c>
      <c r="L12" s="29">
        <f t="shared" si="1"/>
        <v>52.93135336771062</v>
      </c>
      <c r="M12" s="29">
        <f t="shared" si="2"/>
        <v>17.448388886962082</v>
      </c>
    </row>
    <row r="13" spans="2:13" ht="12.75">
      <c r="B13" s="30" t="s">
        <v>21</v>
      </c>
      <c r="C13" s="31">
        <f>4548622</f>
        <v>4548622</v>
      </c>
      <c r="D13" s="32">
        <f>2584150.71</f>
        <v>2584150.71</v>
      </c>
      <c r="E13" s="31">
        <f>2584141.96</f>
        <v>2584141.96</v>
      </c>
      <c r="F13" s="31">
        <f>2733.11</f>
        <v>2733.11</v>
      </c>
      <c r="G13" s="31">
        <f>11648.08</f>
        <v>11648.08</v>
      </c>
      <c r="H13" s="31">
        <f>139.75</f>
        <v>139.75</v>
      </c>
      <c r="I13" s="31">
        <f>1179.14</f>
        <v>1179.14</v>
      </c>
      <c r="J13" s="31">
        <f>0</f>
        <v>0</v>
      </c>
      <c r="K13" s="29">
        <f t="shared" si="0"/>
        <v>0.005654943804331698</v>
      </c>
      <c r="L13" s="29">
        <f t="shared" si="1"/>
        <v>56.81172693620178</v>
      </c>
      <c r="M13" s="29">
        <f t="shared" si="2"/>
        <v>0.00951158325087884</v>
      </c>
    </row>
    <row r="14" spans="2:13" ht="22.5">
      <c r="B14" s="30" t="s">
        <v>22</v>
      </c>
      <c r="C14" s="31">
        <f>354524000</f>
        <v>354524000</v>
      </c>
      <c r="D14" s="32">
        <f>187409714.59</f>
        <v>187409714.59</v>
      </c>
      <c r="E14" s="31">
        <f>187397267.09</f>
        <v>187397267.09</v>
      </c>
      <c r="F14" s="31">
        <f>132719278.51</f>
        <v>132719278.51</v>
      </c>
      <c r="G14" s="31">
        <f>40397.42</f>
        <v>40397.42</v>
      </c>
      <c r="H14" s="31">
        <f>179482.6</f>
        <v>179482.6</v>
      </c>
      <c r="I14" s="31">
        <f>1261919.11</f>
        <v>1261919.11</v>
      </c>
      <c r="J14" s="31">
        <f>0</f>
        <v>0</v>
      </c>
      <c r="K14" s="29">
        <f t="shared" si="0"/>
        <v>0.4101120729109071</v>
      </c>
      <c r="L14" s="29">
        <f t="shared" si="1"/>
        <v>52.86234911881847</v>
      </c>
      <c r="M14" s="29">
        <f t="shared" si="2"/>
        <v>0.6898061693724621</v>
      </c>
    </row>
    <row r="15" spans="2:13" ht="33.75">
      <c r="B15" s="30" t="s">
        <v>41</v>
      </c>
      <c r="C15" s="31">
        <f>31076984</f>
        <v>31076984</v>
      </c>
      <c r="D15" s="32">
        <f>13018476.95</f>
        <v>13018476.95</v>
      </c>
      <c r="E15" s="31">
        <f>13196004.31</f>
        <v>13196004.31</v>
      </c>
      <c r="F15" s="31">
        <f>0</f>
        <v>0</v>
      </c>
      <c r="G15" s="31">
        <f>0</f>
        <v>0</v>
      </c>
      <c r="H15" s="31">
        <f>6957.32</f>
        <v>6957.32</v>
      </c>
      <c r="I15" s="31">
        <f>192591.98</f>
        <v>192591.98</v>
      </c>
      <c r="J15" s="31">
        <f>0</f>
        <v>0</v>
      </c>
      <c r="K15" s="29">
        <f t="shared" si="0"/>
        <v>0.02848856890790148</v>
      </c>
      <c r="L15" s="29">
        <f t="shared" si="1"/>
        <v>41.89105657743364</v>
      </c>
      <c r="M15" s="29">
        <f t="shared" si="2"/>
        <v>0.04791761054430616</v>
      </c>
    </row>
    <row r="16" spans="2:13" ht="22.5" customHeight="1">
      <c r="B16" s="30" t="s">
        <v>27</v>
      </c>
      <c r="C16" s="31">
        <f>168515565</f>
        <v>168515565</v>
      </c>
      <c r="D16" s="32">
        <f>88758487.35</f>
        <v>88758487.35</v>
      </c>
      <c r="E16" s="31">
        <f>87136915.09</f>
        <v>87136915.09</v>
      </c>
      <c r="F16" s="31">
        <f>0</f>
        <v>0</v>
      </c>
      <c r="G16" s="31">
        <f>0</f>
        <v>0</v>
      </c>
      <c r="H16" s="31">
        <f>606296.1</f>
        <v>606296.1</v>
      </c>
      <c r="I16" s="31">
        <f>3105855.21</f>
        <v>3105855.21</v>
      </c>
      <c r="J16" s="31">
        <f>0</f>
        <v>0</v>
      </c>
      <c r="K16" s="29">
        <f t="shared" si="0"/>
        <v>0.19423180551328445</v>
      </c>
      <c r="L16" s="29">
        <f t="shared" si="1"/>
        <v>52.67079474231357</v>
      </c>
      <c r="M16" s="29">
        <f t="shared" si="2"/>
        <v>0.32669678992971796</v>
      </c>
    </row>
    <row r="17" spans="2:13" ht="22.5" customHeight="1">
      <c r="B17" s="30" t="s">
        <v>28</v>
      </c>
      <c r="C17" s="31">
        <f>1396298448</f>
        <v>1396298448</v>
      </c>
      <c r="D17" s="32">
        <f>740744620.55</f>
        <v>740744620.55</v>
      </c>
      <c r="E17" s="31">
        <f>738557887.63</f>
        <v>738557887.63</v>
      </c>
      <c r="F17" s="31">
        <f>0</f>
        <v>0</v>
      </c>
      <c r="G17" s="31">
        <f>0</f>
        <v>0</v>
      </c>
      <c r="H17" s="31">
        <f>753</f>
        <v>753</v>
      </c>
      <c r="I17" s="31">
        <f>127156.76</f>
        <v>127156.76</v>
      </c>
      <c r="J17" s="31">
        <f>0</f>
        <v>0</v>
      </c>
      <c r="K17" s="29">
        <f t="shared" si="0"/>
        <v>1.620984869946404</v>
      </c>
      <c r="L17" s="29">
        <f t="shared" si="1"/>
        <v>53.0505939909202</v>
      </c>
      <c r="M17" s="29">
        <f t="shared" si="2"/>
        <v>2.7264873131188168</v>
      </c>
    </row>
    <row r="18" spans="2:13" ht="12.75">
      <c r="B18" s="30" t="s">
        <v>55</v>
      </c>
      <c r="C18" s="31">
        <f>301679030</f>
        <v>301679030</v>
      </c>
      <c r="D18" s="32">
        <f>164047969.87</f>
        <v>164047969.87</v>
      </c>
      <c r="E18" s="31">
        <f>163847694.52</f>
        <v>163847694.52</v>
      </c>
      <c r="F18" s="31">
        <f>0</f>
        <v>0</v>
      </c>
      <c r="G18" s="31">
        <f>0</f>
        <v>0</v>
      </c>
      <c r="H18" s="31">
        <f>9033</f>
        <v>9033</v>
      </c>
      <c r="I18" s="31">
        <f>0</f>
        <v>0</v>
      </c>
      <c r="J18" s="31">
        <f>0</f>
        <v>0</v>
      </c>
      <c r="K18" s="29">
        <f t="shared" si="0"/>
        <v>0.3589891437986408</v>
      </c>
      <c r="L18" s="29">
        <f t="shared" si="1"/>
        <v>54.378313888771125</v>
      </c>
      <c r="M18" s="29">
        <f t="shared" si="2"/>
        <v>0.6038176939595635</v>
      </c>
    </row>
    <row r="19" spans="2:13" ht="12.75">
      <c r="B19" s="30" t="s">
        <v>56</v>
      </c>
      <c r="C19" s="31">
        <f>9830915</f>
        <v>9830915</v>
      </c>
      <c r="D19" s="32">
        <f>4942421.05</f>
        <v>4942421.05</v>
      </c>
      <c r="E19" s="31">
        <f>4942421.05</f>
        <v>4942421.05</v>
      </c>
      <c r="F19" s="31">
        <f>0</f>
        <v>0</v>
      </c>
      <c r="G19" s="31">
        <f>0</f>
        <v>0</v>
      </c>
      <c r="H19" s="31">
        <f>0</f>
        <v>0</v>
      </c>
      <c r="I19" s="31">
        <f>0</f>
        <v>0</v>
      </c>
      <c r="J19" s="31">
        <f>0</f>
        <v>0</v>
      </c>
      <c r="K19" s="29">
        <f t="shared" si="0"/>
        <v>0.01081558950371593</v>
      </c>
      <c r="L19" s="29">
        <f t="shared" si="1"/>
        <v>50.27427304579482</v>
      </c>
      <c r="M19" s="29">
        <f t="shared" si="2"/>
        <v>0.018191759906283102</v>
      </c>
    </row>
    <row r="20" spans="2:13" ht="12.75">
      <c r="B20" s="30" t="s">
        <v>57</v>
      </c>
      <c r="C20" s="31">
        <f>20024300</f>
        <v>20024300</v>
      </c>
      <c r="D20" s="32">
        <f>9281414</f>
        <v>9281414</v>
      </c>
      <c r="E20" s="31">
        <f>9266167</f>
        <v>9266167</v>
      </c>
      <c r="F20" s="31">
        <f>0</f>
        <v>0</v>
      </c>
      <c r="G20" s="31">
        <f>0</f>
        <v>0</v>
      </c>
      <c r="H20" s="31">
        <f>4200</f>
        <v>4200</v>
      </c>
      <c r="I20" s="31">
        <f>2795</f>
        <v>2795</v>
      </c>
      <c r="J20" s="31">
        <f>0</f>
        <v>0</v>
      </c>
      <c r="K20" s="29">
        <f t="shared" si="0"/>
        <v>0.020310686366561602</v>
      </c>
      <c r="L20" s="29">
        <f t="shared" si="1"/>
        <v>46.35075383409158</v>
      </c>
      <c r="M20" s="29">
        <f t="shared" si="2"/>
        <v>0.03416245871622263</v>
      </c>
    </row>
    <row r="21" spans="2:13" ht="12.75">
      <c r="B21" s="30" t="s">
        <v>23</v>
      </c>
      <c r="C21" s="31">
        <f>4269837781.99</f>
        <v>4269837781.99</v>
      </c>
      <c r="D21" s="32">
        <f>1708070419.48</f>
        <v>1708070419.48</v>
      </c>
      <c r="E21" s="31">
        <f>1707289702.31</f>
        <v>1707289702.31</v>
      </c>
      <c r="F21" s="31">
        <f>0</f>
        <v>0</v>
      </c>
      <c r="G21" s="31">
        <f>0</f>
        <v>0</v>
      </c>
      <c r="H21" s="31">
        <f>0</f>
        <v>0</v>
      </c>
      <c r="I21" s="31">
        <f>0</f>
        <v>0</v>
      </c>
      <c r="J21" s="31">
        <f>0</f>
        <v>0</v>
      </c>
      <c r="K21" s="29">
        <f t="shared" si="0"/>
        <v>3.7378014365116776</v>
      </c>
      <c r="L21" s="29">
        <f t="shared" si="1"/>
        <v>40.00316889518779</v>
      </c>
      <c r="M21" s="29">
        <f t="shared" si="2"/>
        <v>6.286960714163442</v>
      </c>
    </row>
    <row r="22" spans="2:13" ht="13.5" customHeight="1">
      <c r="B22" s="30" t="s">
        <v>24</v>
      </c>
      <c r="C22" s="31">
        <f>C6-SUM(C7:C21)</f>
        <v>11940657831.5</v>
      </c>
      <c r="D22" s="31">
        <f aca="true" t="shared" si="3" ref="D22:J22">D6-SUM(D7:D21)</f>
        <v>6475202880.310005</v>
      </c>
      <c r="E22" s="31">
        <f t="shared" si="3"/>
        <v>6465552475.640007</v>
      </c>
      <c r="F22" s="31">
        <f t="shared" si="3"/>
        <v>587015.9099999666</v>
      </c>
      <c r="G22" s="31">
        <f t="shared" si="3"/>
        <v>691122.3999999985</v>
      </c>
      <c r="H22" s="31">
        <f t="shared" si="3"/>
        <v>822027.3500000006</v>
      </c>
      <c r="I22" s="31">
        <f t="shared" si="3"/>
        <v>6801482.580000006</v>
      </c>
      <c r="J22" s="31">
        <f t="shared" si="3"/>
        <v>152983.21999999997</v>
      </c>
      <c r="K22" s="29">
        <f t="shared" si="0"/>
        <v>14.169803745618161</v>
      </c>
      <c r="L22" s="29">
        <f t="shared" si="1"/>
        <v>54.22819221256072</v>
      </c>
      <c r="M22" s="29">
        <f t="shared" si="2"/>
        <v>23.833529145209596</v>
      </c>
    </row>
    <row r="23" spans="2:13" ht="26.25" customHeight="1">
      <c r="B23" s="24" t="s">
        <v>76</v>
      </c>
      <c r="C23" s="25">
        <f>C24+C46+C48</f>
        <v>19245009561.42</v>
      </c>
      <c r="D23" s="25">
        <f>D24+D46+D48</f>
        <v>8473393757.71</v>
      </c>
      <c r="E23" s="25">
        <f>E24+E46+E48</f>
        <v>8409771549.13</v>
      </c>
      <c r="F23" s="33" t="s">
        <v>63</v>
      </c>
      <c r="G23" s="33" t="s">
        <v>63</v>
      </c>
      <c r="H23" s="33" t="s">
        <v>63</v>
      </c>
      <c r="I23" s="33" t="s">
        <v>63</v>
      </c>
      <c r="J23" s="33" t="s">
        <v>63</v>
      </c>
      <c r="K23" s="26">
        <f t="shared" si="0"/>
        <v>18.54248103502642</v>
      </c>
      <c r="L23" s="26">
        <f t="shared" si="1"/>
        <v>44.029044156446695</v>
      </c>
      <c r="M23" s="34"/>
    </row>
    <row r="24" spans="2:13" ht="25.5" customHeight="1">
      <c r="B24" s="24" t="s">
        <v>69</v>
      </c>
      <c r="C24" s="25">
        <f>C25+C32+C39</f>
        <v>12393418909.829998</v>
      </c>
      <c r="D24" s="25">
        <f>D25+D32+D39</f>
        <v>6720848008.5199995</v>
      </c>
      <c r="E24" s="25">
        <f>E25+E32+E39</f>
        <v>6660271375.59</v>
      </c>
      <c r="F24" s="33" t="s">
        <v>63</v>
      </c>
      <c r="G24" s="33" t="s">
        <v>63</v>
      </c>
      <c r="H24" s="33" t="s">
        <v>63</v>
      </c>
      <c r="I24" s="33" t="s">
        <v>63</v>
      </c>
      <c r="J24" s="33" t="s">
        <v>63</v>
      </c>
      <c r="K24" s="26">
        <f t="shared" si="0"/>
        <v>14.707353428947341</v>
      </c>
      <c r="L24" s="26">
        <f t="shared" si="1"/>
        <v>54.229168378947264</v>
      </c>
      <c r="M24" s="35"/>
    </row>
    <row r="25" spans="2:13" ht="13.5" customHeight="1">
      <c r="B25" s="36" t="s">
        <v>58</v>
      </c>
      <c r="C25" s="25">
        <f>C26+C28+C30</f>
        <v>9981400207.469997</v>
      </c>
      <c r="D25" s="25">
        <f>D26+D28+D30</f>
        <v>5462021864.679999</v>
      </c>
      <c r="E25" s="25">
        <f>E26+E28+E30</f>
        <v>5452412098</v>
      </c>
      <c r="F25" s="33" t="s">
        <v>63</v>
      </c>
      <c r="G25" s="33" t="s">
        <v>63</v>
      </c>
      <c r="H25" s="33" t="s">
        <v>63</v>
      </c>
      <c r="I25" s="33" t="s">
        <v>63</v>
      </c>
      <c r="J25" s="33" t="s">
        <v>63</v>
      </c>
      <c r="K25" s="26">
        <f t="shared" si="0"/>
        <v>11.952641377791945</v>
      </c>
      <c r="L25" s="26">
        <f t="shared" si="1"/>
        <v>54.72200043228672</v>
      </c>
      <c r="M25" s="35"/>
    </row>
    <row r="26" spans="2:13" ht="22.5" customHeight="1">
      <c r="B26" s="30" t="s">
        <v>9</v>
      </c>
      <c r="C26" s="28">
        <f>8683337558.64</f>
        <v>8683337558.64</v>
      </c>
      <c r="D26" s="37">
        <f>4762289149.95</f>
        <v>4762289149.95</v>
      </c>
      <c r="E26" s="28">
        <f>4754513287.13</f>
        <v>4754513287.13</v>
      </c>
      <c r="F26" s="28" t="s">
        <v>63</v>
      </c>
      <c r="G26" s="28" t="s">
        <v>63</v>
      </c>
      <c r="H26" s="28" t="s">
        <v>63</v>
      </c>
      <c r="I26" s="28" t="s">
        <v>63</v>
      </c>
      <c r="J26" s="28" t="s">
        <v>63</v>
      </c>
      <c r="K26" s="29">
        <f t="shared" si="0"/>
        <v>10.42140360418291</v>
      </c>
      <c r="L26" s="29">
        <f t="shared" si="1"/>
        <v>54.843994233662826</v>
      </c>
      <c r="M26" s="35"/>
    </row>
    <row r="27" spans="2:13" ht="12.75">
      <c r="B27" s="30" t="s">
        <v>6</v>
      </c>
      <c r="C27" s="31">
        <f>98114.64</f>
        <v>98114.64</v>
      </c>
      <c r="D27" s="31">
        <f>0</f>
        <v>0</v>
      </c>
      <c r="E27" s="31">
        <f>0</f>
        <v>0</v>
      </c>
      <c r="F27" s="31" t="s">
        <v>63</v>
      </c>
      <c r="G27" s="31" t="s">
        <v>63</v>
      </c>
      <c r="H27" s="31" t="s">
        <v>63</v>
      </c>
      <c r="I27" s="31" t="s">
        <v>63</v>
      </c>
      <c r="J27" s="31" t="s">
        <v>63</v>
      </c>
      <c r="K27" s="29">
        <f t="shared" si="0"/>
        <v>0</v>
      </c>
      <c r="L27" s="29">
        <f t="shared" si="1"/>
        <v>0</v>
      </c>
      <c r="M27" s="35"/>
    </row>
    <row r="28" spans="2:13" ht="13.5" customHeight="1">
      <c r="B28" s="30" t="s">
        <v>7</v>
      </c>
      <c r="C28" s="31">
        <f>1280823267.87</f>
        <v>1280823267.87</v>
      </c>
      <c r="D28" s="32">
        <f>690297106.15</f>
        <v>690297106.15</v>
      </c>
      <c r="E28" s="31">
        <f>688506599.15</f>
        <v>688506599.15</v>
      </c>
      <c r="F28" s="31" t="s">
        <v>63</v>
      </c>
      <c r="G28" s="31" t="s">
        <v>63</v>
      </c>
      <c r="H28" s="31" t="s">
        <v>63</v>
      </c>
      <c r="I28" s="31" t="s">
        <v>63</v>
      </c>
      <c r="J28" s="31" t="s">
        <v>63</v>
      </c>
      <c r="K28" s="29">
        <f t="shared" si="0"/>
        <v>1.5105896604502</v>
      </c>
      <c r="L28" s="29">
        <f t="shared" si="1"/>
        <v>53.8947974686593</v>
      </c>
      <c r="M28" s="35"/>
    </row>
    <row r="29" spans="2:13" ht="12.75">
      <c r="B29" s="30" t="s">
        <v>6</v>
      </c>
      <c r="C29" s="31">
        <f>40496674</f>
        <v>40496674</v>
      </c>
      <c r="D29" s="31">
        <f>244900</f>
        <v>244900</v>
      </c>
      <c r="E29" s="31">
        <f>245000</f>
        <v>245000</v>
      </c>
      <c r="F29" s="31" t="s">
        <v>63</v>
      </c>
      <c r="G29" s="31" t="s">
        <v>63</v>
      </c>
      <c r="H29" s="31" t="s">
        <v>63</v>
      </c>
      <c r="I29" s="31" t="s">
        <v>63</v>
      </c>
      <c r="J29" s="31" t="s">
        <v>63</v>
      </c>
      <c r="K29" s="29">
        <f t="shared" si="0"/>
        <v>0.0005359191057710535</v>
      </c>
      <c r="L29" s="29">
        <f t="shared" si="1"/>
        <v>0.6047410214478355</v>
      </c>
      <c r="M29" s="35"/>
    </row>
    <row r="30" spans="2:13" ht="33.75">
      <c r="B30" s="30" t="s">
        <v>10</v>
      </c>
      <c r="C30" s="31">
        <f>17239380.96</f>
        <v>17239380.96</v>
      </c>
      <c r="D30" s="32">
        <f>9435608.58</f>
        <v>9435608.58</v>
      </c>
      <c r="E30" s="31">
        <f>9392211.72</f>
        <v>9392211.72</v>
      </c>
      <c r="F30" s="31" t="s">
        <v>63</v>
      </c>
      <c r="G30" s="31" t="s">
        <v>63</v>
      </c>
      <c r="H30" s="31" t="s">
        <v>63</v>
      </c>
      <c r="I30" s="31" t="s">
        <v>63</v>
      </c>
      <c r="J30" s="31" t="s">
        <v>63</v>
      </c>
      <c r="K30" s="29">
        <f t="shared" si="0"/>
        <v>0.0206481131588374</v>
      </c>
      <c r="L30" s="29">
        <f t="shared" si="1"/>
        <v>54.73287354048935</v>
      </c>
      <c r="M30" s="35"/>
    </row>
    <row r="31" spans="2:13" ht="12.75">
      <c r="B31" s="30" t="s">
        <v>6</v>
      </c>
      <c r="C31" s="31">
        <f>1554339</f>
        <v>1554339</v>
      </c>
      <c r="D31" s="31">
        <f>0</f>
        <v>0</v>
      </c>
      <c r="E31" s="31">
        <f>-3380</f>
        <v>-3380</v>
      </c>
      <c r="F31" s="31" t="s">
        <v>63</v>
      </c>
      <c r="G31" s="31" t="s">
        <v>63</v>
      </c>
      <c r="H31" s="31" t="s">
        <v>63</v>
      </c>
      <c r="I31" s="31" t="s">
        <v>63</v>
      </c>
      <c r="J31" s="31" t="s">
        <v>63</v>
      </c>
      <c r="K31" s="29">
        <f t="shared" si="0"/>
        <v>0</v>
      </c>
      <c r="L31" s="29">
        <f t="shared" si="1"/>
        <v>0</v>
      </c>
      <c r="M31" s="35"/>
    </row>
    <row r="32" spans="2:13" ht="13.5" customHeight="1">
      <c r="B32" s="38" t="s">
        <v>59</v>
      </c>
      <c r="C32" s="25">
        <f>C33+C35+C37</f>
        <v>1846816127.41</v>
      </c>
      <c r="D32" s="25">
        <f>D33+D35+D37</f>
        <v>1015894318.6800001</v>
      </c>
      <c r="E32" s="25">
        <f>E33+E35+E37</f>
        <v>964877438.92</v>
      </c>
      <c r="F32" s="33" t="s">
        <v>63</v>
      </c>
      <c r="G32" s="33" t="s">
        <v>63</v>
      </c>
      <c r="H32" s="33" t="s">
        <v>63</v>
      </c>
      <c r="I32" s="33" t="s">
        <v>63</v>
      </c>
      <c r="J32" s="33" t="s">
        <v>63</v>
      </c>
      <c r="K32" s="26">
        <f t="shared" si="0"/>
        <v>2.22309993803544</v>
      </c>
      <c r="L32" s="26">
        <f t="shared" si="1"/>
        <v>55.00787564080372</v>
      </c>
      <c r="M32" s="35"/>
    </row>
    <row r="33" spans="2:13" ht="22.5">
      <c r="B33" s="30" t="s">
        <v>9</v>
      </c>
      <c r="C33" s="31">
        <f>1592319798.41</f>
        <v>1592319798.41</v>
      </c>
      <c r="D33" s="31">
        <f>905145586.59</f>
        <v>905145586.59</v>
      </c>
      <c r="E33" s="31">
        <f>855155762.55</f>
        <v>855155762.55</v>
      </c>
      <c r="F33" s="31" t="s">
        <v>63</v>
      </c>
      <c r="G33" s="31" t="s">
        <v>63</v>
      </c>
      <c r="H33" s="31" t="s">
        <v>63</v>
      </c>
      <c r="I33" s="31" t="s">
        <v>63</v>
      </c>
      <c r="J33" s="31" t="s">
        <v>63</v>
      </c>
      <c r="K33" s="29">
        <f t="shared" si="0"/>
        <v>1.9807464816575273</v>
      </c>
      <c r="L33" s="29">
        <f t="shared" si="1"/>
        <v>56.844459730628664</v>
      </c>
      <c r="M33" s="35"/>
    </row>
    <row r="34" spans="2:13" ht="12.75">
      <c r="B34" s="30" t="s">
        <v>6</v>
      </c>
      <c r="C34" s="31">
        <f>66756027</f>
        <v>66756027</v>
      </c>
      <c r="D34" s="32">
        <f>17542687.34</f>
        <v>17542687.34</v>
      </c>
      <c r="E34" s="31">
        <f>17542082.34</f>
        <v>17542082.34</v>
      </c>
      <c r="F34" s="31" t="s">
        <v>63</v>
      </c>
      <c r="G34" s="31" t="s">
        <v>63</v>
      </c>
      <c r="H34" s="31" t="s">
        <v>63</v>
      </c>
      <c r="I34" s="31" t="s">
        <v>63</v>
      </c>
      <c r="J34" s="31" t="s">
        <v>63</v>
      </c>
      <c r="K34" s="29">
        <f t="shared" si="0"/>
        <v>0.03838898044946501</v>
      </c>
      <c r="L34" s="29">
        <f t="shared" si="1"/>
        <v>26.278806766016796</v>
      </c>
      <c r="M34" s="35"/>
    </row>
    <row r="35" spans="2:13" ht="13.5" customHeight="1">
      <c r="B35" s="30" t="s">
        <v>7</v>
      </c>
      <c r="C35" s="31">
        <f>220133759.4</f>
        <v>220133759.4</v>
      </c>
      <c r="D35" s="31">
        <f>80151693.76</f>
        <v>80151693.76</v>
      </c>
      <c r="E35" s="31">
        <f>80128424.15</f>
        <v>80128424.15</v>
      </c>
      <c r="F35" s="31" t="s">
        <v>63</v>
      </c>
      <c r="G35" s="31" t="s">
        <v>63</v>
      </c>
      <c r="H35" s="31" t="s">
        <v>63</v>
      </c>
      <c r="I35" s="31" t="s">
        <v>63</v>
      </c>
      <c r="J35" s="31" t="s">
        <v>63</v>
      </c>
      <c r="K35" s="29">
        <f t="shared" si="0"/>
        <v>0.1753974032090426</v>
      </c>
      <c r="L35" s="29">
        <f t="shared" si="1"/>
        <v>36.41045061805273</v>
      </c>
      <c r="M35" s="35"/>
    </row>
    <row r="36" spans="2:13" ht="12.75">
      <c r="B36" s="30" t="s">
        <v>6</v>
      </c>
      <c r="C36" s="31">
        <f>61795619</f>
        <v>61795619</v>
      </c>
      <c r="D36" s="32">
        <f>668998</f>
        <v>668998</v>
      </c>
      <c r="E36" s="31">
        <f>654448</f>
        <v>654448</v>
      </c>
      <c r="F36" s="31" t="s">
        <v>63</v>
      </c>
      <c r="G36" s="31" t="s">
        <v>63</v>
      </c>
      <c r="H36" s="31" t="s">
        <v>63</v>
      </c>
      <c r="I36" s="31" t="s">
        <v>63</v>
      </c>
      <c r="J36" s="31" t="s">
        <v>63</v>
      </c>
      <c r="K36" s="29">
        <f t="shared" si="0"/>
        <v>0.0014639804406803725</v>
      </c>
      <c r="L36" s="29">
        <f t="shared" si="1"/>
        <v>1.0825977809203595</v>
      </c>
      <c r="M36" s="35"/>
    </row>
    <row r="37" spans="2:13" ht="33.75">
      <c r="B37" s="30" t="s">
        <v>10</v>
      </c>
      <c r="C37" s="31">
        <f>34362569.6</f>
        <v>34362569.6</v>
      </c>
      <c r="D37" s="31">
        <f>30597038.33</f>
        <v>30597038.33</v>
      </c>
      <c r="E37" s="31">
        <f>29593252.22</f>
        <v>29593252.22</v>
      </c>
      <c r="F37" s="31" t="s">
        <v>63</v>
      </c>
      <c r="G37" s="31" t="s">
        <v>63</v>
      </c>
      <c r="H37" s="31" t="s">
        <v>63</v>
      </c>
      <c r="I37" s="31" t="s">
        <v>63</v>
      </c>
      <c r="J37" s="31" t="s">
        <v>63</v>
      </c>
      <c r="K37" s="29">
        <f t="shared" si="0"/>
        <v>0.06695605316886993</v>
      </c>
      <c r="L37" s="29">
        <f t="shared" si="1"/>
        <v>89.04176458910686</v>
      </c>
      <c r="M37" s="35"/>
    </row>
    <row r="38" spans="2:13" ht="12.75">
      <c r="B38" s="30" t="s">
        <v>6</v>
      </c>
      <c r="C38" s="31">
        <f>0</f>
        <v>0</v>
      </c>
      <c r="D38" s="32">
        <f>0</f>
        <v>0</v>
      </c>
      <c r="E38" s="31">
        <f>0</f>
        <v>0</v>
      </c>
      <c r="F38" s="31" t="s">
        <v>63</v>
      </c>
      <c r="G38" s="31" t="s">
        <v>63</v>
      </c>
      <c r="H38" s="31" t="s">
        <v>63</v>
      </c>
      <c r="I38" s="31" t="s">
        <v>63</v>
      </c>
      <c r="J38" s="31" t="s">
        <v>63</v>
      </c>
      <c r="K38" s="29">
        <f t="shared" si="0"/>
        <v>0</v>
      </c>
      <c r="L38" s="29">
        <f t="shared" si="1"/>
      </c>
      <c r="M38" s="35"/>
    </row>
    <row r="39" spans="2:13" ht="13.5" customHeight="1">
      <c r="B39" s="36" t="s">
        <v>60</v>
      </c>
      <c r="C39" s="25">
        <f>C40+C42+C44</f>
        <v>565202574.9499999</v>
      </c>
      <c r="D39" s="25">
        <f>D40+D42+D44</f>
        <v>242931825.16</v>
      </c>
      <c r="E39" s="25">
        <f>E40+E42+E44</f>
        <v>242981838.67</v>
      </c>
      <c r="F39" s="33" t="s">
        <v>63</v>
      </c>
      <c r="G39" s="33" t="s">
        <v>63</v>
      </c>
      <c r="H39" s="33" t="s">
        <v>63</v>
      </c>
      <c r="I39" s="33" t="s">
        <v>63</v>
      </c>
      <c r="J39" s="33" t="s">
        <v>63</v>
      </c>
      <c r="K39" s="26">
        <f t="shared" si="0"/>
        <v>0.5316121131199555</v>
      </c>
      <c r="L39" s="26">
        <f t="shared" si="1"/>
        <v>42.98137268420808</v>
      </c>
      <c r="M39" s="35"/>
    </row>
    <row r="40" spans="2:13" ht="22.5">
      <c r="B40" s="30" t="s">
        <v>11</v>
      </c>
      <c r="C40" s="28">
        <f>367534110.24</f>
        <v>367534110.24</v>
      </c>
      <c r="D40" s="37">
        <f>184610798.58</f>
        <v>184610798.58</v>
      </c>
      <c r="E40" s="28">
        <f>184657814.65</f>
        <v>184657814.65</v>
      </c>
      <c r="F40" s="28" t="s">
        <v>63</v>
      </c>
      <c r="G40" s="28" t="s">
        <v>63</v>
      </c>
      <c r="H40" s="28" t="s">
        <v>63</v>
      </c>
      <c r="I40" s="28" t="s">
        <v>63</v>
      </c>
      <c r="J40" s="28" t="s">
        <v>63</v>
      </c>
      <c r="K40" s="29">
        <f t="shared" si="0"/>
        <v>0.4039871543106316</v>
      </c>
      <c r="L40" s="29">
        <f t="shared" si="1"/>
        <v>50.22956874926494</v>
      </c>
      <c r="M40" s="35"/>
    </row>
    <row r="41" spans="2:13" ht="12.75">
      <c r="B41" s="30" t="s">
        <v>6</v>
      </c>
      <c r="C41" s="31">
        <f>2954121.15</f>
        <v>2954121.15</v>
      </c>
      <c r="D41" s="31">
        <f>1175411.78</f>
        <v>1175411.78</v>
      </c>
      <c r="E41" s="31">
        <f>1187911.78</f>
        <v>1187911.78</v>
      </c>
      <c r="F41" s="31" t="s">
        <v>63</v>
      </c>
      <c r="G41" s="31" t="s">
        <v>63</v>
      </c>
      <c r="H41" s="31" t="s">
        <v>63</v>
      </c>
      <c r="I41" s="31" t="s">
        <v>63</v>
      </c>
      <c r="J41" s="31" t="s">
        <v>63</v>
      </c>
      <c r="K41" s="29">
        <f t="shared" si="0"/>
        <v>0.002572174887914913</v>
      </c>
      <c r="L41" s="29">
        <f t="shared" si="1"/>
        <v>39.78888205041963</v>
      </c>
      <c r="M41" s="35"/>
    </row>
    <row r="42" spans="2:13" ht="24" customHeight="1">
      <c r="B42" s="30" t="s">
        <v>8</v>
      </c>
      <c r="C42" s="31">
        <f>131865040.41</f>
        <v>131865040.41</v>
      </c>
      <c r="D42" s="32">
        <f>23565861.45</f>
        <v>23565861.45</v>
      </c>
      <c r="E42" s="31">
        <f>23565861.45</f>
        <v>23565861.45</v>
      </c>
      <c r="F42" s="31" t="s">
        <v>63</v>
      </c>
      <c r="G42" s="31" t="s">
        <v>63</v>
      </c>
      <c r="H42" s="31" t="s">
        <v>63</v>
      </c>
      <c r="I42" s="31" t="s">
        <v>63</v>
      </c>
      <c r="J42" s="31" t="s">
        <v>63</v>
      </c>
      <c r="K42" s="29">
        <f t="shared" si="0"/>
        <v>0.05156960144960613</v>
      </c>
      <c r="L42" s="29">
        <f t="shared" si="1"/>
        <v>17.871197230689873</v>
      </c>
      <c r="M42" s="35"/>
    </row>
    <row r="43" spans="2:13" ht="12.75">
      <c r="B43" s="30" t="s">
        <v>6</v>
      </c>
      <c r="C43" s="31">
        <f>123250102.88</f>
        <v>123250102.88</v>
      </c>
      <c r="D43" s="31">
        <f>19576268.04</f>
        <v>19576268.04</v>
      </c>
      <c r="E43" s="31">
        <f>19576268.04</f>
        <v>19576268.04</v>
      </c>
      <c r="F43" s="31" t="s">
        <v>63</v>
      </c>
      <c r="G43" s="31" t="s">
        <v>63</v>
      </c>
      <c r="H43" s="31" t="s">
        <v>63</v>
      </c>
      <c r="I43" s="31" t="s">
        <v>63</v>
      </c>
      <c r="J43" s="31" t="s">
        <v>63</v>
      </c>
      <c r="K43" s="29">
        <f t="shared" si="0"/>
        <v>0.04283910192866988</v>
      </c>
      <c r="L43" s="29">
        <f t="shared" si="1"/>
        <v>15.883368518612956</v>
      </c>
      <c r="M43" s="35"/>
    </row>
    <row r="44" spans="2:13" ht="33.75">
      <c r="B44" s="30" t="s">
        <v>85</v>
      </c>
      <c r="C44" s="31">
        <f>65803424.3</f>
        <v>65803424.3</v>
      </c>
      <c r="D44" s="31">
        <f>34755165.13</f>
        <v>34755165.13</v>
      </c>
      <c r="E44" s="31">
        <f>34758162.57</f>
        <v>34758162.57</v>
      </c>
      <c r="F44" s="31" t="s">
        <v>63</v>
      </c>
      <c r="G44" s="31" t="s">
        <v>63</v>
      </c>
      <c r="H44" s="31" t="s">
        <v>63</v>
      </c>
      <c r="I44" s="31" t="s">
        <v>63</v>
      </c>
      <c r="J44" s="31" t="s">
        <v>63</v>
      </c>
      <c r="K44" s="29">
        <f t="shared" si="0"/>
        <v>0.07605535735971786</v>
      </c>
      <c r="L44" s="29">
        <f t="shared" si="1"/>
        <v>52.81665126050288</v>
      </c>
      <c r="M44" s="35"/>
    </row>
    <row r="45" spans="2:13" ht="12.75">
      <c r="B45" s="30" t="s">
        <v>6</v>
      </c>
      <c r="C45" s="31">
        <f>56789279.19</f>
        <v>56789279.19</v>
      </c>
      <c r="D45" s="31">
        <f>27938056.57</f>
        <v>27938056.57</v>
      </c>
      <c r="E45" s="31">
        <f>27941054.01</f>
        <v>27941054.01</v>
      </c>
      <c r="F45" s="31" t="s">
        <v>63</v>
      </c>
      <c r="G45" s="31" t="s">
        <v>63</v>
      </c>
      <c r="H45" s="31" t="s">
        <v>63</v>
      </c>
      <c r="I45" s="31" t="s">
        <v>63</v>
      </c>
      <c r="J45" s="31" t="s">
        <v>63</v>
      </c>
      <c r="K45" s="29">
        <f t="shared" si="0"/>
        <v>0.06113735522243979</v>
      </c>
      <c r="L45" s="29">
        <f t="shared" si="1"/>
        <v>49.196004894740064</v>
      </c>
      <c r="M45" s="35"/>
    </row>
    <row r="46" spans="2:13" ht="13.5" customHeight="1">
      <c r="B46" s="24" t="s">
        <v>101</v>
      </c>
      <c r="C46" s="25">
        <f>380096714.88</f>
        <v>380096714.88</v>
      </c>
      <c r="D46" s="25">
        <f>61610261.97</f>
        <v>61610261.97</v>
      </c>
      <c r="E46" s="25">
        <f>60504307.97</f>
        <v>60504307.97</v>
      </c>
      <c r="F46" s="33" t="s">
        <v>63</v>
      </c>
      <c r="G46" s="33" t="s">
        <v>63</v>
      </c>
      <c r="H46" s="33" t="s">
        <v>63</v>
      </c>
      <c r="I46" s="33" t="s">
        <v>63</v>
      </c>
      <c r="J46" s="33" t="s">
        <v>63</v>
      </c>
      <c r="K46" s="26">
        <f t="shared" si="0"/>
        <v>0.13482285218980294</v>
      </c>
      <c r="L46" s="26">
        <f t="shared" si="1"/>
        <v>16.20910140974276</v>
      </c>
      <c r="M46" s="35"/>
    </row>
    <row r="47" spans="2:13" ht="13.5" customHeight="1">
      <c r="B47" s="30" t="s">
        <v>102</v>
      </c>
      <c r="C47" s="31">
        <f>318306053.78</f>
        <v>318306053.78</v>
      </c>
      <c r="D47" s="31">
        <f>31968146.23</f>
        <v>31968146.23</v>
      </c>
      <c r="E47" s="31">
        <f>31968146.23</f>
        <v>31968146.23</v>
      </c>
      <c r="F47" s="31" t="s">
        <v>63</v>
      </c>
      <c r="G47" s="31" t="s">
        <v>63</v>
      </c>
      <c r="H47" s="31" t="s">
        <v>63</v>
      </c>
      <c r="I47" s="31" t="s">
        <v>63</v>
      </c>
      <c r="J47" s="31" t="s">
        <v>63</v>
      </c>
      <c r="K47" s="29">
        <f t="shared" si="0"/>
        <v>0.06995647342074265</v>
      </c>
      <c r="L47" s="29">
        <f t="shared" si="1"/>
        <v>10.043210253266206</v>
      </c>
      <c r="M47" s="35"/>
    </row>
    <row r="48" spans="2:13" ht="13.5" customHeight="1">
      <c r="B48" s="24" t="s">
        <v>103</v>
      </c>
      <c r="C48" s="33">
        <f>6471493936.71</f>
        <v>6471493936.71</v>
      </c>
      <c r="D48" s="33">
        <f>1690935487.22</f>
        <v>1690935487.22</v>
      </c>
      <c r="E48" s="33">
        <f>1688995865.57</f>
        <v>1688995865.57</v>
      </c>
      <c r="F48" s="33" t="s">
        <v>63</v>
      </c>
      <c r="G48" s="33" t="s">
        <v>63</v>
      </c>
      <c r="H48" s="33" t="s">
        <v>63</v>
      </c>
      <c r="I48" s="33" t="s">
        <v>63</v>
      </c>
      <c r="J48" s="33" t="s">
        <v>63</v>
      </c>
      <c r="K48" s="39">
        <f t="shared" si="0"/>
        <v>3.7003047538892733</v>
      </c>
      <c r="L48" s="39">
        <f t="shared" si="1"/>
        <v>26.128982021107223</v>
      </c>
      <c r="M48" s="35"/>
    </row>
    <row r="49" spans="2:13" ht="13.5" customHeight="1">
      <c r="B49" s="40" t="s">
        <v>104</v>
      </c>
      <c r="C49" s="41">
        <f>5749581579.8</f>
        <v>5749581579.8</v>
      </c>
      <c r="D49" s="41">
        <f>1400486738.54</f>
        <v>1400486738.54</v>
      </c>
      <c r="E49" s="41">
        <f>1402045325.52</f>
        <v>1402045325.52</v>
      </c>
      <c r="F49" s="41" t="s">
        <v>63</v>
      </c>
      <c r="G49" s="41" t="s">
        <v>63</v>
      </c>
      <c r="H49" s="41" t="s">
        <v>63</v>
      </c>
      <c r="I49" s="41" t="s">
        <v>63</v>
      </c>
      <c r="J49" s="41" t="s">
        <v>63</v>
      </c>
      <c r="K49" s="42">
        <f t="shared" si="0"/>
        <v>3.064710496376382</v>
      </c>
      <c r="L49" s="42">
        <f t="shared" si="1"/>
        <v>24.358063610408255</v>
      </c>
      <c r="M49" s="35"/>
    </row>
    <row r="50" spans="2:13" s="43" customFormat="1" ht="25.5" customHeight="1">
      <c r="B50" s="24" t="s">
        <v>70</v>
      </c>
      <c r="C50" s="25">
        <f>C51+C52+C53+C57</f>
        <v>16669002629</v>
      </c>
      <c r="D50" s="25">
        <f>D51+D52+D53+D57</f>
        <v>10055341264</v>
      </c>
      <c r="E50" s="25">
        <f>E51+E52+E53+E57</f>
        <v>8875582254</v>
      </c>
      <c r="F50" s="33" t="s">
        <v>63</v>
      </c>
      <c r="G50" s="33" t="s">
        <v>63</v>
      </c>
      <c r="H50" s="33" t="s">
        <v>63</v>
      </c>
      <c r="I50" s="33" t="s">
        <v>63</v>
      </c>
      <c r="J50" s="33" t="s">
        <v>63</v>
      </c>
      <c r="K50" s="26">
        <f t="shared" si="0"/>
        <v>22.004285416192953</v>
      </c>
      <c r="L50" s="26">
        <f t="shared" si="1"/>
        <v>60.323592765569295</v>
      </c>
      <c r="M50" s="44"/>
    </row>
    <row r="51" spans="2:13" ht="13.5" customHeight="1">
      <c r="B51" s="30" t="s">
        <v>44</v>
      </c>
      <c r="C51" s="31">
        <f>15413243561</f>
        <v>15413243561</v>
      </c>
      <c r="D51" s="31">
        <f>9488770912</f>
        <v>9488770912</v>
      </c>
      <c r="E51" s="31">
        <f>8309011902</f>
        <v>8309011902</v>
      </c>
      <c r="F51" s="31" t="s">
        <v>63</v>
      </c>
      <c r="G51" s="31" t="s">
        <v>63</v>
      </c>
      <c r="H51" s="31" t="s">
        <v>63</v>
      </c>
      <c r="I51" s="31" t="s">
        <v>63</v>
      </c>
      <c r="J51" s="31" t="s">
        <v>63</v>
      </c>
      <c r="K51" s="29">
        <f t="shared" si="0"/>
        <v>20.76444925286004</v>
      </c>
      <c r="L51" s="29">
        <f t="shared" si="1"/>
        <v>61.56245357732072</v>
      </c>
      <c r="M51" s="35"/>
    </row>
    <row r="52" spans="2:13" s="43" customFormat="1" ht="12.75">
      <c r="B52" s="30" t="s">
        <v>40</v>
      </c>
      <c r="C52" s="28">
        <f>146618457</f>
        <v>146618457</v>
      </c>
      <c r="D52" s="37">
        <f>12000000</f>
        <v>12000000</v>
      </c>
      <c r="E52" s="28">
        <f>12000000</f>
        <v>12000000</v>
      </c>
      <c r="F52" s="28" t="s">
        <v>63</v>
      </c>
      <c r="G52" s="28" t="s">
        <v>63</v>
      </c>
      <c r="H52" s="28" t="s">
        <v>63</v>
      </c>
      <c r="I52" s="28" t="s">
        <v>63</v>
      </c>
      <c r="J52" s="28" t="s">
        <v>63</v>
      </c>
      <c r="K52" s="29">
        <f t="shared" si="0"/>
        <v>0.02625981735097036</v>
      </c>
      <c r="L52" s="29">
        <f t="shared" si="1"/>
        <v>8.184508448346309</v>
      </c>
      <c r="M52" s="44"/>
    </row>
    <row r="53" spans="2:13" s="43" customFormat="1" ht="25.5" customHeight="1">
      <c r="B53" s="24" t="s">
        <v>61</v>
      </c>
      <c r="C53" s="25">
        <f>C54+C55+C56</f>
        <v>295007152</v>
      </c>
      <c r="D53" s="25">
        <f>D54+D55+D56</f>
        <v>147503592</v>
      </c>
      <c r="E53" s="25">
        <f>E54+E55+E56</f>
        <v>147503592</v>
      </c>
      <c r="F53" s="33" t="s">
        <v>63</v>
      </c>
      <c r="G53" s="33" t="s">
        <v>63</v>
      </c>
      <c r="H53" s="33" t="s">
        <v>63</v>
      </c>
      <c r="I53" s="33" t="s">
        <v>63</v>
      </c>
      <c r="J53" s="33" t="s">
        <v>63</v>
      </c>
      <c r="K53" s="26">
        <f t="shared" si="0"/>
        <v>0.32278478204433775</v>
      </c>
      <c r="L53" s="26">
        <f t="shared" si="1"/>
        <v>50.00000542359732</v>
      </c>
      <c r="M53" s="44"/>
    </row>
    <row r="54" spans="2:13" ht="13.5" customHeight="1">
      <c r="B54" s="30" t="s">
        <v>45</v>
      </c>
      <c r="C54" s="28">
        <f>175446781</f>
        <v>175446781</v>
      </c>
      <c r="D54" s="37">
        <f>87723402</f>
        <v>87723402</v>
      </c>
      <c r="E54" s="28">
        <f>87723402</f>
        <v>87723402</v>
      </c>
      <c r="F54" s="28" t="s">
        <v>63</v>
      </c>
      <c r="G54" s="28" t="s">
        <v>63</v>
      </c>
      <c r="H54" s="28" t="s">
        <v>63</v>
      </c>
      <c r="I54" s="28" t="s">
        <v>63</v>
      </c>
      <c r="J54" s="28" t="s">
        <v>63</v>
      </c>
      <c r="K54" s="29">
        <f t="shared" si="0"/>
        <v>0.19196670949381234</v>
      </c>
      <c r="L54" s="29">
        <f t="shared" si="1"/>
        <v>50.00000655469421</v>
      </c>
      <c r="M54" s="35"/>
    </row>
    <row r="55" spans="2:13" ht="13.5" customHeight="1">
      <c r="B55" s="30" t="s">
        <v>43</v>
      </c>
      <c r="C55" s="31">
        <f>0</f>
        <v>0</v>
      </c>
      <c r="D55" s="31">
        <f>0</f>
        <v>0</v>
      </c>
      <c r="E55" s="31">
        <f>0</f>
        <v>0</v>
      </c>
      <c r="F55" s="31" t="s">
        <v>63</v>
      </c>
      <c r="G55" s="31" t="s">
        <v>63</v>
      </c>
      <c r="H55" s="31" t="s">
        <v>63</v>
      </c>
      <c r="I55" s="31" t="s">
        <v>63</v>
      </c>
      <c r="J55" s="31" t="s">
        <v>63</v>
      </c>
      <c r="K55" s="29">
        <f t="shared" si="0"/>
        <v>0</v>
      </c>
      <c r="L55" s="29">
        <f t="shared" si="1"/>
      </c>
      <c r="M55" s="35"/>
    </row>
    <row r="56" spans="2:13" ht="13.5" customHeight="1">
      <c r="B56" s="30" t="s">
        <v>42</v>
      </c>
      <c r="C56" s="28">
        <f>119560371</f>
        <v>119560371</v>
      </c>
      <c r="D56" s="37">
        <f>59780190</f>
        <v>59780190</v>
      </c>
      <c r="E56" s="28">
        <f>59780190</f>
        <v>59780190</v>
      </c>
      <c r="F56" s="28" t="s">
        <v>63</v>
      </c>
      <c r="G56" s="28" t="s">
        <v>63</v>
      </c>
      <c r="H56" s="28" t="s">
        <v>63</v>
      </c>
      <c r="I56" s="28" t="s">
        <v>63</v>
      </c>
      <c r="J56" s="28" t="s">
        <v>63</v>
      </c>
      <c r="K56" s="29">
        <f t="shared" si="0"/>
        <v>0.1308180725505254</v>
      </c>
      <c r="L56" s="29">
        <f t="shared" si="1"/>
        <v>50.000003763788925</v>
      </c>
      <c r="M56" s="35"/>
    </row>
    <row r="57" spans="2:13" s="43" customFormat="1" ht="25.5" customHeight="1">
      <c r="B57" s="24" t="s">
        <v>62</v>
      </c>
      <c r="C57" s="25">
        <f>C58+C59</f>
        <v>814133459</v>
      </c>
      <c r="D57" s="25">
        <f>D58+D59</f>
        <v>407066760</v>
      </c>
      <c r="E57" s="25">
        <f>E58+E59</f>
        <v>407066760</v>
      </c>
      <c r="F57" s="33" t="s">
        <v>63</v>
      </c>
      <c r="G57" s="33" t="s">
        <v>63</v>
      </c>
      <c r="H57" s="33" t="s">
        <v>63</v>
      </c>
      <c r="I57" s="33" t="s">
        <v>63</v>
      </c>
      <c r="J57" s="33" t="s">
        <v>63</v>
      </c>
      <c r="K57" s="26">
        <f t="shared" si="0"/>
        <v>0.8907915639376074</v>
      </c>
      <c r="L57" s="26">
        <f t="shared" si="1"/>
        <v>50.00000374631452</v>
      </c>
      <c r="M57" s="44"/>
    </row>
    <row r="58" spans="2:13" ht="13.5" customHeight="1">
      <c r="B58" s="30" t="s">
        <v>42</v>
      </c>
      <c r="C58" s="28">
        <f>721179662</f>
        <v>721179662</v>
      </c>
      <c r="D58" s="37">
        <f>360589848</f>
        <v>360589848</v>
      </c>
      <c r="E58" s="28">
        <f>360589848</f>
        <v>360589848</v>
      </c>
      <c r="F58" s="28" t="s">
        <v>63</v>
      </c>
      <c r="G58" s="28" t="s">
        <v>63</v>
      </c>
      <c r="H58" s="28" t="s">
        <v>63</v>
      </c>
      <c r="I58" s="28" t="s">
        <v>63</v>
      </c>
      <c r="J58" s="28" t="s">
        <v>63</v>
      </c>
      <c r="K58" s="29">
        <f t="shared" si="0"/>
        <v>0.7890852955911805</v>
      </c>
      <c r="L58" s="29">
        <f t="shared" si="1"/>
        <v>50.000002357248945</v>
      </c>
      <c r="M58" s="35"/>
    </row>
    <row r="59" spans="2:13" ht="13.5" customHeight="1">
      <c r="B59" s="30" t="s">
        <v>45</v>
      </c>
      <c r="C59" s="31">
        <f>92953797</f>
        <v>92953797</v>
      </c>
      <c r="D59" s="31">
        <f>46476912</f>
        <v>46476912</v>
      </c>
      <c r="E59" s="31">
        <f>46476912</f>
        <v>46476912</v>
      </c>
      <c r="F59" s="31" t="s">
        <v>63</v>
      </c>
      <c r="G59" s="31" t="s">
        <v>63</v>
      </c>
      <c r="H59" s="31" t="s">
        <v>63</v>
      </c>
      <c r="I59" s="31" t="s">
        <v>63</v>
      </c>
      <c r="J59" s="31" t="s">
        <v>63</v>
      </c>
      <c r="K59" s="29">
        <f t="shared" si="0"/>
        <v>0.10170626834642689</v>
      </c>
      <c r="L59" s="29">
        <f t="shared" si="1"/>
        <v>50.000014523344326</v>
      </c>
      <c r="M59" s="35"/>
    </row>
    <row r="60" spans="2:13" ht="11.25" customHeight="1">
      <c r="B60" s="45"/>
      <c r="C60" s="46"/>
      <c r="D60" s="46"/>
      <c r="E60" s="46"/>
      <c r="F60" s="46"/>
      <c r="G60" s="46"/>
      <c r="H60" s="46"/>
      <c r="I60" s="46"/>
      <c r="J60" s="46"/>
      <c r="K60" s="34"/>
      <c r="L60" s="34"/>
      <c r="M60" s="35"/>
    </row>
    <row r="61" spans="2:13" ht="13.5" customHeight="1">
      <c r="B61" s="24" t="s">
        <v>5</v>
      </c>
      <c r="C61" s="33">
        <f aca="true" t="shared" si="4" ref="C61:J61">+C5</f>
        <v>90260795917.92</v>
      </c>
      <c r="D61" s="33">
        <f t="shared" si="4"/>
        <v>45697195222.71</v>
      </c>
      <c r="E61" s="33">
        <f t="shared" si="4"/>
        <v>42940532371.73</v>
      </c>
      <c r="F61" s="33">
        <f t="shared" si="4"/>
        <v>293634681.49</v>
      </c>
      <c r="G61" s="33">
        <f t="shared" si="4"/>
        <v>62571371.66</v>
      </c>
      <c r="H61" s="33">
        <f t="shared" si="4"/>
        <v>7657131.1</v>
      </c>
      <c r="I61" s="33">
        <f t="shared" si="4"/>
        <v>69700525.23</v>
      </c>
      <c r="J61" s="33">
        <f t="shared" si="4"/>
        <v>642161.58</v>
      </c>
      <c r="K61" s="26">
        <f t="shared" si="0"/>
        <v>100</v>
      </c>
      <c r="L61" s="26">
        <f t="shared" si="1"/>
        <v>50.62795509167172</v>
      </c>
      <c r="M61" s="35"/>
    </row>
    <row r="62" spans="2:13" ht="12.75">
      <c r="B62" s="30" t="s">
        <v>78</v>
      </c>
      <c r="C62" s="31">
        <f>8861121259.03</f>
        <v>8861121259.03</v>
      </c>
      <c r="D62" s="31">
        <f>2201815081.92</f>
        <v>2201815081.92</v>
      </c>
      <c r="E62" s="31">
        <f>2201834689.24</f>
        <v>2201834689.24</v>
      </c>
      <c r="F62" s="31">
        <f>0</f>
        <v>0</v>
      </c>
      <c r="G62" s="31">
        <f>0</f>
        <v>0</v>
      </c>
      <c r="H62" s="31">
        <f>0</f>
        <v>0</v>
      </c>
      <c r="I62" s="31">
        <f>0</f>
        <v>0</v>
      </c>
      <c r="J62" s="31">
        <f>0</f>
        <v>0</v>
      </c>
      <c r="K62" s="29">
        <f t="shared" si="0"/>
        <v>4.818271824319254</v>
      </c>
      <c r="L62" s="29">
        <f t="shared" si="1"/>
        <v>24.848041433540047</v>
      </c>
      <c r="M62" s="35"/>
    </row>
    <row r="63" spans="1:13" s="43" customFormat="1" ht="12.75">
      <c r="A63" s="9"/>
      <c r="B63" s="30" t="s">
        <v>79</v>
      </c>
      <c r="C63" s="31">
        <f>C61-C62</f>
        <v>81399674658.89</v>
      </c>
      <c r="D63" s="31">
        <f aca="true" t="shared" si="5" ref="D63:J63">D61-D62</f>
        <v>43495380140.79</v>
      </c>
      <c r="E63" s="31">
        <f t="shared" si="5"/>
        <v>40738697682.490005</v>
      </c>
      <c r="F63" s="31">
        <f t="shared" si="5"/>
        <v>293634681.49</v>
      </c>
      <c r="G63" s="31">
        <f t="shared" si="5"/>
        <v>62571371.66</v>
      </c>
      <c r="H63" s="31">
        <f t="shared" si="5"/>
        <v>7657131.1</v>
      </c>
      <c r="I63" s="31">
        <f t="shared" si="5"/>
        <v>69700525.23</v>
      </c>
      <c r="J63" s="31">
        <f t="shared" si="5"/>
        <v>642161.58</v>
      </c>
      <c r="K63" s="29">
        <f t="shared" si="0"/>
        <v>95.18172817568075</v>
      </c>
      <c r="L63" s="29">
        <f t="shared" si="1"/>
        <v>53.43434150450832</v>
      </c>
      <c r="M63" s="47"/>
    </row>
    <row r="64" spans="2:13" ht="18">
      <c r="B64" s="102" t="s">
        <v>118</v>
      </c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</row>
    <row r="65" spans="2:13" s="43" customFormat="1" ht="6" customHeight="1">
      <c r="B65" s="48"/>
      <c r="C65" s="49"/>
      <c r="D65" s="49"/>
      <c r="E65" s="49"/>
      <c r="F65" s="50"/>
      <c r="G65" s="50"/>
      <c r="H65" s="50"/>
      <c r="I65" s="50"/>
      <c r="J65" s="50"/>
      <c r="K65" s="1"/>
      <c r="L65" s="1"/>
      <c r="M65" s="51"/>
    </row>
    <row r="66" spans="2:27" ht="29.25" customHeight="1">
      <c r="B66" s="105" t="s">
        <v>0</v>
      </c>
      <c r="C66" s="104" t="s">
        <v>51</v>
      </c>
      <c r="D66" s="104" t="s">
        <v>52</v>
      </c>
      <c r="E66" s="104" t="s">
        <v>53</v>
      </c>
      <c r="F66" s="104" t="s">
        <v>12</v>
      </c>
      <c r="G66" s="104"/>
      <c r="H66" s="104"/>
      <c r="I66" s="104" t="s">
        <v>100</v>
      </c>
      <c r="J66" s="104"/>
      <c r="K66" s="104" t="s">
        <v>2</v>
      </c>
      <c r="L66" s="111" t="s">
        <v>31</v>
      </c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</row>
    <row r="67" spans="2:27" ht="18" customHeight="1">
      <c r="B67" s="105"/>
      <c r="C67" s="104"/>
      <c r="D67" s="106"/>
      <c r="E67" s="104"/>
      <c r="F67" s="107" t="s">
        <v>54</v>
      </c>
      <c r="G67" s="108" t="s">
        <v>30</v>
      </c>
      <c r="H67" s="106"/>
      <c r="I67" s="104"/>
      <c r="J67" s="104"/>
      <c r="K67" s="104"/>
      <c r="L67" s="111"/>
      <c r="M67" s="2"/>
      <c r="N67" s="3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</row>
    <row r="68" spans="2:27" ht="36" customHeight="1">
      <c r="B68" s="105"/>
      <c r="C68" s="104"/>
      <c r="D68" s="106"/>
      <c r="E68" s="104"/>
      <c r="F68" s="106"/>
      <c r="G68" s="7" t="s">
        <v>49</v>
      </c>
      <c r="H68" s="7" t="s">
        <v>50</v>
      </c>
      <c r="I68" s="104"/>
      <c r="J68" s="104"/>
      <c r="K68" s="104"/>
      <c r="L68" s="111"/>
      <c r="M68" s="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</row>
    <row r="69" spans="2:27" ht="13.5" customHeight="1">
      <c r="B69" s="105"/>
      <c r="C69" s="122" t="s">
        <v>84</v>
      </c>
      <c r="D69" s="122"/>
      <c r="E69" s="122"/>
      <c r="F69" s="122"/>
      <c r="G69" s="122"/>
      <c r="H69" s="122"/>
      <c r="I69" s="122"/>
      <c r="J69" s="122"/>
      <c r="K69" s="122" t="s">
        <v>4</v>
      </c>
      <c r="L69" s="12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</row>
    <row r="70" spans="2:27" ht="11.25" customHeight="1">
      <c r="B70" s="6">
        <v>1</v>
      </c>
      <c r="C70" s="8">
        <v>2</v>
      </c>
      <c r="D70" s="8">
        <v>3</v>
      </c>
      <c r="E70" s="8">
        <v>4</v>
      </c>
      <c r="F70" s="6">
        <v>5</v>
      </c>
      <c r="G70" s="6">
        <v>6</v>
      </c>
      <c r="H70" s="8">
        <v>7</v>
      </c>
      <c r="I70" s="106">
        <v>8</v>
      </c>
      <c r="J70" s="106"/>
      <c r="K70" s="6">
        <v>9</v>
      </c>
      <c r="L70" s="8">
        <v>10</v>
      </c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</row>
    <row r="71" spans="2:12" ht="25.5" customHeight="1">
      <c r="B71" s="24" t="s">
        <v>71</v>
      </c>
      <c r="C71" s="53">
        <f>99983983716.89</f>
        <v>99983983716.89</v>
      </c>
      <c r="D71" s="53">
        <f>78621337131.24</f>
        <v>78621337131.24</v>
      </c>
      <c r="E71" s="53">
        <f>42448710029.23</f>
        <v>42448710029.23</v>
      </c>
      <c r="F71" s="53">
        <f>2980378327.4</f>
        <v>2980378327.4</v>
      </c>
      <c r="G71" s="53">
        <f>6846088.52</f>
        <v>6846088.52</v>
      </c>
      <c r="H71" s="53">
        <f>6891639.82</f>
        <v>6891639.82</v>
      </c>
      <c r="I71" s="109">
        <f>0</f>
        <v>0</v>
      </c>
      <c r="J71" s="109"/>
      <c r="K71" s="54">
        <f aca="true" t="shared" si="6" ref="K71:K80">IF($E$71=0,"",100*$E71/$E$71)</f>
        <v>100</v>
      </c>
      <c r="L71" s="54">
        <f aca="true" t="shared" si="7" ref="L71:L80">IF(C71=0,"",100*E71/C71)</f>
        <v>42.45550982387919</v>
      </c>
    </row>
    <row r="72" spans="2:12" ht="12.75">
      <c r="B72" s="24" t="s">
        <v>14</v>
      </c>
      <c r="C72" s="55">
        <f>22280743622.02</f>
        <v>22280743622.02</v>
      </c>
      <c r="D72" s="55">
        <f>14148562807.59</f>
        <v>14148562807.59</v>
      </c>
      <c r="E72" s="55">
        <f>4921252177.32</f>
        <v>4921252177.32</v>
      </c>
      <c r="F72" s="55">
        <f>1004627700.76</f>
        <v>1004627700.76</v>
      </c>
      <c r="G72" s="55">
        <f>680538.12</f>
        <v>680538.12</v>
      </c>
      <c r="H72" s="55">
        <f>76735.25</f>
        <v>76735.25</v>
      </c>
      <c r="I72" s="110">
        <f>0</f>
        <v>0</v>
      </c>
      <c r="J72" s="110"/>
      <c r="K72" s="54">
        <f t="shared" si="6"/>
        <v>11.593408077492217</v>
      </c>
      <c r="L72" s="54">
        <f t="shared" si="7"/>
        <v>22.087468267694348</v>
      </c>
    </row>
    <row r="73" spans="2:12" ht="12.75">
      <c r="B73" s="30" t="s">
        <v>13</v>
      </c>
      <c r="C73" s="31">
        <f>21070313468.02</f>
        <v>21070313468.02</v>
      </c>
      <c r="D73" s="31">
        <f>13380486300.15</f>
        <v>13380486300.15</v>
      </c>
      <c r="E73" s="31">
        <f>4335639054.67</f>
        <v>4335639054.67</v>
      </c>
      <c r="F73" s="31">
        <f>896466835.69</f>
        <v>896466835.69</v>
      </c>
      <c r="G73" s="31">
        <f>680538.12</f>
        <v>680538.12</v>
      </c>
      <c r="H73" s="31">
        <f>76735.25</f>
        <v>76735.25</v>
      </c>
      <c r="I73" s="98">
        <f>0</f>
        <v>0</v>
      </c>
      <c r="J73" s="98"/>
      <c r="K73" s="57">
        <f t="shared" si="6"/>
        <v>10.213829941320943</v>
      </c>
      <c r="L73" s="57">
        <f t="shared" si="7"/>
        <v>20.57700309608837</v>
      </c>
    </row>
    <row r="74" spans="2:12" ht="25.5" customHeight="1">
      <c r="B74" s="24" t="s">
        <v>72</v>
      </c>
      <c r="C74" s="55">
        <f aca="true" t="shared" si="8" ref="C74:I74">C71-C72</f>
        <v>77703240094.87</v>
      </c>
      <c r="D74" s="55">
        <f t="shared" si="8"/>
        <v>64472774323.65001</v>
      </c>
      <c r="E74" s="55">
        <f t="shared" si="8"/>
        <v>37527457851.91</v>
      </c>
      <c r="F74" s="55">
        <f t="shared" si="8"/>
        <v>1975750626.64</v>
      </c>
      <c r="G74" s="55">
        <f t="shared" si="8"/>
        <v>6165550.399999999</v>
      </c>
      <c r="H74" s="55">
        <f t="shared" si="8"/>
        <v>6814904.57</v>
      </c>
      <c r="I74" s="110">
        <f t="shared" si="8"/>
        <v>0</v>
      </c>
      <c r="J74" s="110"/>
      <c r="K74" s="54">
        <f t="shared" si="6"/>
        <v>88.40659192250779</v>
      </c>
      <c r="L74" s="54">
        <f t="shared" si="7"/>
        <v>48.29587261237976</v>
      </c>
    </row>
    <row r="75" spans="2:12" ht="24" customHeight="1">
      <c r="B75" s="30" t="s">
        <v>117</v>
      </c>
      <c r="C75" s="31">
        <f>29113203463.7</f>
        <v>29113203463.7</v>
      </c>
      <c r="D75" s="31">
        <f>26666003846.57</f>
        <v>26666003846.57</v>
      </c>
      <c r="E75" s="31">
        <f>14887828926.01</f>
        <v>14887828926.01</v>
      </c>
      <c r="F75" s="31">
        <f>854075418.93</f>
        <v>854075418.93</v>
      </c>
      <c r="G75" s="31">
        <f>1008.8</f>
        <v>1008.8</v>
      </c>
      <c r="H75" s="31">
        <f>151662.52</f>
        <v>151662.52</v>
      </c>
      <c r="I75" s="98">
        <f>0</f>
        <v>0</v>
      </c>
      <c r="J75" s="98"/>
      <c r="K75" s="57">
        <f t="shared" si="6"/>
        <v>35.072512016874725</v>
      </c>
      <c r="L75" s="57">
        <f t="shared" si="7"/>
        <v>51.137721565313115</v>
      </c>
    </row>
    <row r="76" spans="2:12" ht="13.5" customHeight="1">
      <c r="B76" s="30" t="s">
        <v>48</v>
      </c>
      <c r="C76" s="58">
        <f>8679486180.33</f>
        <v>8679486180.33</v>
      </c>
      <c r="D76" s="58">
        <f>6948512244.67</f>
        <v>6948512244.67</v>
      </c>
      <c r="E76" s="58">
        <f>4600482497.74</f>
        <v>4600482497.74</v>
      </c>
      <c r="F76" s="58">
        <f>82792448.8</f>
        <v>82792448.8</v>
      </c>
      <c r="G76" s="58">
        <f>5830074.17</f>
        <v>5830074.17</v>
      </c>
      <c r="H76" s="58">
        <f>5725273</f>
        <v>5725273</v>
      </c>
      <c r="I76" s="99">
        <f>0</f>
        <v>0</v>
      </c>
      <c r="J76" s="99"/>
      <c r="K76" s="57">
        <f t="shared" si="6"/>
        <v>10.837743937500402</v>
      </c>
      <c r="L76" s="57">
        <f t="shared" si="7"/>
        <v>53.00408805495773</v>
      </c>
    </row>
    <row r="77" spans="2:12" ht="12.75">
      <c r="B77" s="30" t="s">
        <v>47</v>
      </c>
      <c r="C77" s="31">
        <f>1128306540.53</f>
        <v>1128306540.53</v>
      </c>
      <c r="D77" s="31">
        <f>761795938.9</f>
        <v>761795938.9</v>
      </c>
      <c r="E77" s="31">
        <f>399920741.02</f>
        <v>399920741.02</v>
      </c>
      <c r="F77" s="31">
        <f>16015475.25</f>
        <v>16015475.25</v>
      </c>
      <c r="G77" s="31">
        <f>0</f>
        <v>0</v>
      </c>
      <c r="H77" s="31">
        <f>0</f>
        <v>0</v>
      </c>
      <c r="I77" s="98">
        <f>0</f>
        <v>0</v>
      </c>
      <c r="J77" s="98"/>
      <c r="K77" s="57">
        <f t="shared" si="6"/>
        <v>0.9421269592046879</v>
      </c>
      <c r="L77" s="57">
        <f t="shared" si="7"/>
        <v>35.44433419947606</v>
      </c>
    </row>
    <row r="78" spans="2:12" ht="22.5" customHeight="1">
      <c r="B78" s="30" t="s">
        <v>75</v>
      </c>
      <c r="C78" s="58">
        <f>140186664.63</f>
        <v>140186664.63</v>
      </c>
      <c r="D78" s="58">
        <f>17403187.04</f>
        <v>17403187.04</v>
      </c>
      <c r="E78" s="58">
        <f>1773421.53</f>
        <v>1773421.53</v>
      </c>
      <c r="F78" s="58">
        <f>625000.02</f>
        <v>625000.02</v>
      </c>
      <c r="G78" s="58">
        <f>0</f>
        <v>0</v>
      </c>
      <c r="H78" s="58">
        <f>0</f>
        <v>0</v>
      </c>
      <c r="I78" s="99">
        <f>0</f>
        <v>0</v>
      </c>
      <c r="J78" s="99"/>
      <c r="K78" s="57">
        <f t="shared" si="6"/>
        <v>0.004177798403717873</v>
      </c>
      <c r="L78" s="57">
        <f t="shared" si="7"/>
        <v>1.2650429587440852</v>
      </c>
    </row>
    <row r="79" spans="2:12" ht="22.5" customHeight="1">
      <c r="B79" s="30" t="s">
        <v>77</v>
      </c>
      <c r="C79" s="58">
        <f>10029150648.4</f>
        <v>10029150648.4</v>
      </c>
      <c r="D79" s="58">
        <f>7929825183.83</f>
        <v>7929825183.83</v>
      </c>
      <c r="E79" s="58">
        <f>5285660180.61</f>
        <v>5285660180.61</v>
      </c>
      <c r="F79" s="58">
        <f>71617881.88</f>
        <v>71617881.88</v>
      </c>
      <c r="G79" s="58">
        <f>13250.42</f>
        <v>13250.42</v>
      </c>
      <c r="H79" s="58">
        <f>26154.32</f>
        <v>26154.32</v>
      </c>
      <c r="I79" s="100">
        <f>0</f>
        <v>0</v>
      </c>
      <c r="J79" s="101"/>
      <c r="K79" s="57">
        <f t="shared" si="6"/>
        <v>12.451874690586159</v>
      </c>
      <c r="L79" s="57">
        <f t="shared" si="7"/>
        <v>52.702969233523746</v>
      </c>
    </row>
    <row r="80" spans="2:12" ht="12.75">
      <c r="B80" s="30" t="s">
        <v>46</v>
      </c>
      <c r="C80" s="31">
        <f aca="true" t="shared" si="9" ref="C80:I80">C74-C75-C76-C77-C78-C79</f>
        <v>28612906597.28</v>
      </c>
      <c r="D80" s="31">
        <f t="shared" si="9"/>
        <v>22149233922.640007</v>
      </c>
      <c r="E80" s="31">
        <f t="shared" si="9"/>
        <v>12351792085.000004</v>
      </c>
      <c r="F80" s="31">
        <f t="shared" si="9"/>
        <v>950624401.7600001</v>
      </c>
      <c r="G80" s="31">
        <f t="shared" si="9"/>
        <v>321217.0099999997</v>
      </c>
      <c r="H80" s="31">
        <f t="shared" si="9"/>
        <v>911814.7300000008</v>
      </c>
      <c r="I80" s="100">
        <f t="shared" si="9"/>
        <v>0</v>
      </c>
      <c r="J80" s="101"/>
      <c r="K80" s="57">
        <f t="shared" si="6"/>
        <v>29.09815651993809</v>
      </c>
      <c r="L80" s="57">
        <f t="shared" si="7"/>
        <v>43.168603102259425</v>
      </c>
    </row>
    <row r="81" spans="2:13" ht="12.75">
      <c r="B81" s="24" t="s">
        <v>15</v>
      </c>
      <c r="C81" s="56">
        <f>C5-C71</f>
        <v>-9723187798.970001</v>
      </c>
      <c r="D81" s="56"/>
      <c r="E81" s="56">
        <f>D5-E71</f>
        <v>3248485193.4799957</v>
      </c>
      <c r="F81" s="56"/>
      <c r="G81" s="56"/>
      <c r="H81" s="56"/>
      <c r="I81" s="110"/>
      <c r="J81" s="110"/>
      <c r="K81" s="59"/>
      <c r="L81" s="59"/>
      <c r="M81" s="4"/>
    </row>
    <row r="82" spans="2:13" ht="22.5">
      <c r="B82" s="24" t="s">
        <v>83</v>
      </c>
      <c r="C82" s="56">
        <f>+C63-C74</f>
        <v>3696434564.0200043</v>
      </c>
      <c r="D82" s="56"/>
      <c r="E82" s="56">
        <f>+D63-E74</f>
        <v>5967922288.879997</v>
      </c>
      <c r="F82" s="56"/>
      <c r="G82" s="56"/>
      <c r="H82" s="56"/>
      <c r="I82" s="56"/>
      <c r="J82" s="56"/>
      <c r="K82" s="59"/>
      <c r="L82" s="59"/>
      <c r="M82" s="4"/>
    </row>
    <row r="83" spans="2:13" ht="8.25" customHeight="1">
      <c r="B83" s="60"/>
      <c r="C83" s="61"/>
      <c r="D83" s="61"/>
      <c r="E83" s="61"/>
      <c r="F83" s="62"/>
      <c r="G83" s="62"/>
      <c r="H83" s="62"/>
      <c r="I83" s="62"/>
      <c r="J83" s="63"/>
      <c r="K83" s="63"/>
      <c r="L83" s="64"/>
      <c r="M83" s="52"/>
    </row>
    <row r="84" spans="2:13" ht="12.75">
      <c r="B84" s="65" t="s">
        <v>80</v>
      </c>
      <c r="C84" s="66"/>
      <c r="D84" s="67"/>
      <c r="E84" s="67"/>
      <c r="F84" s="68"/>
      <c r="G84" s="68"/>
      <c r="H84" s="68"/>
      <c r="I84" s="68"/>
      <c r="J84" s="69"/>
      <c r="K84" s="69"/>
      <c r="L84" s="69"/>
      <c r="M84" s="52"/>
    </row>
    <row r="85" spans="2:13" ht="26.25" customHeight="1">
      <c r="B85" s="24" t="s">
        <v>105</v>
      </c>
      <c r="C85" s="70">
        <f>10442754626.23</f>
        <v>10442754626.23</v>
      </c>
      <c r="D85" s="71">
        <f>7131004623.96</f>
        <v>7131004623.96</v>
      </c>
      <c r="E85" s="71">
        <f>2514794070.37</f>
        <v>2514794070.37</v>
      </c>
      <c r="F85" s="71">
        <f>313351567.76</f>
        <v>313351567.76</v>
      </c>
      <c r="G85" s="71">
        <f>3947.04</f>
        <v>3947.04</v>
      </c>
      <c r="H85" s="71">
        <f>500</f>
        <v>500</v>
      </c>
      <c r="I85" s="71">
        <f>0</f>
        <v>0</v>
      </c>
      <c r="J85" s="71">
        <f>0</f>
        <v>0</v>
      </c>
      <c r="K85" s="54">
        <f>IF($E$71=0,"",100*$E85/$E$85)</f>
        <v>100</v>
      </c>
      <c r="L85" s="54">
        <f>IF(C85=0,"",100*E85/C85)</f>
        <v>24.081711774145944</v>
      </c>
      <c r="M85" s="52"/>
    </row>
    <row r="86" spans="2:13" ht="15" customHeight="1">
      <c r="B86" s="72" t="s">
        <v>81</v>
      </c>
      <c r="C86" s="73">
        <f>9395147416.99</f>
        <v>9395147416.99</v>
      </c>
      <c r="D86" s="58">
        <f>6603892717.9</f>
        <v>6603892717.9</v>
      </c>
      <c r="E86" s="58">
        <f>2181274595.3</f>
        <v>2181274595.3</v>
      </c>
      <c r="F86" s="58">
        <f>303278814.77</f>
        <v>303278814.77</v>
      </c>
      <c r="G86" s="58">
        <f>3947.04</f>
        <v>3947.04</v>
      </c>
      <c r="H86" s="58">
        <f>0</f>
        <v>0</v>
      </c>
      <c r="I86" s="58">
        <f>0</f>
        <v>0</v>
      </c>
      <c r="J86" s="58">
        <f>0</f>
        <v>0</v>
      </c>
      <c r="K86" s="57">
        <f>IF($E$71=0,"",100*$E86/$E$85)</f>
        <v>86.73770234312151</v>
      </c>
      <c r="L86" s="74">
        <f>IF(C86=0,"",100*E86/C86)</f>
        <v>23.217034267662754</v>
      </c>
      <c r="M86" s="52"/>
    </row>
    <row r="87" spans="2:12" ht="12.75">
      <c r="B87" s="75" t="s">
        <v>82</v>
      </c>
      <c r="C87" s="73">
        <f>C85-C86</f>
        <v>1047607209.2399998</v>
      </c>
      <c r="D87" s="58">
        <f aca="true" t="shared" si="10" ref="D87:J87">D85-D86</f>
        <v>527111906.0600004</v>
      </c>
      <c r="E87" s="58">
        <f t="shared" si="10"/>
        <v>333519475.0699997</v>
      </c>
      <c r="F87" s="58">
        <f t="shared" si="10"/>
        <v>10072752.99000001</v>
      </c>
      <c r="G87" s="58">
        <f t="shared" si="10"/>
        <v>0</v>
      </c>
      <c r="H87" s="58">
        <f t="shared" si="10"/>
        <v>500</v>
      </c>
      <c r="I87" s="58">
        <f t="shared" si="10"/>
        <v>0</v>
      </c>
      <c r="J87" s="58">
        <f t="shared" si="10"/>
        <v>0</v>
      </c>
      <c r="K87" s="57">
        <f>IF($E$71=0,"",100*$E87/$E$85)</f>
        <v>13.26229765687849</v>
      </c>
      <c r="L87" s="74">
        <f>IF(C87=0,"",100*E87/C87)</f>
        <v>31.836309651969245</v>
      </c>
    </row>
    <row r="88" ht="6" customHeight="1"/>
    <row r="89" spans="2:13" ht="18">
      <c r="B89" s="102" t="s">
        <v>118</v>
      </c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</row>
    <row r="90" ht="6.75" customHeight="1"/>
    <row r="91" spans="2:8" ht="12.75">
      <c r="B91" s="12" t="s">
        <v>16</v>
      </c>
      <c r="C91" s="114" t="s">
        <v>17</v>
      </c>
      <c r="D91" s="115"/>
      <c r="E91" s="114" t="s">
        <v>1</v>
      </c>
      <c r="F91" s="115"/>
      <c r="G91" s="8" t="s">
        <v>25</v>
      </c>
      <c r="H91" s="8" t="s">
        <v>26</v>
      </c>
    </row>
    <row r="92" spans="2:8" ht="12.75">
      <c r="B92" s="12"/>
      <c r="C92" s="107" t="s">
        <v>84</v>
      </c>
      <c r="D92" s="116"/>
      <c r="E92" s="116"/>
      <c r="F92" s="117"/>
      <c r="G92" s="118" t="s">
        <v>4</v>
      </c>
      <c r="H92" s="119"/>
    </row>
    <row r="93" spans="2:8" ht="12.75">
      <c r="B93" s="10">
        <v>1</v>
      </c>
      <c r="C93" s="13">
        <v>2</v>
      </c>
      <c r="D93" s="14"/>
      <c r="E93" s="13">
        <v>3</v>
      </c>
      <c r="F93" s="14"/>
      <c r="G93" s="11">
        <v>4</v>
      </c>
      <c r="H93" s="11">
        <v>5</v>
      </c>
    </row>
    <row r="94" spans="2:8" ht="22.5">
      <c r="B94" s="76" t="s">
        <v>73</v>
      </c>
      <c r="C94" s="77">
        <f>13077087043.8</f>
        <v>13077087043.8</v>
      </c>
      <c r="D94" s="78"/>
      <c r="E94" s="77">
        <f>8204168232.61</f>
        <v>8204168232.61</v>
      </c>
      <c r="F94" s="78"/>
      <c r="G94" s="79">
        <f>IF($E$94=0,"",100*$E94/$E$94)</f>
        <v>100</v>
      </c>
      <c r="H94" s="54">
        <f>IF(C94=0,"",100*E94/C94)</f>
        <v>62.73697043639159</v>
      </c>
    </row>
    <row r="95" spans="2:8" ht="33.75">
      <c r="B95" s="80" t="s">
        <v>106</v>
      </c>
      <c r="C95" s="81">
        <f>7578093996.44</f>
        <v>7578093996.44</v>
      </c>
      <c r="D95" s="82"/>
      <c r="E95" s="81">
        <f>1047433974.22</f>
        <v>1047433974.22</v>
      </c>
      <c r="F95" s="82"/>
      <c r="G95" s="83">
        <f aca="true" t="shared" si="11" ref="G95:G100">IF($E$94=0,"",100*$E95/$E$94)</f>
        <v>12.767095268191238</v>
      </c>
      <c r="H95" s="84">
        <f aca="true" t="shared" si="12" ref="H95:H106">IF(C95=0,"",100*E95/C95)</f>
        <v>13.821865692244758</v>
      </c>
    </row>
    <row r="96" spans="2:8" ht="22.5">
      <c r="B96" s="85" t="s">
        <v>107</v>
      </c>
      <c r="C96" s="86">
        <f>0</f>
        <v>0</v>
      </c>
      <c r="D96" s="87"/>
      <c r="E96" s="86">
        <f>0</f>
        <v>0</v>
      </c>
      <c r="F96" s="87"/>
      <c r="G96" s="88">
        <f t="shared" si="11"/>
        <v>0</v>
      </c>
      <c r="H96" s="74">
        <f t="shared" si="12"/>
      </c>
    </row>
    <row r="97" spans="2:8" ht="12.75">
      <c r="B97" s="85" t="s">
        <v>108</v>
      </c>
      <c r="C97" s="86">
        <f>34595855.97</f>
        <v>34595855.97</v>
      </c>
      <c r="D97" s="87"/>
      <c r="E97" s="86">
        <f>8886383.69</f>
        <v>8886383.69</v>
      </c>
      <c r="F97" s="87"/>
      <c r="G97" s="88">
        <f t="shared" si="11"/>
        <v>0.10831547376952029</v>
      </c>
      <c r="H97" s="74">
        <f t="shared" si="12"/>
        <v>25.686266290696434</v>
      </c>
    </row>
    <row r="98" spans="2:8" ht="12.75">
      <c r="B98" s="85" t="s">
        <v>109</v>
      </c>
      <c r="C98" s="86">
        <f>102691940</f>
        <v>102691940</v>
      </c>
      <c r="D98" s="87"/>
      <c r="E98" s="86">
        <f>151967995.38</f>
        <v>151967995.38</v>
      </c>
      <c r="F98" s="87"/>
      <c r="G98" s="88">
        <f t="shared" si="11"/>
        <v>1.8523266597088572</v>
      </c>
      <c r="H98" s="74">
        <f t="shared" si="12"/>
        <v>147.9843455873947</v>
      </c>
    </row>
    <row r="99" spans="2:8" ht="12.75">
      <c r="B99" s="85" t="s">
        <v>110</v>
      </c>
      <c r="C99" s="86">
        <f>0</f>
        <v>0</v>
      </c>
      <c r="D99" s="87"/>
      <c r="E99" s="86">
        <f>0</f>
        <v>0</v>
      </c>
      <c r="F99" s="87"/>
      <c r="G99" s="88">
        <f t="shared" si="11"/>
        <v>0</v>
      </c>
      <c r="H99" s="74">
        <f t="shared" si="12"/>
      </c>
    </row>
    <row r="100" spans="2:8" ht="37.5" customHeight="1">
      <c r="B100" s="85" t="s">
        <v>114</v>
      </c>
      <c r="C100" s="86">
        <f>5359257351.39</f>
        <v>5359257351.39</v>
      </c>
      <c r="D100" s="87"/>
      <c r="E100" s="86">
        <f>6993431887.28</f>
        <v>6993431887.28</v>
      </c>
      <c r="F100" s="87"/>
      <c r="G100" s="88">
        <f t="shared" si="11"/>
        <v>85.24242420435073</v>
      </c>
      <c r="H100" s="74">
        <f t="shared" si="12"/>
        <v>130.49255575431832</v>
      </c>
    </row>
    <row r="101" spans="2:8" ht="12.75">
      <c r="B101" s="85" t="s">
        <v>86</v>
      </c>
      <c r="C101" s="86">
        <f>2447900</f>
        <v>2447900</v>
      </c>
      <c r="D101" s="87"/>
      <c r="E101" s="86">
        <f>2447992.04</f>
        <v>2447992.04</v>
      </c>
      <c r="F101" s="87"/>
      <c r="G101" s="88"/>
      <c r="H101" s="74"/>
    </row>
    <row r="102" spans="2:8" ht="22.5">
      <c r="B102" s="89" t="s">
        <v>74</v>
      </c>
      <c r="C102" s="90">
        <f>3353899244.83</f>
        <v>3353899244.83</v>
      </c>
      <c r="D102" s="91"/>
      <c r="E102" s="90">
        <f>1198711456.35</f>
        <v>1198711456.35</v>
      </c>
      <c r="F102" s="91"/>
      <c r="G102" s="92">
        <f>IF($E$102=0,"",100*$E102/$E$102)</f>
        <v>100</v>
      </c>
      <c r="H102" s="54">
        <f t="shared" si="12"/>
        <v>35.74083086120732</v>
      </c>
    </row>
    <row r="103" spans="2:8" ht="33.75">
      <c r="B103" s="85" t="s">
        <v>111</v>
      </c>
      <c r="C103" s="86">
        <f>3229389686.83</f>
        <v>3229389686.83</v>
      </c>
      <c r="D103" s="87"/>
      <c r="E103" s="86">
        <f>1076046406.13</f>
        <v>1076046406.13</v>
      </c>
      <c r="F103" s="87"/>
      <c r="G103" s="88">
        <f>IF($E$102=0,"",100*$E103/$E$102)</f>
        <v>89.76692434445341</v>
      </c>
      <c r="H103" s="74">
        <f t="shared" si="12"/>
        <v>33.32042616344197</v>
      </c>
    </row>
    <row r="104" spans="2:8" ht="22.5">
      <c r="B104" s="85" t="s">
        <v>112</v>
      </c>
      <c r="C104" s="86">
        <f>656000000</f>
        <v>656000000</v>
      </c>
      <c r="D104" s="87"/>
      <c r="E104" s="86">
        <f>5000000</f>
        <v>5000000</v>
      </c>
      <c r="F104" s="87"/>
      <c r="G104" s="88">
        <f>IF($E$102=0,"",100*$E104/$E$102)</f>
        <v>0.41711455859650176</v>
      </c>
      <c r="H104" s="74">
        <f t="shared" si="12"/>
        <v>0.7621951219512195</v>
      </c>
    </row>
    <row r="105" spans="2:8" ht="12.75">
      <c r="B105" s="85" t="s">
        <v>113</v>
      </c>
      <c r="C105" s="86">
        <f>121401393</f>
        <v>121401393</v>
      </c>
      <c r="D105" s="87"/>
      <c r="E105" s="86">
        <f>79665050.22</f>
        <v>79665050.22</v>
      </c>
      <c r="F105" s="87"/>
      <c r="G105" s="88">
        <f>IF($E$102=0,"",100*$E105/$E$102)</f>
        <v>6.6458904516166895</v>
      </c>
      <c r="H105" s="74">
        <f t="shared" si="12"/>
        <v>65.62119943714319</v>
      </c>
    </row>
    <row r="106" spans="2:8" ht="12.75">
      <c r="B106" s="85" t="s">
        <v>29</v>
      </c>
      <c r="C106" s="86">
        <f>3108165</f>
        <v>3108165</v>
      </c>
      <c r="D106" s="87"/>
      <c r="E106" s="86">
        <f>43000000</f>
        <v>43000000</v>
      </c>
      <c r="F106" s="87"/>
      <c r="G106" s="88">
        <f>IF($E$102=0,"",100*$E106/$E$102)</f>
        <v>3.587185203929915</v>
      </c>
      <c r="H106" s="74">
        <f t="shared" si="12"/>
        <v>1383.4529376657931</v>
      </c>
    </row>
    <row r="107" spans="2:8" ht="12.75">
      <c r="B107" s="43"/>
      <c r="C107" s="43"/>
      <c r="D107" s="43"/>
      <c r="E107" s="43"/>
      <c r="F107" s="43"/>
      <c r="G107" s="43"/>
      <c r="H107" s="43"/>
    </row>
    <row r="108" spans="2:8" ht="12.75">
      <c r="B108" s="16" t="s">
        <v>16</v>
      </c>
      <c r="C108" s="126" t="s">
        <v>17</v>
      </c>
      <c r="D108" s="127"/>
      <c r="E108" s="126" t="s">
        <v>1</v>
      </c>
      <c r="F108" s="127"/>
      <c r="G108" s="17" t="s">
        <v>25</v>
      </c>
      <c r="H108" s="17" t="s">
        <v>26</v>
      </c>
    </row>
    <row r="109" spans="2:8" ht="12.75">
      <c r="B109" s="18"/>
      <c r="C109" s="128" t="s">
        <v>84</v>
      </c>
      <c r="D109" s="129"/>
      <c r="E109" s="129"/>
      <c r="F109" s="130"/>
      <c r="G109" s="112" t="s">
        <v>4</v>
      </c>
      <c r="H109" s="113"/>
    </row>
    <row r="110" spans="2:8" ht="12.75">
      <c r="B110" s="19">
        <v>1</v>
      </c>
      <c r="C110" s="20">
        <v>2</v>
      </c>
      <c r="D110" s="21"/>
      <c r="E110" s="20">
        <v>3</v>
      </c>
      <c r="F110" s="21"/>
      <c r="G110" s="22">
        <v>4</v>
      </c>
      <c r="H110" s="22">
        <v>5</v>
      </c>
    </row>
    <row r="111" spans="2:8" ht="28.5" customHeight="1">
      <c r="B111" s="93" t="s">
        <v>87</v>
      </c>
      <c r="C111" s="86">
        <f>9767088930.92</f>
        <v>9767088930.92</v>
      </c>
      <c r="D111" s="87"/>
      <c r="E111" s="86">
        <f>0</f>
        <v>0</v>
      </c>
      <c r="F111" s="94"/>
      <c r="G111" s="88"/>
      <c r="H111" s="74"/>
    </row>
    <row r="112" spans="2:8" ht="56.25">
      <c r="B112" s="93" t="s">
        <v>88</v>
      </c>
      <c r="C112" s="86">
        <f>0</f>
        <v>0</v>
      </c>
      <c r="D112" s="87"/>
      <c r="E112" s="86">
        <f>0</f>
        <v>0</v>
      </c>
      <c r="F112" s="87"/>
      <c r="G112" s="88"/>
      <c r="H112" s="74"/>
    </row>
    <row r="113" spans="2:8" ht="12.75">
      <c r="B113" s="93" t="s">
        <v>89</v>
      </c>
      <c r="C113" s="86">
        <f>5593244776.96</f>
        <v>5593244776.96</v>
      </c>
      <c r="D113" s="87"/>
      <c r="E113" s="86">
        <f>0</f>
        <v>0</v>
      </c>
      <c r="F113" s="87"/>
      <c r="G113" s="88"/>
      <c r="H113" s="74"/>
    </row>
    <row r="114" spans="2:8" ht="33.75">
      <c r="B114" s="93" t="s">
        <v>90</v>
      </c>
      <c r="C114" s="86">
        <f>0</f>
        <v>0</v>
      </c>
      <c r="D114" s="87"/>
      <c r="E114" s="86">
        <f>0</f>
        <v>0</v>
      </c>
      <c r="F114" s="87"/>
      <c r="G114" s="88"/>
      <c r="H114" s="74"/>
    </row>
    <row r="115" spans="2:8" ht="33.75">
      <c r="B115" s="93" t="s">
        <v>91</v>
      </c>
      <c r="C115" s="86">
        <f>80321569</f>
        <v>80321569</v>
      </c>
      <c r="D115" s="87"/>
      <c r="E115" s="86">
        <f>0</f>
        <v>0</v>
      </c>
      <c r="F115" s="87"/>
      <c r="G115" s="88"/>
      <c r="H115" s="74"/>
    </row>
    <row r="116" spans="2:8" ht="101.25">
      <c r="B116" s="93" t="s">
        <v>92</v>
      </c>
      <c r="C116" s="86">
        <f>4093522584.96</f>
        <v>4093522584.96</v>
      </c>
      <c r="D116" s="87"/>
      <c r="E116" s="86">
        <f>0</f>
        <v>0</v>
      </c>
      <c r="F116" s="87"/>
      <c r="G116" s="88"/>
      <c r="H116" s="74"/>
    </row>
    <row r="117" spans="2:8" ht="12.75">
      <c r="B117" s="95"/>
      <c r="C117" s="63"/>
      <c r="D117" s="63"/>
      <c r="E117" s="63"/>
      <c r="F117" s="63"/>
      <c r="G117" s="63"/>
      <c r="H117" s="63"/>
    </row>
    <row r="118" spans="2:6" ht="12.75">
      <c r="B118" s="15" t="s">
        <v>16</v>
      </c>
      <c r="C118" s="131" t="s">
        <v>1</v>
      </c>
      <c r="D118" s="121"/>
      <c r="E118" s="121"/>
      <c r="F118" s="115"/>
    </row>
    <row r="119" spans="2:6" ht="12.75">
      <c r="B119" s="15"/>
      <c r="C119" s="123" t="s">
        <v>84</v>
      </c>
      <c r="D119" s="124"/>
      <c r="E119" s="124"/>
      <c r="F119" s="125"/>
    </row>
    <row r="120" spans="2:6" ht="12.75">
      <c r="B120" s="10">
        <v>1</v>
      </c>
      <c r="C120" s="132">
        <v>2</v>
      </c>
      <c r="D120" s="133"/>
      <c r="E120" s="133"/>
      <c r="F120" s="134"/>
    </row>
    <row r="121" spans="2:6" ht="56.25">
      <c r="B121" s="96" t="s">
        <v>93</v>
      </c>
      <c r="C121" s="120">
        <f>91858173.67</f>
        <v>91858173.67</v>
      </c>
      <c r="D121" s="121"/>
      <c r="E121" s="121"/>
      <c r="F121" s="115"/>
    </row>
    <row r="122" spans="2:6" ht="45">
      <c r="B122" s="97" t="s">
        <v>94</v>
      </c>
      <c r="C122" s="120">
        <f>61675609.38</f>
        <v>61675609.38</v>
      </c>
      <c r="D122" s="121"/>
      <c r="E122" s="121"/>
      <c r="F122" s="115"/>
    </row>
    <row r="123" spans="2:6" ht="39.75" customHeight="1">
      <c r="B123" s="97" t="s">
        <v>95</v>
      </c>
      <c r="C123" s="120">
        <f>19290637.31</f>
        <v>19290637.31</v>
      </c>
      <c r="D123" s="121"/>
      <c r="E123" s="121"/>
      <c r="F123" s="115"/>
    </row>
    <row r="124" spans="2:6" ht="78.75">
      <c r="B124" s="97" t="s">
        <v>96</v>
      </c>
      <c r="C124" s="120">
        <f>0</f>
        <v>0</v>
      </c>
      <c r="D124" s="121"/>
      <c r="E124" s="121"/>
      <c r="F124" s="115"/>
    </row>
    <row r="125" spans="2:6" ht="56.25">
      <c r="B125" s="97" t="s">
        <v>97</v>
      </c>
      <c r="C125" s="120">
        <f>0</f>
        <v>0</v>
      </c>
      <c r="D125" s="121"/>
      <c r="E125" s="121"/>
      <c r="F125" s="115"/>
    </row>
    <row r="126" spans="2:6" ht="56.25">
      <c r="B126" s="93" t="s">
        <v>98</v>
      </c>
      <c r="C126" s="120">
        <f>111292</f>
        <v>111292</v>
      </c>
      <c r="D126" s="121"/>
      <c r="E126" s="121"/>
      <c r="F126" s="115"/>
    </row>
    <row r="127" spans="2:6" ht="56.25">
      <c r="B127" s="93" t="s">
        <v>99</v>
      </c>
      <c r="C127" s="120">
        <f>0</f>
        <v>0</v>
      </c>
      <c r="D127" s="121"/>
      <c r="E127" s="121"/>
      <c r="F127" s="115"/>
    </row>
    <row r="128" spans="2:6" ht="80.25" customHeight="1">
      <c r="B128" s="93" t="s">
        <v>115</v>
      </c>
      <c r="C128" s="120">
        <f>2169645</f>
        <v>2169645</v>
      </c>
      <c r="D128" s="121"/>
      <c r="E128" s="121"/>
      <c r="F128" s="115"/>
    </row>
    <row r="129" spans="2:6" ht="81" customHeight="1">
      <c r="B129" s="93" t="s">
        <v>116</v>
      </c>
      <c r="C129" s="120">
        <f>1266737.41</f>
        <v>1266737.41</v>
      </c>
      <c r="D129" s="121"/>
      <c r="E129" s="121"/>
      <c r="F129" s="115"/>
    </row>
  </sheetData>
  <sheetProtection/>
  <mergeCells count="50">
    <mergeCell ref="C125:F125"/>
    <mergeCell ref="C118:F118"/>
    <mergeCell ref="C126:F126"/>
    <mergeCell ref="C127:F127"/>
    <mergeCell ref="C128:F128"/>
    <mergeCell ref="C129:F129"/>
    <mergeCell ref="C120:F120"/>
    <mergeCell ref="C121:F121"/>
    <mergeCell ref="C122:F122"/>
    <mergeCell ref="C123:F123"/>
    <mergeCell ref="C124:F124"/>
    <mergeCell ref="K69:L69"/>
    <mergeCell ref="K3:M3"/>
    <mergeCell ref="C3:J3"/>
    <mergeCell ref="B64:M64"/>
    <mergeCell ref="C69:J69"/>
    <mergeCell ref="C119:F119"/>
    <mergeCell ref="C108:D108"/>
    <mergeCell ref="E108:F108"/>
    <mergeCell ref="C109:F109"/>
    <mergeCell ref="G109:H109"/>
    <mergeCell ref="C91:D91"/>
    <mergeCell ref="E91:F91"/>
    <mergeCell ref="C92:F92"/>
    <mergeCell ref="G92:H92"/>
    <mergeCell ref="I70:J70"/>
    <mergeCell ref="I73:J73"/>
    <mergeCell ref="I74:J74"/>
    <mergeCell ref="I81:J81"/>
    <mergeCell ref="I79:J79"/>
    <mergeCell ref="B89:M89"/>
    <mergeCell ref="I66:J68"/>
    <mergeCell ref="D66:D68"/>
    <mergeCell ref="E66:E68"/>
    <mergeCell ref="F67:F68"/>
    <mergeCell ref="F66:H66"/>
    <mergeCell ref="G67:H67"/>
    <mergeCell ref="I71:J71"/>
    <mergeCell ref="I72:J72"/>
    <mergeCell ref="L66:L68"/>
    <mergeCell ref="I75:J75"/>
    <mergeCell ref="I76:J76"/>
    <mergeCell ref="I77:J77"/>
    <mergeCell ref="I78:J78"/>
    <mergeCell ref="I80:J80"/>
    <mergeCell ref="B1:M1"/>
    <mergeCell ref="B2:B3"/>
    <mergeCell ref="C66:C68"/>
    <mergeCell ref="B66:B69"/>
    <mergeCell ref="K66:K68"/>
  </mergeCells>
  <printOptions/>
  <pageMargins left="0.1968503937007874" right="0.1968503937007874" top="0.3937007874015748" bottom="0.3937007874015748" header="0.31496062992125984" footer="0.1968503937007874"/>
  <pageSetup firstPageNumber="1" useFirstPageNumber="1" fitToHeight="2" fitToWidth="2" horizontalDpi="600" verticalDpi="600" orientation="landscape" paperSize="9" scale="85" r:id="rId3"/>
  <headerFooter alignWithMargins="0">
    <oddFooter>&amp;RStrona &amp;P z &amp;N</oddFooter>
  </headerFooter>
  <rowBreaks count="6" manualBreakCount="6">
    <brk id="22" max="255" man="1"/>
    <brk id="49" max="12" man="1"/>
    <brk id="63" max="255" man="1"/>
    <brk id="88" max="255" man="1"/>
    <brk id="107" max="255" man="1"/>
    <brk id="117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2018-03-19T09:19:34Z</cp:lastPrinted>
  <dcterms:created xsi:type="dcterms:W3CDTF">2001-05-17T08:58:03Z</dcterms:created>
  <dcterms:modified xsi:type="dcterms:W3CDTF">2019-08-23T12:53:04Z</dcterms:modified>
  <cp:category/>
  <cp:version/>
  <cp:contentType/>
  <cp:contentStatus/>
</cp:coreProperties>
</file>