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'doch_wyd'!$A$1:$M$75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<sst xmlns="http://schemas.openxmlformats.org/spreadsheetml/2006/main" count="421" uniqueCount="81">
  <si>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</si>
  <si>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</si>
  <si>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</si>
  <si>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</si>
  <si>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</si>
  <si>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</si>
  <si>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</si>
  <si>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</si>
  <si>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</si>
  <si>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</si>
  <si>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</si>
  <si>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</si>
  <si>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</si>
  <si>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</si>
  <si>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</si>
  <si>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</si>
  <si>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</si>
  <si>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</si>
  <si>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</si>
  <si>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</si>
  <si>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</si>
  <si>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</si>
  <si>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</si>
  <si>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</si>
  <si>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</si>
  <si>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</si>
  <si>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</si>
  <si>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</si>
  <si>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</si>
  <si>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</si>
  <si>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</si>
  <si>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</si>
  <si>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</si>
  <si>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</si>
  <si>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</si>
  <si>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</si>
  <si>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</si>
  <si>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</si>
  <si>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</si>
  <si>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</si>
  <si>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</si>
  <si>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</si>
  <si>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</si>
  <si>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</si>
  <si>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</si>
  <si>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</si>
  <si>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</si>
  <si>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</si>
  <si>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</si>
  <si>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</si>
  <si>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</si>
  <si>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</si>
  <si>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</si>
  <si>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</si>
  <si>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</si>
  <si>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</si>
  <si>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</si>
  <si>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</si>
  <si>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</si>
  <si>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</si>
  <si>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</si>
  <si>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</si>
  <si>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</si>
  <si>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</si>
  <si>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</si>
  <si>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</si>
  <si>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</si>
  <si>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</si>
  <si>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</si>
  <si>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</si>
  <si>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</si>
  <si>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</si>
  <si>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</si>
  <si>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</si>
  <si>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</si>
  <si>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</si>
  <si>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</si>
  <si>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</si>
  <si>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</si>
  <si>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</si>
  <si>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Informacja z wykonania budżetów gmin za GRUDZIEŃ rok    2018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</si>
</sst>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75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61" t="s">
        <v>80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0.75" customHeight="1"/>
    <row r="3" spans="2:13" ht="63.75" customHeight="1">
      <c r="B3" s="62" t="s">
        <v>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6" t="s">
        <v>1</v>
      </c>
      <c r="L3" s="14" t="s">
        <v>15</v>
      </c>
      <c r="M3" s="14" t="s">
        <v>2</v>
      </c>
    </row>
    <row r="4" spans="2:13" ht="12.75">
      <c r="B4" s="62"/>
      <c r="C4" s="57" t="s">
        <v>73</v>
      </c>
      <c r="D4" s="57"/>
      <c r="E4" s="57"/>
      <c r="F4" s="57"/>
      <c r="G4" s="57"/>
      <c r="H4" s="57"/>
      <c r="I4" s="57"/>
      <c r="J4" s="57"/>
      <c r="K4" s="57" t="s">
        <v>3</v>
      </c>
      <c r="L4" s="57"/>
      <c r="M4" s="57"/>
    </row>
    <row r="5" spans="2:13" ht="12.75">
      <c r="B5" s="16">
        <v>1</v>
      </c>
      <c r="C5" s="18">
        <v>2</v>
      </c>
      <c r="D5" s="18">
        <v>3</v>
      </c>
      <c r="E5" s="18">
        <v>4</v>
      </c>
      <c r="F5" s="16">
        <v>5</v>
      </c>
      <c r="G5" s="18">
        <v>6</v>
      </c>
      <c r="H5" s="16">
        <v>7</v>
      </c>
      <c r="I5" s="18">
        <v>8</v>
      </c>
      <c r="J5" s="16">
        <v>9</v>
      </c>
      <c r="K5" s="18">
        <v>10</v>
      </c>
      <c r="L5" s="16">
        <v>11</v>
      </c>
      <c r="M5" s="18">
        <v>12</v>
      </c>
    </row>
    <row r="6" spans="2:13" ht="12.75">
      <c r="B6" s="50" t="s">
        <v>4</v>
      </c>
      <c r="C6" s="37">
        <f>124021114103.02</f>
        <v>124021114103.02</v>
      </c>
      <c r="D6" s="37">
        <f>121196839815.13</f>
        <v>121196839815.13</v>
      </c>
      <c r="E6" s="36" t="s">
        <v>57</v>
      </c>
      <c r="F6" s="36" t="s">
        <v>57</v>
      </c>
      <c r="G6" s="36" t="s">
        <v>57</v>
      </c>
      <c r="H6" s="36" t="s">
        <v>57</v>
      </c>
      <c r="I6" s="36" t="s">
        <v>57</v>
      </c>
      <c r="J6" s="36" t="s">
        <v>57</v>
      </c>
      <c r="K6" s="38">
        <f aca="true" t="shared" si="0" ref="K6:K49">IF($D$6=0,"",100*$D6/$D$6)</f>
        <v>100</v>
      </c>
      <c r="L6" s="38">
        <f aca="true" t="shared" si="1" ref="L6:L45">IF(C6=0,"",100*D6/C6)</f>
        <v>97.7227472045252</v>
      </c>
      <c r="M6" s="38"/>
    </row>
    <row r="7" spans="2:13" ht="25.5" customHeight="1">
      <c r="B7" s="50" t="s">
        <v>58</v>
      </c>
      <c r="C7" s="24">
        <f>C6-C22-C40</f>
        <v>52060582434.32001</v>
      </c>
      <c r="D7" s="24">
        <f>D6-D22-D40</f>
        <v>52211480221.77001</v>
      </c>
      <c r="E7" s="36" t="s">
        <v>57</v>
      </c>
      <c r="F7" s="36" t="s">
        <v>57</v>
      </c>
      <c r="G7" s="36" t="s">
        <v>57</v>
      </c>
      <c r="H7" s="36" t="s">
        <v>57</v>
      </c>
      <c r="I7" s="36" t="s">
        <v>57</v>
      </c>
      <c r="J7" s="36" t="s">
        <v>57</v>
      </c>
      <c r="K7" s="31">
        <f t="shared" si="0"/>
        <v>43.07990233195174</v>
      </c>
      <c r="L7" s="31">
        <f t="shared" si="1"/>
        <v>100.28985036354592</v>
      </c>
      <c r="M7" s="31">
        <f aca="true" t="shared" si="2" ref="M7:M21">IF($D$7=0,"",100*$D7/$D$7)</f>
        <v>100</v>
      </c>
    </row>
    <row r="8" spans="2:13" ht="22.5" customHeight="1">
      <c r="B8" s="30" t="s">
        <v>29</v>
      </c>
      <c r="C8" s="23">
        <f>928506166.13</f>
        <v>928506166.13</v>
      </c>
      <c r="D8" s="23">
        <f>900214830.68</f>
        <v>900214830.68</v>
      </c>
      <c r="E8" s="36" t="s">
        <v>57</v>
      </c>
      <c r="F8" s="36" t="s">
        <v>57</v>
      </c>
      <c r="G8" s="36" t="s">
        <v>57</v>
      </c>
      <c r="H8" s="36" t="s">
        <v>57</v>
      </c>
      <c r="I8" s="36" t="s">
        <v>57</v>
      </c>
      <c r="J8" s="36" t="s">
        <v>57</v>
      </c>
      <c r="K8" s="32">
        <f t="shared" si="0"/>
        <v>0.7427708775683924</v>
      </c>
      <c r="L8" s="32">
        <f t="shared" si="1"/>
        <v>96.95302664839396</v>
      </c>
      <c r="M8" s="32">
        <f t="shared" si="2"/>
        <v>1.7241702913924435</v>
      </c>
    </row>
    <row r="9" spans="2:13" ht="22.5" customHeight="1">
      <c r="B9" s="30" t="s">
        <v>16</v>
      </c>
      <c r="C9" s="23">
        <f>19756392475.91</f>
        <v>19756392475.91</v>
      </c>
      <c r="D9" s="23">
        <f>20723830100.77</f>
        <v>20723830100.77</v>
      </c>
      <c r="E9" s="36" t="s">
        <v>57</v>
      </c>
      <c r="F9" s="36" t="s">
        <v>57</v>
      </c>
      <c r="G9" s="36" t="s">
        <v>57</v>
      </c>
      <c r="H9" s="36" t="s">
        <v>57</v>
      </c>
      <c r="I9" s="36" t="s">
        <v>57</v>
      </c>
      <c r="J9" s="36" t="s">
        <v>57</v>
      </c>
      <c r="K9" s="32">
        <f t="shared" si="0"/>
        <v>17.099315569928642</v>
      </c>
      <c r="L9" s="32">
        <f t="shared" si="1"/>
        <v>104.89683339728975</v>
      </c>
      <c r="M9" s="32">
        <f t="shared" si="2"/>
        <v>39.692094559941296</v>
      </c>
    </row>
    <row r="10" spans="2:13" ht="13.5" customHeight="1">
      <c r="B10" s="30" t="s">
        <v>17</v>
      </c>
      <c r="C10" s="23">
        <f>1506520046.73</f>
        <v>1506520046.73</v>
      </c>
      <c r="D10" s="23">
        <f>1471268017.02</f>
        <v>1471268017.02</v>
      </c>
      <c r="E10" s="36" t="s">
        <v>57</v>
      </c>
      <c r="F10" s="36" t="s">
        <v>57</v>
      </c>
      <c r="G10" s="36" t="s">
        <v>57</v>
      </c>
      <c r="H10" s="36" t="s">
        <v>57</v>
      </c>
      <c r="I10" s="36" t="s">
        <v>57</v>
      </c>
      <c r="J10" s="36" t="s">
        <v>57</v>
      </c>
      <c r="K10" s="32">
        <f t="shared" si="0"/>
        <v>1.2139491584633955</v>
      </c>
      <c r="L10" s="32">
        <f t="shared" si="1"/>
        <v>97.66003580327279</v>
      </c>
      <c r="M10" s="32">
        <f t="shared" si="2"/>
        <v>2.8179013710600422</v>
      </c>
    </row>
    <row r="11" spans="2:13" ht="13.5" customHeight="1">
      <c r="B11" s="30" t="s">
        <v>18</v>
      </c>
      <c r="C11" s="23">
        <f>13753460045.12</f>
        <v>13753460045.12</v>
      </c>
      <c r="D11" s="40">
        <f>13781676576.64</f>
        <v>13781676576.64</v>
      </c>
      <c r="E11" s="36" t="s">
        <v>57</v>
      </c>
      <c r="F11" s="36" t="s">
        <v>57</v>
      </c>
      <c r="G11" s="36" t="s">
        <v>57</v>
      </c>
      <c r="H11" s="36" t="s">
        <v>57</v>
      </c>
      <c r="I11" s="36" t="s">
        <v>57</v>
      </c>
      <c r="J11" s="36" t="s">
        <v>57</v>
      </c>
      <c r="K11" s="32">
        <f t="shared" si="0"/>
        <v>11.371316774977098</v>
      </c>
      <c r="L11" s="32">
        <f t="shared" si="1"/>
        <v>100.20515951206046</v>
      </c>
      <c r="M11" s="32">
        <f t="shared" si="2"/>
        <v>26.395874083825753</v>
      </c>
    </row>
    <row r="12" spans="2:13" ht="13.5" customHeight="1">
      <c r="B12" s="30" t="s">
        <v>19</v>
      </c>
      <c r="C12" s="23">
        <f>295894371.99</f>
        <v>295894371.99</v>
      </c>
      <c r="D12" s="40">
        <f>299842241.95</f>
        <v>299842241.95</v>
      </c>
      <c r="E12" s="36" t="s">
        <v>57</v>
      </c>
      <c r="F12" s="36" t="s">
        <v>57</v>
      </c>
      <c r="G12" s="36" t="s">
        <v>57</v>
      </c>
      <c r="H12" s="36" t="s">
        <v>57</v>
      </c>
      <c r="I12" s="36" t="s">
        <v>57</v>
      </c>
      <c r="J12" s="36" t="s">
        <v>57</v>
      </c>
      <c r="K12" s="32">
        <f t="shared" si="0"/>
        <v>0.2474010398351725</v>
      </c>
      <c r="L12" s="32">
        <f t="shared" si="1"/>
        <v>101.33421596816765</v>
      </c>
      <c r="M12" s="32">
        <f t="shared" si="2"/>
        <v>0.5742841242508545</v>
      </c>
    </row>
    <row r="13" spans="2:13" ht="22.5" customHeight="1">
      <c r="B13" s="30" t="s">
        <v>20</v>
      </c>
      <c r="C13" s="23">
        <f>786477831.76</f>
        <v>786477831.76</v>
      </c>
      <c r="D13" s="40">
        <f>785284161.36</f>
        <v>785284161.36</v>
      </c>
      <c r="E13" s="36" t="s">
        <v>57</v>
      </c>
      <c r="F13" s="36" t="s">
        <v>57</v>
      </c>
      <c r="G13" s="36" t="s">
        <v>57</v>
      </c>
      <c r="H13" s="36" t="s">
        <v>57</v>
      </c>
      <c r="I13" s="36" t="s">
        <v>57</v>
      </c>
      <c r="J13" s="36" t="s">
        <v>57</v>
      </c>
      <c r="K13" s="32">
        <f t="shared" si="0"/>
        <v>0.6479411200472296</v>
      </c>
      <c r="L13" s="32">
        <f t="shared" si="1"/>
        <v>99.84822580474662</v>
      </c>
      <c r="M13" s="32">
        <f t="shared" si="2"/>
        <v>1.50404500700704</v>
      </c>
    </row>
    <row r="14" spans="2:13" ht="33" customHeight="1">
      <c r="B14" s="30" t="s">
        <v>40</v>
      </c>
      <c r="C14" s="23">
        <f>38680403.28</f>
        <v>38680403.28</v>
      </c>
      <c r="D14" s="40">
        <f>34575224.17</f>
        <v>34575224.17</v>
      </c>
      <c r="E14" s="36" t="s">
        <v>57</v>
      </c>
      <c r="F14" s="36" t="s">
        <v>57</v>
      </c>
      <c r="G14" s="36" t="s">
        <v>57</v>
      </c>
      <c r="H14" s="36" t="s">
        <v>57</v>
      </c>
      <c r="I14" s="36" t="s">
        <v>57</v>
      </c>
      <c r="J14" s="36" t="s">
        <v>57</v>
      </c>
      <c r="K14" s="32">
        <f t="shared" si="0"/>
        <v>0.028528156528454043</v>
      </c>
      <c r="L14" s="32">
        <f t="shared" si="1"/>
        <v>89.38692784487432</v>
      </c>
      <c r="M14" s="32">
        <f t="shared" si="2"/>
        <v>0.06622149769196463</v>
      </c>
    </row>
    <row r="15" spans="2:13" ht="22.5" customHeight="1">
      <c r="B15" s="30" t="s">
        <v>23</v>
      </c>
      <c r="C15" s="23">
        <f>118512381.7</f>
        <v>118512381.7</v>
      </c>
      <c r="D15" s="40">
        <f>122204606.15</f>
        <v>122204606.15</v>
      </c>
      <c r="E15" s="36" t="s">
        <v>57</v>
      </c>
      <c r="F15" s="36" t="s">
        <v>57</v>
      </c>
      <c r="G15" s="36" t="s">
        <v>57</v>
      </c>
      <c r="H15" s="36" t="s">
        <v>57</v>
      </c>
      <c r="I15" s="36" t="s">
        <v>57</v>
      </c>
      <c r="J15" s="36" t="s">
        <v>57</v>
      </c>
      <c r="K15" s="32">
        <f t="shared" si="0"/>
        <v>0.10083151205626088</v>
      </c>
      <c r="L15" s="32">
        <f t="shared" si="1"/>
        <v>103.11547569716929</v>
      </c>
      <c r="M15" s="32">
        <f t="shared" si="2"/>
        <v>0.23405696530903133</v>
      </c>
    </row>
    <row r="16" spans="2:13" ht="22.5" customHeight="1">
      <c r="B16" s="30" t="s">
        <v>24</v>
      </c>
      <c r="C16" s="23">
        <f>1025221986.24</f>
        <v>1025221986.24</v>
      </c>
      <c r="D16" s="40">
        <f>1095478184.63</f>
        <v>1095478184.63</v>
      </c>
      <c r="E16" s="36" t="s">
        <v>57</v>
      </c>
      <c r="F16" s="36" t="s">
        <v>57</v>
      </c>
      <c r="G16" s="36" t="s">
        <v>57</v>
      </c>
      <c r="H16" s="36" t="s">
        <v>57</v>
      </c>
      <c r="I16" s="36" t="s">
        <v>57</v>
      </c>
      <c r="J16" s="36" t="s">
        <v>57</v>
      </c>
      <c r="K16" s="32">
        <f t="shared" si="0"/>
        <v>0.9038834562856667</v>
      </c>
      <c r="L16" s="32">
        <f t="shared" si="1"/>
        <v>106.85277913787868</v>
      </c>
      <c r="M16" s="32">
        <f t="shared" si="2"/>
        <v>2.0981557695298427</v>
      </c>
    </row>
    <row r="17" spans="2:13" ht="13.5" customHeight="1">
      <c r="B17" s="30" t="s">
        <v>25</v>
      </c>
      <c r="C17" s="23">
        <f>173963069.32</f>
        <v>173963069.32</v>
      </c>
      <c r="D17" s="40">
        <f>171381487.9</f>
        <v>171381487.9</v>
      </c>
      <c r="E17" s="36" t="s">
        <v>57</v>
      </c>
      <c r="F17" s="36" t="s">
        <v>57</v>
      </c>
      <c r="G17" s="36" t="s">
        <v>57</v>
      </c>
      <c r="H17" s="36" t="s">
        <v>57</v>
      </c>
      <c r="I17" s="36" t="s">
        <v>57</v>
      </c>
      <c r="J17" s="36" t="s">
        <v>57</v>
      </c>
      <c r="K17" s="32">
        <f t="shared" si="0"/>
        <v>0.1414075549836284</v>
      </c>
      <c r="L17" s="32">
        <f t="shared" si="1"/>
        <v>98.51601754895962</v>
      </c>
      <c r="M17" s="32">
        <f t="shared" si="2"/>
        <v>0.32824483652264097</v>
      </c>
    </row>
    <row r="18" spans="2:13" ht="22.5" customHeight="1">
      <c r="B18" s="30" t="s">
        <v>26</v>
      </c>
      <c r="C18" s="23">
        <f>389003573.07</f>
        <v>389003573.07</v>
      </c>
      <c r="D18" s="40">
        <f>378999940.9</f>
        <v>378999940.9</v>
      </c>
      <c r="E18" s="36" t="s">
        <v>57</v>
      </c>
      <c r="F18" s="36" t="s">
        <v>57</v>
      </c>
      <c r="G18" s="36" t="s">
        <v>57</v>
      </c>
      <c r="H18" s="36" t="s">
        <v>57</v>
      </c>
      <c r="I18" s="36" t="s">
        <v>57</v>
      </c>
      <c r="J18" s="36" t="s">
        <v>57</v>
      </c>
      <c r="K18" s="32">
        <f t="shared" si="0"/>
        <v>0.3127143756207794</v>
      </c>
      <c r="L18" s="32">
        <f t="shared" si="1"/>
        <v>97.42839581368064</v>
      </c>
      <c r="M18" s="32">
        <f t="shared" si="2"/>
        <v>0.725893882514315</v>
      </c>
    </row>
    <row r="19" spans="2:13" ht="13.5" customHeight="1">
      <c r="B19" s="30" t="s">
        <v>27</v>
      </c>
      <c r="C19" s="23">
        <f>125028760.45</f>
        <v>125028760.45</v>
      </c>
      <c r="D19" s="40">
        <f>117609679.74</f>
        <v>117609679.74</v>
      </c>
      <c r="E19" s="36" t="s">
        <v>57</v>
      </c>
      <c r="F19" s="36" t="s">
        <v>57</v>
      </c>
      <c r="G19" s="36" t="s">
        <v>57</v>
      </c>
      <c r="H19" s="36" t="s">
        <v>57</v>
      </c>
      <c r="I19" s="36" t="s">
        <v>57</v>
      </c>
      <c r="J19" s="36" t="s">
        <v>57</v>
      </c>
      <c r="K19" s="32">
        <f t="shared" si="0"/>
        <v>0.09704021979401299</v>
      </c>
      <c r="L19" s="32">
        <f t="shared" si="1"/>
        <v>94.06610072490724</v>
      </c>
      <c r="M19" s="32">
        <f t="shared" si="2"/>
        <v>0.22525635978993305</v>
      </c>
    </row>
    <row r="20" spans="2:13" ht="13.5" customHeight="1">
      <c r="B20" s="30" t="s">
        <v>21</v>
      </c>
      <c r="C20" s="23">
        <f>3584559059.75</f>
        <v>3584559059.75</v>
      </c>
      <c r="D20" s="40">
        <f>3205570259.18</f>
        <v>3205570259.18</v>
      </c>
      <c r="E20" s="36" t="s">
        <v>57</v>
      </c>
      <c r="F20" s="36" t="s">
        <v>57</v>
      </c>
      <c r="G20" s="36" t="s">
        <v>57</v>
      </c>
      <c r="H20" s="36" t="s">
        <v>57</v>
      </c>
      <c r="I20" s="36" t="s">
        <v>57</v>
      </c>
      <c r="J20" s="36" t="s">
        <v>57</v>
      </c>
      <c r="K20" s="32">
        <f t="shared" si="0"/>
        <v>2.6449289140456798</v>
      </c>
      <c r="L20" s="32">
        <f t="shared" si="1"/>
        <v>89.4271849269954</v>
      </c>
      <c r="M20" s="32">
        <f t="shared" si="2"/>
        <v>6.139588928649855</v>
      </c>
    </row>
    <row r="21" spans="2:13" ht="13.5" customHeight="1">
      <c r="B21" s="30" t="s">
        <v>22</v>
      </c>
      <c r="C21" s="23">
        <f>C7-C8-C9-C10-C11-C12-C13-C14-C15-C16-C17-C18-C19-C20</f>
        <v>9578362262.870008</v>
      </c>
      <c r="D21" s="23">
        <f>D7-D8-D9-D10-D11-D12-D13-D14-D15-D16-D17-D18-D19-D20</f>
        <v>9123544910.68001</v>
      </c>
      <c r="E21" s="36" t="s">
        <v>57</v>
      </c>
      <c r="F21" s="36" t="s">
        <v>57</v>
      </c>
      <c r="G21" s="36" t="s">
        <v>57</v>
      </c>
      <c r="H21" s="36" t="s">
        <v>57</v>
      </c>
      <c r="I21" s="36" t="s">
        <v>57</v>
      </c>
      <c r="J21" s="36" t="s">
        <v>57</v>
      </c>
      <c r="K21" s="32">
        <f t="shared" si="0"/>
        <v>7.5278736018173324</v>
      </c>
      <c r="L21" s="32">
        <f t="shared" si="1"/>
        <v>95.2516167199786</v>
      </c>
      <c r="M21" s="32">
        <f t="shared" si="2"/>
        <v>17.474212322514987</v>
      </c>
    </row>
    <row r="22" spans="2:13" ht="26.25" customHeight="1">
      <c r="B22" s="50" t="s">
        <v>64</v>
      </c>
      <c r="C22" s="37">
        <f>C23+C36+C38</f>
        <v>43629644002.81</v>
      </c>
      <c r="D22" s="37">
        <f>D23+D36+D38</f>
        <v>40586808601.09999</v>
      </c>
      <c r="E22" s="36" t="s">
        <v>57</v>
      </c>
      <c r="F22" s="36" t="s">
        <v>57</v>
      </c>
      <c r="G22" s="36" t="s">
        <v>57</v>
      </c>
      <c r="H22" s="36" t="s">
        <v>57</v>
      </c>
      <c r="I22" s="36" t="s">
        <v>57</v>
      </c>
      <c r="J22" s="36" t="s">
        <v>57</v>
      </c>
      <c r="K22" s="38">
        <f t="shared" si="0"/>
        <v>33.48833902188364</v>
      </c>
      <c r="L22" s="38">
        <f t="shared" si="1"/>
        <v>93.02576156359646</v>
      </c>
      <c r="M22" s="27"/>
    </row>
    <row r="23" spans="2:13" ht="25.5" customHeight="1">
      <c r="B23" s="50" t="s">
        <v>59</v>
      </c>
      <c r="C23" s="37">
        <f>C24+C26+C28+C30+C32+C34</f>
        <v>35552025468.36</v>
      </c>
      <c r="D23" s="37">
        <f>D24+D26+D28+D30+D32+D34</f>
        <v>34994808497.229996</v>
      </c>
      <c r="E23" s="36" t="s">
        <v>57</v>
      </c>
      <c r="F23" s="36" t="s">
        <v>57</v>
      </c>
      <c r="G23" s="36" t="s">
        <v>57</v>
      </c>
      <c r="H23" s="36" t="s">
        <v>57</v>
      </c>
      <c r="I23" s="36" t="s">
        <v>57</v>
      </c>
      <c r="J23" s="36" t="s">
        <v>57</v>
      </c>
      <c r="K23" s="38">
        <f t="shared" si="0"/>
        <v>28.874357244471074</v>
      </c>
      <c r="L23" s="38">
        <f t="shared" si="1"/>
        <v>98.43267165853628</v>
      </c>
      <c r="M23" s="27"/>
    </row>
    <row r="24" spans="2:13" ht="22.5" customHeight="1">
      <c r="B24" s="30" t="s">
        <v>8</v>
      </c>
      <c r="C24" s="23">
        <f>29520115247.89</f>
        <v>29520115247.89</v>
      </c>
      <c r="D24" s="23">
        <f>29169167498.51</f>
        <v>29169167498.51</v>
      </c>
      <c r="E24" s="36" t="s">
        <v>57</v>
      </c>
      <c r="F24" s="23" t="s">
        <v>57</v>
      </c>
      <c r="G24" s="23" t="s">
        <v>57</v>
      </c>
      <c r="H24" s="23" t="s">
        <v>57</v>
      </c>
      <c r="I24" s="23" t="s">
        <v>57</v>
      </c>
      <c r="J24" s="23" t="s">
        <v>57</v>
      </c>
      <c r="K24" s="32">
        <f t="shared" si="0"/>
        <v>24.067597424985475</v>
      </c>
      <c r="L24" s="32">
        <f t="shared" si="1"/>
        <v>98.81115725181634</v>
      </c>
      <c r="M24" s="27"/>
    </row>
    <row r="25" spans="2:13" ht="13.5" customHeight="1">
      <c r="B25" s="41" t="s">
        <v>5</v>
      </c>
      <c r="C25" s="23">
        <f>12781847.62</f>
        <v>12781847.62</v>
      </c>
      <c r="D25" s="23">
        <f>9856583.31</f>
        <v>9856583.31</v>
      </c>
      <c r="E25" s="36" t="s">
        <v>57</v>
      </c>
      <c r="F25" s="23" t="s">
        <v>57</v>
      </c>
      <c r="G25" s="23" t="s">
        <v>57</v>
      </c>
      <c r="H25" s="23" t="s">
        <v>57</v>
      </c>
      <c r="I25" s="23" t="s">
        <v>57</v>
      </c>
      <c r="J25" s="23" t="s">
        <v>57</v>
      </c>
      <c r="K25" s="32">
        <f t="shared" si="0"/>
        <v>0.008132706533466495</v>
      </c>
      <c r="L25" s="32">
        <f t="shared" si="1"/>
        <v>77.11391657163254</v>
      </c>
      <c r="M25" s="27"/>
    </row>
    <row r="26" spans="2:13" ht="13.5" customHeight="1">
      <c r="B26" s="30" t="s">
        <v>6</v>
      </c>
      <c r="C26" s="23">
        <f>4731612323.31</f>
        <v>4731612323.31</v>
      </c>
      <c r="D26" s="23">
        <f>4593635705.18</f>
        <v>4593635705.18</v>
      </c>
      <c r="E26" s="36" t="s">
        <v>57</v>
      </c>
      <c r="F26" s="23" t="s">
        <v>57</v>
      </c>
      <c r="G26" s="23" t="s">
        <v>57</v>
      </c>
      <c r="H26" s="23" t="s">
        <v>57</v>
      </c>
      <c r="I26" s="23" t="s">
        <v>57</v>
      </c>
      <c r="J26" s="23" t="s">
        <v>57</v>
      </c>
      <c r="K26" s="32">
        <f t="shared" si="0"/>
        <v>3.7902272965095403</v>
      </c>
      <c r="L26" s="32">
        <f t="shared" si="1"/>
        <v>97.08394076475228</v>
      </c>
      <c r="M26" s="27"/>
    </row>
    <row r="27" spans="2:13" ht="13.5" customHeight="1">
      <c r="B27" s="41" t="s">
        <v>5</v>
      </c>
      <c r="C27" s="23">
        <f>1287086980.33</f>
        <v>1287086980.33</v>
      </c>
      <c r="D27" s="23">
        <f>1226854494.15</f>
        <v>1226854494.15</v>
      </c>
      <c r="E27" s="36" t="s">
        <v>57</v>
      </c>
      <c r="F27" s="23" t="s">
        <v>57</v>
      </c>
      <c r="G27" s="23" t="s">
        <v>57</v>
      </c>
      <c r="H27" s="23" t="s">
        <v>57</v>
      </c>
      <c r="I27" s="23" t="s">
        <v>57</v>
      </c>
      <c r="J27" s="23" t="s">
        <v>57</v>
      </c>
      <c r="K27" s="32">
        <f t="shared" si="0"/>
        <v>1.012282577682229</v>
      </c>
      <c r="L27" s="32">
        <f t="shared" si="1"/>
        <v>95.32024741913273</v>
      </c>
      <c r="M27" s="27"/>
    </row>
    <row r="28" spans="2:13" ht="33" customHeight="1">
      <c r="B28" s="30" t="s">
        <v>9</v>
      </c>
      <c r="C28" s="23">
        <f>30711686.23</f>
        <v>30711686.23</v>
      </c>
      <c r="D28" s="23">
        <f>26835542.26</f>
        <v>26835542.26</v>
      </c>
      <c r="E28" s="36" t="s">
        <v>57</v>
      </c>
      <c r="F28" s="23" t="s">
        <v>57</v>
      </c>
      <c r="G28" s="23" t="s">
        <v>57</v>
      </c>
      <c r="H28" s="23" t="s">
        <v>57</v>
      </c>
      <c r="I28" s="23" t="s">
        <v>57</v>
      </c>
      <c r="J28" s="23" t="s">
        <v>57</v>
      </c>
      <c r="K28" s="32">
        <f t="shared" si="0"/>
        <v>0.0221421138545643</v>
      </c>
      <c r="L28" s="32">
        <f t="shared" si="1"/>
        <v>87.37892820025728</v>
      </c>
      <c r="M28" s="27"/>
    </row>
    <row r="29" spans="2:13" ht="13.5" customHeight="1">
      <c r="B29" s="41" t="s">
        <v>5</v>
      </c>
      <c r="C29" s="23">
        <f>11505224.87</f>
        <v>11505224.87</v>
      </c>
      <c r="D29" s="23">
        <f>8610659.89</f>
        <v>8610659.89</v>
      </c>
      <c r="E29" s="36" t="s">
        <v>57</v>
      </c>
      <c r="F29" s="23" t="s">
        <v>57</v>
      </c>
      <c r="G29" s="23" t="s">
        <v>57</v>
      </c>
      <c r="H29" s="23" t="s">
        <v>57</v>
      </c>
      <c r="I29" s="23" t="s">
        <v>57</v>
      </c>
      <c r="J29" s="23" t="s">
        <v>57</v>
      </c>
      <c r="K29" s="32">
        <f t="shared" si="0"/>
        <v>0.007104690108367875</v>
      </c>
      <c r="L29" s="32">
        <f t="shared" si="1"/>
        <v>74.84130025526395</v>
      </c>
      <c r="M29" s="27"/>
    </row>
    <row r="30" spans="2:13" ht="33.75">
      <c r="B30" s="30" t="s">
        <v>10</v>
      </c>
      <c r="C30" s="23">
        <f>554560752.91</f>
        <v>554560752.91</v>
      </c>
      <c r="D30" s="23">
        <f>524730094.12</f>
        <v>524730094.12</v>
      </c>
      <c r="E30" s="36" t="s">
        <v>57</v>
      </c>
      <c r="F30" s="23" t="s">
        <v>57</v>
      </c>
      <c r="G30" s="23" t="s">
        <v>57</v>
      </c>
      <c r="H30" s="23" t="s">
        <v>57</v>
      </c>
      <c r="I30" s="23" t="s">
        <v>57</v>
      </c>
      <c r="J30" s="23" t="s">
        <v>57</v>
      </c>
      <c r="K30" s="32">
        <f t="shared" si="0"/>
        <v>0.4329569111871295</v>
      </c>
      <c r="L30" s="32">
        <f t="shared" si="1"/>
        <v>94.62084926972082</v>
      </c>
      <c r="M30" s="27"/>
    </row>
    <row r="31" spans="2:13" ht="12.75">
      <c r="B31" s="41" t="s">
        <v>5</v>
      </c>
      <c r="C31" s="23">
        <f>268442075.03</f>
        <v>268442075.03</v>
      </c>
      <c r="D31" s="23">
        <f>237734259.63</f>
        <v>237734259.63</v>
      </c>
      <c r="E31" s="36" t="s">
        <v>57</v>
      </c>
      <c r="F31" s="23" t="s">
        <v>57</v>
      </c>
      <c r="G31" s="23" t="s">
        <v>57</v>
      </c>
      <c r="H31" s="23" t="s">
        <v>57</v>
      </c>
      <c r="I31" s="23" t="s">
        <v>57</v>
      </c>
      <c r="J31" s="23" t="s">
        <v>57</v>
      </c>
      <c r="K31" s="32">
        <f t="shared" si="0"/>
        <v>0.19615549381702746</v>
      </c>
      <c r="L31" s="32">
        <f t="shared" si="1"/>
        <v>88.56072938768328</v>
      </c>
      <c r="M31" s="27"/>
    </row>
    <row r="32" spans="2:13" ht="45">
      <c r="B32" s="30" t="s">
        <v>74</v>
      </c>
      <c r="C32" s="23">
        <f>337677699.49</f>
        <v>337677699.49</v>
      </c>
      <c r="D32" s="23">
        <f>317219509.27</f>
        <v>317219509.27</v>
      </c>
      <c r="E32" s="36" t="s">
        <v>57</v>
      </c>
      <c r="F32" s="23" t="s">
        <v>57</v>
      </c>
      <c r="G32" s="23" t="s">
        <v>57</v>
      </c>
      <c r="H32" s="23" t="s">
        <v>57</v>
      </c>
      <c r="I32" s="23" t="s">
        <v>57</v>
      </c>
      <c r="J32" s="23" t="s">
        <v>57</v>
      </c>
      <c r="K32" s="32">
        <f t="shared" si="0"/>
        <v>0.26173909299440234</v>
      </c>
      <c r="L32" s="32">
        <f t="shared" si="1"/>
        <v>93.94150391011952</v>
      </c>
      <c r="M32" s="27"/>
    </row>
    <row r="33" spans="2:13" ht="12.75">
      <c r="B33" s="41" t="s">
        <v>5</v>
      </c>
      <c r="C33" s="23">
        <f>289148525.44</f>
        <v>289148525.44</v>
      </c>
      <c r="D33" s="23">
        <f>269215110.06</f>
        <v>269215110.06</v>
      </c>
      <c r="E33" s="36" t="s">
        <v>57</v>
      </c>
      <c r="F33" s="23" t="s">
        <v>57</v>
      </c>
      <c r="G33" s="23" t="s">
        <v>57</v>
      </c>
      <c r="H33" s="23" t="s">
        <v>57</v>
      </c>
      <c r="I33" s="23" t="s">
        <v>57</v>
      </c>
      <c r="J33" s="23" t="s">
        <v>57</v>
      </c>
      <c r="K33" s="32">
        <f t="shared" si="0"/>
        <v>0.22213047012665726</v>
      </c>
      <c r="L33" s="32">
        <f t="shared" si="1"/>
        <v>93.10616737551501</v>
      </c>
      <c r="M33" s="27"/>
    </row>
    <row r="34" spans="2:13" ht="22.5">
      <c r="B34" s="30" t="s">
        <v>7</v>
      </c>
      <c r="C34" s="23">
        <f>377347758.53</f>
        <v>377347758.53</v>
      </c>
      <c r="D34" s="23">
        <f>363220147.89</f>
        <v>363220147.89</v>
      </c>
      <c r="E34" s="36" t="s">
        <v>57</v>
      </c>
      <c r="F34" s="23" t="s">
        <v>57</v>
      </c>
      <c r="G34" s="23" t="s">
        <v>57</v>
      </c>
      <c r="H34" s="23" t="s">
        <v>57</v>
      </c>
      <c r="I34" s="23" t="s">
        <v>57</v>
      </c>
      <c r="J34" s="23" t="s">
        <v>57</v>
      </c>
      <c r="K34" s="32">
        <f t="shared" si="0"/>
        <v>0.2996944049399679</v>
      </c>
      <c r="L34" s="32">
        <f t="shared" si="1"/>
        <v>96.25607670361269</v>
      </c>
      <c r="M34" s="27"/>
    </row>
    <row r="35" spans="2:13" ht="12.75">
      <c r="B35" s="29" t="s">
        <v>5</v>
      </c>
      <c r="C35" s="21">
        <f>315272183.35</f>
        <v>315272183.35</v>
      </c>
      <c r="D35" s="21">
        <f>304421722.84</f>
        <v>304421722.84</v>
      </c>
      <c r="E35" s="36" t="s">
        <v>57</v>
      </c>
      <c r="F35" s="23" t="s">
        <v>57</v>
      </c>
      <c r="G35" s="23" t="s">
        <v>57</v>
      </c>
      <c r="H35" s="23" t="s">
        <v>57</v>
      </c>
      <c r="I35" s="23" t="s">
        <v>57</v>
      </c>
      <c r="J35" s="23" t="s">
        <v>57</v>
      </c>
      <c r="K35" s="32">
        <f t="shared" si="0"/>
        <v>0.2511795879367446</v>
      </c>
      <c r="L35" s="32">
        <f t="shared" si="1"/>
        <v>96.55838317395911</v>
      </c>
      <c r="M35" s="27"/>
    </row>
    <row r="36" spans="2:13" ht="12.75">
      <c r="B36" s="50" t="s">
        <v>76</v>
      </c>
      <c r="C36" s="37">
        <f>1603815490.54</f>
        <v>1603815490.54</v>
      </c>
      <c r="D36" s="37">
        <f>1003519479.99</f>
        <v>1003519479.99</v>
      </c>
      <c r="E36" s="36" t="s">
        <v>57</v>
      </c>
      <c r="F36" s="36" t="s">
        <v>57</v>
      </c>
      <c r="G36" s="36" t="s">
        <v>57</v>
      </c>
      <c r="H36" s="36" t="s">
        <v>57</v>
      </c>
      <c r="I36" s="36" t="s">
        <v>57</v>
      </c>
      <c r="J36" s="36" t="s">
        <v>57</v>
      </c>
      <c r="K36" s="38">
        <f t="shared" si="0"/>
        <v>0.8280079592180277</v>
      </c>
      <c r="L36" s="38">
        <f t="shared" si="1"/>
        <v>62.57075616922231</v>
      </c>
      <c r="M36" s="27"/>
    </row>
    <row r="37" spans="2:13" ht="13.5" customHeight="1">
      <c r="B37" s="29" t="s">
        <v>77</v>
      </c>
      <c r="C37" s="21">
        <f>1421068364.28</f>
        <v>1421068364.28</v>
      </c>
      <c r="D37" s="21">
        <f>849534176.09</f>
        <v>849534176.09</v>
      </c>
      <c r="E37" s="36" t="s">
        <v>57</v>
      </c>
      <c r="F37" s="23" t="s">
        <v>57</v>
      </c>
      <c r="G37" s="23" t="s">
        <v>57</v>
      </c>
      <c r="H37" s="23" t="s">
        <v>57</v>
      </c>
      <c r="I37" s="23" t="s">
        <v>57</v>
      </c>
      <c r="J37" s="23" t="s">
        <v>57</v>
      </c>
      <c r="K37" s="32">
        <f t="shared" si="0"/>
        <v>0.7009540656223824</v>
      </c>
      <c r="L37" s="32">
        <f t="shared" si="1"/>
        <v>59.78137276459785</v>
      </c>
      <c r="M37" s="27"/>
    </row>
    <row r="38" spans="2:13" ht="13.5" customHeight="1">
      <c r="B38" s="50" t="s">
        <v>78</v>
      </c>
      <c r="C38" s="36">
        <f>6473803043.91</f>
        <v>6473803043.91</v>
      </c>
      <c r="D38" s="36">
        <f>4588480623.88</f>
        <v>4588480623.88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42">
        <f t="shared" si="0"/>
        <v>3.7859738181945417</v>
      </c>
      <c r="L38" s="42">
        <f t="shared" si="1"/>
        <v>70.8776679296175</v>
      </c>
      <c r="M38" s="27"/>
    </row>
    <row r="39" spans="2:13" ht="13.5" customHeight="1">
      <c r="B39" s="29" t="s">
        <v>79</v>
      </c>
      <c r="C39" s="21">
        <f>5714640501.25</f>
        <v>5714640501.25</v>
      </c>
      <c r="D39" s="21">
        <f>3954198115.94</f>
        <v>3954198115.94</v>
      </c>
      <c r="E39" s="36" t="s">
        <v>57</v>
      </c>
      <c r="F39" s="23" t="s">
        <v>57</v>
      </c>
      <c r="G39" s="23" t="s">
        <v>57</v>
      </c>
      <c r="H39" s="23" t="s">
        <v>57</v>
      </c>
      <c r="I39" s="23" t="s">
        <v>57</v>
      </c>
      <c r="J39" s="23" t="s">
        <v>57</v>
      </c>
      <c r="K39" s="32">
        <f t="shared" si="0"/>
        <v>3.262624769731302</v>
      </c>
      <c r="L39" s="32">
        <f t="shared" si="1"/>
        <v>69.19417092072673</v>
      </c>
      <c r="M39" s="27"/>
    </row>
    <row r="40" spans="2:13" s="5" customFormat="1" ht="25.5" customHeight="1">
      <c r="B40" s="50" t="s">
        <v>60</v>
      </c>
      <c r="C40" s="24">
        <f>C41+C42+C43+C44+C45</f>
        <v>28330887665.89</v>
      </c>
      <c r="D40" s="24">
        <f>D41+D42+D43+D44+D45</f>
        <v>28398550992.260002</v>
      </c>
      <c r="E40" s="36" t="s">
        <v>57</v>
      </c>
      <c r="F40" s="22" t="s">
        <v>57</v>
      </c>
      <c r="G40" s="22" t="s">
        <v>57</v>
      </c>
      <c r="H40" s="22" t="s">
        <v>57</v>
      </c>
      <c r="I40" s="22" t="s">
        <v>57</v>
      </c>
      <c r="J40" s="22" t="s">
        <v>57</v>
      </c>
      <c r="K40" s="31">
        <f t="shared" si="0"/>
        <v>23.431758646164614</v>
      </c>
      <c r="L40" s="31">
        <f t="shared" si="1"/>
        <v>100.23883235558294</v>
      </c>
      <c r="M40" s="28"/>
    </row>
    <row r="41" spans="2:13" ht="13.5" customHeight="1">
      <c r="B41" s="19" t="s">
        <v>44</v>
      </c>
      <c r="C41" s="21">
        <f>7306609041</f>
        <v>7306609041</v>
      </c>
      <c r="D41" s="21">
        <f>7302045397.26</f>
        <v>7302045397.26</v>
      </c>
      <c r="E41" s="36" t="s">
        <v>57</v>
      </c>
      <c r="F41" s="23" t="s">
        <v>57</v>
      </c>
      <c r="G41" s="23" t="s">
        <v>57</v>
      </c>
      <c r="H41" s="23" t="s">
        <v>57</v>
      </c>
      <c r="I41" s="23" t="s">
        <v>57</v>
      </c>
      <c r="J41" s="23" t="s">
        <v>57</v>
      </c>
      <c r="K41" s="32">
        <f t="shared" si="0"/>
        <v>6.024947027000307</v>
      </c>
      <c r="L41" s="32">
        <f t="shared" si="1"/>
        <v>99.93754087957366</v>
      </c>
      <c r="M41" s="27"/>
    </row>
    <row r="42" spans="2:13" ht="13.5" customHeight="1">
      <c r="B42" s="30" t="s">
        <v>43</v>
      </c>
      <c r="C42" s="23">
        <f>20620839749.89</f>
        <v>20620839749.89</v>
      </c>
      <c r="D42" s="23">
        <f>20664658019</f>
        <v>20664658019</v>
      </c>
      <c r="E42" s="36" t="s">
        <v>57</v>
      </c>
      <c r="F42" s="23" t="s">
        <v>57</v>
      </c>
      <c r="G42" s="23" t="s">
        <v>57</v>
      </c>
      <c r="H42" s="23" t="s">
        <v>57</v>
      </c>
      <c r="I42" s="23" t="s">
        <v>57</v>
      </c>
      <c r="J42" s="23" t="s">
        <v>57</v>
      </c>
      <c r="K42" s="32">
        <f t="shared" si="0"/>
        <v>17.050492447262855</v>
      </c>
      <c r="L42" s="32">
        <f t="shared" si="1"/>
        <v>100.21249507605641</v>
      </c>
      <c r="M42" s="27"/>
    </row>
    <row r="43" spans="2:13" ht="13.5" customHeight="1">
      <c r="B43" s="30" t="s">
        <v>42</v>
      </c>
      <c r="C43" s="23">
        <f>1801928</f>
        <v>1801928</v>
      </c>
      <c r="D43" s="23">
        <f>1801928</f>
        <v>1801928</v>
      </c>
      <c r="E43" s="36" t="s">
        <v>57</v>
      </c>
      <c r="F43" s="23" t="s">
        <v>57</v>
      </c>
      <c r="G43" s="23" t="s">
        <v>57</v>
      </c>
      <c r="H43" s="23" t="s">
        <v>57</v>
      </c>
      <c r="I43" s="23" t="s">
        <v>57</v>
      </c>
      <c r="J43" s="23" t="s">
        <v>57</v>
      </c>
      <c r="K43" s="32">
        <f t="shared" si="0"/>
        <v>0.0014867780403751505</v>
      </c>
      <c r="L43" s="32">
        <f t="shared" si="1"/>
        <v>100</v>
      </c>
      <c r="M43" s="27"/>
    </row>
    <row r="44" spans="2:13" ht="13.5" customHeight="1">
      <c r="B44" s="30" t="s">
        <v>41</v>
      </c>
      <c r="C44" s="23">
        <f>324665901</f>
        <v>324665901</v>
      </c>
      <c r="D44" s="23">
        <f>326667578</f>
        <v>326667578</v>
      </c>
      <c r="E44" s="36" t="s">
        <v>57</v>
      </c>
      <c r="F44" s="23" t="s">
        <v>57</v>
      </c>
      <c r="G44" s="23" t="s">
        <v>57</v>
      </c>
      <c r="H44" s="23" t="s">
        <v>57</v>
      </c>
      <c r="I44" s="23" t="s">
        <v>57</v>
      </c>
      <c r="J44" s="23" t="s">
        <v>57</v>
      </c>
      <c r="K44" s="32">
        <f t="shared" si="0"/>
        <v>0.2695347325048152</v>
      </c>
      <c r="L44" s="32">
        <f t="shared" si="1"/>
        <v>100.61653441086196</v>
      </c>
      <c r="M44" s="27"/>
    </row>
    <row r="45" spans="2:13" s="5" customFormat="1" ht="22.5" customHeight="1">
      <c r="B45" s="30" t="s">
        <v>39</v>
      </c>
      <c r="C45" s="23">
        <f>76971046</f>
        <v>76971046</v>
      </c>
      <c r="D45" s="23">
        <f>103378070</f>
        <v>103378070</v>
      </c>
      <c r="E45" s="36" t="s">
        <v>57</v>
      </c>
      <c r="F45" s="23" t="s">
        <v>57</v>
      </c>
      <c r="G45" s="23" t="s">
        <v>57</v>
      </c>
      <c r="H45" s="23" t="s">
        <v>57</v>
      </c>
      <c r="I45" s="23" t="s">
        <v>57</v>
      </c>
      <c r="J45" s="23" t="s">
        <v>57</v>
      </c>
      <c r="K45" s="32">
        <f t="shared" si="0"/>
        <v>0.08529766135626125</v>
      </c>
      <c r="L45" s="32">
        <f t="shared" si="1"/>
        <v>134.30773696384483</v>
      </c>
      <c r="M45" s="28"/>
    </row>
    <row r="46" spans="1:13" s="5" customFormat="1" ht="9" customHeight="1">
      <c r="A46" s="2"/>
      <c r="B46" s="20"/>
      <c r="C46" s="7"/>
      <c r="D46" s="8"/>
      <c r="E46" s="8"/>
      <c r="F46" s="15"/>
      <c r="G46" s="15"/>
      <c r="H46" s="15"/>
      <c r="I46" s="15"/>
      <c r="J46" s="15"/>
      <c r="K46" s="9"/>
      <c r="L46" s="9"/>
      <c r="M46" s="3"/>
    </row>
    <row r="47" spans="1:13" s="5" customFormat="1" ht="13.5" customHeight="1">
      <c r="A47" s="2"/>
      <c r="B47" s="50" t="s">
        <v>4</v>
      </c>
      <c r="C47" s="36">
        <f aca="true" t="shared" si="3" ref="C47:J47">+C6</f>
        <v>124021114103.02</v>
      </c>
      <c r="D47" s="36">
        <f t="shared" si="3"/>
        <v>121196839815.13</v>
      </c>
      <c r="E47" s="36" t="str">
        <f t="shared" si="3"/>
        <v>#</v>
      </c>
      <c r="F47" s="36" t="str">
        <f t="shared" si="3"/>
        <v>#</v>
      </c>
      <c r="G47" s="36" t="str">
        <f t="shared" si="3"/>
        <v>#</v>
      </c>
      <c r="H47" s="36" t="str">
        <f t="shared" si="3"/>
        <v>#</v>
      </c>
      <c r="I47" s="36" t="str">
        <f t="shared" si="3"/>
        <v>#</v>
      </c>
      <c r="J47" s="36" t="str">
        <f t="shared" si="3"/>
        <v>#</v>
      </c>
      <c r="K47" s="43">
        <f t="shared" si="0"/>
        <v>100</v>
      </c>
      <c r="L47" s="43">
        <f>IF(C47=0,"",100*D47/C47)</f>
        <v>97.7227472045252</v>
      </c>
      <c r="M47" s="43"/>
    </row>
    <row r="48" spans="1:13" s="5" customFormat="1" ht="13.5" customHeight="1">
      <c r="A48" s="2"/>
      <c r="B48" s="51" t="s">
        <v>66</v>
      </c>
      <c r="C48" s="23">
        <f>12806256267.57</f>
        <v>12806256267.57</v>
      </c>
      <c r="D48" s="23">
        <f>9698033495.12</f>
        <v>9698033495.12</v>
      </c>
      <c r="E48" s="36" t="s">
        <v>57</v>
      </c>
      <c r="F48" s="36" t="s">
        <v>57</v>
      </c>
      <c r="G48" s="36" t="s">
        <v>57</v>
      </c>
      <c r="H48" s="36" t="s">
        <v>57</v>
      </c>
      <c r="I48" s="36" t="s">
        <v>57</v>
      </c>
      <c r="J48" s="36" t="s">
        <v>57</v>
      </c>
      <c r="K48" s="35">
        <f t="shared" si="0"/>
        <v>8.00188644350223</v>
      </c>
      <c r="L48" s="35">
        <f>IF(C48=0,"",100*D48/C48)</f>
        <v>75.72887261110708</v>
      </c>
      <c r="M48" s="35"/>
    </row>
    <row r="49" spans="1:13" s="5" customFormat="1" ht="13.5" customHeight="1">
      <c r="A49" s="2"/>
      <c r="B49" s="51" t="s">
        <v>67</v>
      </c>
      <c r="C49" s="23">
        <f>C47-C48</f>
        <v>111214857835.45001</v>
      </c>
      <c r="D49" s="23">
        <f>D47-D48</f>
        <v>111498806320.01001</v>
      </c>
      <c r="E49" s="36" t="s">
        <v>57</v>
      </c>
      <c r="F49" s="36" t="s">
        <v>57</v>
      </c>
      <c r="G49" s="36" t="s">
        <v>57</v>
      </c>
      <c r="H49" s="36" t="s">
        <v>57</v>
      </c>
      <c r="I49" s="36" t="s">
        <v>57</v>
      </c>
      <c r="J49" s="36" t="s">
        <v>57</v>
      </c>
      <c r="K49" s="35">
        <f t="shared" si="0"/>
        <v>91.99811355649777</v>
      </c>
      <c r="L49" s="35">
        <f>IF(C49=0,"",100*D49/C49)</f>
        <v>100.25531524302275</v>
      </c>
      <c r="M49" s="35"/>
    </row>
    <row r="50" spans="2:13" ht="15">
      <c r="B50" s="61" t="s">
        <v>80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62" t="s">
        <v>0</v>
      </c>
      <c r="C52" s="58" t="s">
        <v>53</v>
      </c>
      <c r="D52" s="58" t="s">
        <v>54</v>
      </c>
      <c r="E52" s="58" t="s">
        <v>55</v>
      </c>
      <c r="F52" s="58" t="s">
        <v>11</v>
      </c>
      <c r="G52" s="58"/>
      <c r="H52" s="58"/>
      <c r="I52" s="58" t="s">
        <v>75</v>
      </c>
      <c r="J52" s="58"/>
      <c r="K52" s="58" t="s">
        <v>1</v>
      </c>
      <c r="L52" s="65" t="s">
        <v>30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62"/>
      <c r="C53" s="58"/>
      <c r="D53" s="63"/>
      <c r="E53" s="58"/>
      <c r="F53" s="56" t="s">
        <v>56</v>
      </c>
      <c r="G53" s="64" t="s">
        <v>28</v>
      </c>
      <c r="H53" s="63"/>
      <c r="I53" s="58"/>
      <c r="J53" s="58"/>
      <c r="K53" s="58"/>
      <c r="L53" s="65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62"/>
      <c r="C54" s="58"/>
      <c r="D54" s="63"/>
      <c r="E54" s="58"/>
      <c r="F54" s="63"/>
      <c r="G54" s="17" t="s">
        <v>51</v>
      </c>
      <c r="H54" s="17" t="s">
        <v>52</v>
      </c>
      <c r="I54" s="58"/>
      <c r="J54" s="58"/>
      <c r="K54" s="58"/>
      <c r="L54" s="65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62"/>
      <c r="C55" s="57" t="s">
        <v>73</v>
      </c>
      <c r="D55" s="57"/>
      <c r="E55" s="57"/>
      <c r="F55" s="57"/>
      <c r="G55" s="57"/>
      <c r="H55" s="57"/>
      <c r="I55" s="57"/>
      <c r="J55" s="57"/>
      <c r="K55" s="57" t="s">
        <v>3</v>
      </c>
      <c r="L55" s="5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6">
        <v>1</v>
      </c>
      <c r="C56" s="18">
        <v>2</v>
      </c>
      <c r="D56" s="18">
        <v>3</v>
      </c>
      <c r="E56" s="18">
        <v>4</v>
      </c>
      <c r="F56" s="16">
        <v>5</v>
      </c>
      <c r="G56" s="16">
        <v>6</v>
      </c>
      <c r="H56" s="18">
        <v>7</v>
      </c>
      <c r="I56" s="63">
        <v>8</v>
      </c>
      <c r="J56" s="63"/>
      <c r="K56" s="16">
        <v>9</v>
      </c>
      <c r="L56" s="18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50" t="s">
        <v>61</v>
      </c>
      <c r="C57" s="44">
        <f>136587831733.77</f>
        <v>136587831733.77</v>
      </c>
      <c r="D57" s="36" t="s">
        <v>57</v>
      </c>
      <c r="E57" s="44">
        <f>126813594176.05</f>
        <v>126813594176.05</v>
      </c>
      <c r="F57" s="36" t="s">
        <v>57</v>
      </c>
      <c r="G57" s="36" t="s">
        <v>57</v>
      </c>
      <c r="H57" s="36" t="s">
        <v>57</v>
      </c>
      <c r="I57" s="59" t="s">
        <v>57</v>
      </c>
      <c r="J57" s="59"/>
      <c r="K57" s="39">
        <f aca="true" t="shared" si="4" ref="K57:K68">IF($E$57=0,"",100*$E57/$E$57)</f>
        <v>100</v>
      </c>
      <c r="L57" s="39">
        <f aca="true" t="shared" si="5" ref="L57:L68">IF(C57=0,"",100*E57/C57)</f>
        <v>92.84399098100376</v>
      </c>
    </row>
    <row r="58" spans="2:12" ht="24" customHeight="1">
      <c r="B58" s="50" t="s">
        <v>13</v>
      </c>
      <c r="C58" s="25">
        <f>30819503054.98</f>
        <v>30819503054.98</v>
      </c>
      <c r="D58" s="36" t="s">
        <v>57</v>
      </c>
      <c r="E58" s="25">
        <f>25972490674.7</f>
        <v>25972490674.7</v>
      </c>
      <c r="F58" s="36" t="s">
        <v>57</v>
      </c>
      <c r="G58" s="36" t="s">
        <v>57</v>
      </c>
      <c r="H58" s="36" t="s">
        <v>57</v>
      </c>
      <c r="I58" s="59" t="s">
        <v>57</v>
      </c>
      <c r="J58" s="59"/>
      <c r="K58" s="33">
        <f t="shared" si="4"/>
        <v>20.480841067120515</v>
      </c>
      <c r="L58" s="33">
        <f t="shared" si="5"/>
        <v>84.27290546627815</v>
      </c>
    </row>
    <row r="59" spans="2:12" ht="22.5" customHeight="1">
      <c r="B59" s="19" t="s">
        <v>12</v>
      </c>
      <c r="C59" s="21">
        <f>30368676027.59</f>
        <v>30368676027.59</v>
      </c>
      <c r="D59" s="36" t="s">
        <v>57</v>
      </c>
      <c r="E59" s="21">
        <f>25548563645.51</f>
        <v>25548563645.51</v>
      </c>
      <c r="F59" s="36" t="s">
        <v>57</v>
      </c>
      <c r="G59" s="36" t="s">
        <v>57</v>
      </c>
      <c r="H59" s="36" t="s">
        <v>57</v>
      </c>
      <c r="I59" s="59" t="s">
        <v>57</v>
      </c>
      <c r="J59" s="59"/>
      <c r="K59" s="34">
        <f t="shared" si="4"/>
        <v>20.146549596285393</v>
      </c>
      <c r="L59" s="34">
        <f t="shared" si="5"/>
        <v>84.12801276650679</v>
      </c>
    </row>
    <row r="60" spans="2:12" ht="25.5" customHeight="1">
      <c r="B60" s="50" t="s">
        <v>62</v>
      </c>
      <c r="C60" s="25">
        <f>C57-C58</f>
        <v>105768328678.79001</v>
      </c>
      <c r="D60" s="36" t="s">
        <v>57</v>
      </c>
      <c r="E60" s="25">
        <f>E57-E58</f>
        <v>100841103501.35</v>
      </c>
      <c r="F60" s="36" t="s">
        <v>57</v>
      </c>
      <c r="G60" s="36" t="s">
        <v>57</v>
      </c>
      <c r="H60" s="36" t="s">
        <v>57</v>
      </c>
      <c r="I60" s="59" t="s">
        <v>57</v>
      </c>
      <c r="J60" s="59"/>
      <c r="K60" s="33">
        <f t="shared" si="4"/>
        <v>79.51915893287948</v>
      </c>
      <c r="L60" s="33">
        <f t="shared" si="5"/>
        <v>95.34149282777872</v>
      </c>
    </row>
    <row r="61" spans="2:12" ht="13.5" customHeight="1">
      <c r="B61" s="19" t="s">
        <v>50</v>
      </c>
      <c r="C61" s="21">
        <f>33220073089.91</f>
        <v>33220073089.91</v>
      </c>
      <c r="D61" s="36" t="s">
        <v>57</v>
      </c>
      <c r="E61" s="21">
        <f>32329537757.75</f>
        <v>32329537757.75</v>
      </c>
      <c r="F61" s="36" t="s">
        <v>57</v>
      </c>
      <c r="G61" s="36" t="s">
        <v>57</v>
      </c>
      <c r="H61" s="36" t="s">
        <v>57</v>
      </c>
      <c r="I61" s="59" t="s">
        <v>57</v>
      </c>
      <c r="J61" s="59"/>
      <c r="K61" s="34">
        <f t="shared" si="4"/>
        <v>25.49374770725941</v>
      </c>
      <c r="L61" s="34">
        <f t="shared" si="5"/>
        <v>97.31928545205253</v>
      </c>
    </row>
    <row r="62" spans="2:12" ht="22.5" customHeight="1">
      <c r="B62" s="41" t="s">
        <v>45</v>
      </c>
      <c r="C62" s="45">
        <f>30124933279.81</f>
        <v>30124933279.81</v>
      </c>
      <c r="D62" s="36" t="s">
        <v>57</v>
      </c>
      <c r="E62" s="45">
        <f>29387511170.22</f>
        <v>29387511170.22</v>
      </c>
      <c r="F62" s="36" t="s">
        <v>57</v>
      </c>
      <c r="G62" s="36" t="s">
        <v>57</v>
      </c>
      <c r="H62" s="36" t="s">
        <v>57</v>
      </c>
      <c r="I62" s="59" t="s">
        <v>57</v>
      </c>
      <c r="J62" s="59"/>
      <c r="K62" s="46">
        <f t="shared" si="4"/>
        <v>23.173786186851977</v>
      </c>
      <c r="L62" s="46">
        <f t="shared" si="5"/>
        <v>97.5521203557844</v>
      </c>
    </row>
    <row r="63" spans="2:12" ht="13.5" customHeight="1">
      <c r="B63" s="30" t="s">
        <v>49</v>
      </c>
      <c r="C63" s="23">
        <f>6509018980.73</f>
        <v>6509018980.73</v>
      </c>
      <c r="D63" s="36" t="s">
        <v>57</v>
      </c>
      <c r="E63" s="23">
        <f>6197941902.89</f>
        <v>6197941902.89</v>
      </c>
      <c r="F63" s="36" t="s">
        <v>57</v>
      </c>
      <c r="G63" s="36" t="s">
        <v>57</v>
      </c>
      <c r="H63" s="36" t="s">
        <v>57</v>
      </c>
      <c r="I63" s="59" t="s">
        <v>57</v>
      </c>
      <c r="J63" s="59"/>
      <c r="K63" s="46">
        <f t="shared" si="4"/>
        <v>4.887442819644128</v>
      </c>
      <c r="L63" s="46">
        <f t="shared" si="5"/>
        <v>95.22083007038471</v>
      </c>
    </row>
    <row r="64" spans="2:12" ht="13.5" customHeight="1">
      <c r="B64" s="30" t="s">
        <v>48</v>
      </c>
      <c r="C64" s="45">
        <f>7347442695.82</f>
        <v>7347442695.82</v>
      </c>
      <c r="D64" s="36" t="s">
        <v>57</v>
      </c>
      <c r="E64" s="45">
        <f>7172989249.96</f>
        <v>7172989249.96</v>
      </c>
      <c r="F64" s="36" t="s">
        <v>57</v>
      </c>
      <c r="G64" s="36" t="s">
        <v>57</v>
      </c>
      <c r="H64" s="36" t="s">
        <v>57</v>
      </c>
      <c r="I64" s="59" t="s">
        <v>57</v>
      </c>
      <c r="J64" s="59"/>
      <c r="K64" s="46">
        <f t="shared" si="4"/>
        <v>5.656325172837574</v>
      </c>
      <c r="L64" s="46">
        <f t="shared" si="5"/>
        <v>97.62565761881686</v>
      </c>
    </row>
    <row r="65" spans="2:12" ht="13.5" customHeight="1">
      <c r="B65" s="30" t="s">
        <v>47</v>
      </c>
      <c r="C65" s="23">
        <f>808931282.12</f>
        <v>808931282.12</v>
      </c>
      <c r="D65" s="36" t="s">
        <v>57</v>
      </c>
      <c r="E65" s="23">
        <f>701729842.37</f>
        <v>701729842.37</v>
      </c>
      <c r="F65" s="36" t="s">
        <v>57</v>
      </c>
      <c r="G65" s="36" t="s">
        <v>57</v>
      </c>
      <c r="H65" s="36" t="s">
        <v>57</v>
      </c>
      <c r="I65" s="59" t="s">
        <v>57</v>
      </c>
      <c r="J65" s="59"/>
      <c r="K65" s="46">
        <f t="shared" si="4"/>
        <v>0.5533553771812648</v>
      </c>
      <c r="L65" s="46">
        <f t="shared" si="5"/>
        <v>86.74776929518009</v>
      </c>
    </row>
    <row r="66" spans="2:12" ht="22.5" customHeight="1">
      <c r="B66" s="30" t="s">
        <v>63</v>
      </c>
      <c r="C66" s="45">
        <f>52600622.14</f>
        <v>52600622.14</v>
      </c>
      <c r="D66" s="36" t="s">
        <v>57</v>
      </c>
      <c r="E66" s="45">
        <f>5987927.61</f>
        <v>5987927.61</v>
      </c>
      <c r="F66" s="36" t="s">
        <v>57</v>
      </c>
      <c r="G66" s="36" t="s">
        <v>57</v>
      </c>
      <c r="H66" s="36" t="s">
        <v>57</v>
      </c>
      <c r="I66" s="59" t="s">
        <v>57</v>
      </c>
      <c r="J66" s="59"/>
      <c r="K66" s="46">
        <f t="shared" si="4"/>
        <v>0.004721834160529518</v>
      </c>
      <c r="L66" s="46">
        <f t="shared" si="5"/>
        <v>11.383758150355595</v>
      </c>
    </row>
    <row r="67" spans="2:12" ht="22.5" customHeight="1">
      <c r="B67" s="30" t="s">
        <v>65</v>
      </c>
      <c r="C67" s="45">
        <f>30652659583.13</f>
        <v>30652659583.13</v>
      </c>
      <c r="D67" s="36" t="s">
        <v>57</v>
      </c>
      <c r="E67" s="45">
        <f>30037823374.64</f>
        <v>30037823374.64</v>
      </c>
      <c r="F67" s="36" t="s">
        <v>57</v>
      </c>
      <c r="G67" s="36" t="s">
        <v>57</v>
      </c>
      <c r="H67" s="36" t="s">
        <v>57</v>
      </c>
      <c r="I67" s="59" t="s">
        <v>57</v>
      </c>
      <c r="J67" s="59"/>
      <c r="K67" s="46">
        <f t="shared" si="4"/>
        <v>23.68659572327849</v>
      </c>
      <c r="L67" s="46">
        <f t="shared" si="5"/>
        <v>97.99418315783475</v>
      </c>
    </row>
    <row r="68" spans="2:12" ht="13.5" customHeight="1">
      <c r="B68" s="30" t="s">
        <v>46</v>
      </c>
      <c r="C68" s="23">
        <f>C60-C61-C63-C64-C65-C66-C67</f>
        <v>27177602424.940006</v>
      </c>
      <c r="D68" s="36" t="s">
        <v>57</v>
      </c>
      <c r="E68" s="23">
        <f>E60-E61-E63-E64-E65-E66-E67</f>
        <v>24395093446.130005</v>
      </c>
      <c r="F68" s="36" t="s">
        <v>57</v>
      </c>
      <c r="G68" s="36" t="s">
        <v>57</v>
      </c>
      <c r="H68" s="36" t="s">
        <v>57</v>
      </c>
      <c r="I68" s="59" t="s">
        <v>57</v>
      </c>
      <c r="J68" s="59"/>
      <c r="K68" s="46">
        <f t="shared" si="4"/>
        <v>19.236970298518088</v>
      </c>
      <c r="L68" s="46">
        <f t="shared" si="5"/>
        <v>89.76175699642812</v>
      </c>
    </row>
    <row r="69" spans="2:13" ht="18" customHeight="1">
      <c r="B69" s="50" t="s">
        <v>14</v>
      </c>
      <c r="C69" s="25">
        <f>C6-C57</f>
        <v>-12566717630.75</v>
      </c>
      <c r="D69" s="25"/>
      <c r="E69" s="25">
        <f>D6-E57</f>
        <v>-5616754360.919998</v>
      </c>
      <c r="F69" s="25"/>
      <c r="G69" s="25"/>
      <c r="H69" s="25"/>
      <c r="I69" s="60"/>
      <c r="J69" s="60"/>
      <c r="K69" s="26"/>
      <c r="L69" s="26"/>
      <c r="M69" s="13"/>
    </row>
    <row r="70" spans="2:13" ht="33" customHeight="1">
      <c r="B70" s="52" t="s">
        <v>68</v>
      </c>
      <c r="C70" s="25">
        <f>+C49-C60</f>
        <v>5446529156.660004</v>
      </c>
      <c r="D70" s="25"/>
      <c r="E70" s="25">
        <f>+D49-E60</f>
        <v>10657702818.660004</v>
      </c>
      <c r="F70" s="25"/>
      <c r="G70" s="25"/>
      <c r="H70" s="25"/>
      <c r="I70" s="25"/>
      <c r="J70" s="25"/>
      <c r="K70" s="26"/>
      <c r="L70" s="26"/>
      <c r="M70" s="13"/>
    </row>
    <row r="71" spans="2:13" ht="8.25" customHeight="1" thickBot="1">
      <c r="B71" s="47"/>
      <c r="C71" s="48"/>
      <c r="D71" s="48"/>
      <c r="E71" s="48"/>
      <c r="F71" s="48"/>
      <c r="G71" s="48"/>
      <c r="H71" s="48"/>
      <c r="I71" s="48"/>
      <c r="J71" s="48"/>
      <c r="K71" s="26"/>
      <c r="L71" s="26"/>
      <c r="M71" s="13"/>
    </row>
    <row r="72" spans="2:13" ht="14.25" customHeight="1">
      <c r="B72" s="53" t="s">
        <v>69</v>
      </c>
      <c r="C72" s="48"/>
      <c r="D72" s="48"/>
      <c r="E72" s="48"/>
      <c r="F72" s="48"/>
      <c r="G72" s="48"/>
      <c r="H72" s="48"/>
      <c r="I72" s="48"/>
      <c r="J72" s="48"/>
      <c r="K72" s="26"/>
      <c r="L72" s="26"/>
      <c r="M72" s="13"/>
    </row>
    <row r="73" spans="2:13" ht="24" customHeight="1">
      <c r="B73" s="50" t="s">
        <v>70</v>
      </c>
      <c r="C73" s="36">
        <f>13680751241.42</f>
        <v>13680751241.42</v>
      </c>
      <c r="D73" s="36" t="s">
        <v>57</v>
      </c>
      <c r="E73" s="36">
        <f>10906851116.71</f>
        <v>10906851116.71</v>
      </c>
      <c r="F73" s="36" t="s">
        <v>57</v>
      </c>
      <c r="G73" s="36" t="s">
        <v>57</v>
      </c>
      <c r="H73" s="36" t="s">
        <v>57</v>
      </c>
      <c r="I73" s="36" t="s">
        <v>57</v>
      </c>
      <c r="J73" s="36" t="s">
        <v>57</v>
      </c>
      <c r="K73" s="49">
        <f>IF($E$57=0,"",100*$E73/$E$73)</f>
        <v>100</v>
      </c>
      <c r="L73" s="49">
        <f>IF(C73=0,"",100*E73/C73)</f>
        <v>79.72406576393473</v>
      </c>
      <c r="M73" s="13"/>
    </row>
    <row r="74" spans="2:13" ht="15" customHeight="1">
      <c r="B74" s="54" t="s">
        <v>71</v>
      </c>
      <c r="C74" s="21">
        <f>12567983532.21</f>
        <v>12567983532.21</v>
      </c>
      <c r="D74" s="36" t="s">
        <v>57</v>
      </c>
      <c r="E74" s="21">
        <f>10100172524.85</f>
        <v>10100172524.85</v>
      </c>
      <c r="F74" s="36" t="s">
        <v>57</v>
      </c>
      <c r="G74" s="36" t="s">
        <v>57</v>
      </c>
      <c r="H74" s="36" t="s">
        <v>57</v>
      </c>
      <c r="I74" s="36" t="s">
        <v>57</v>
      </c>
      <c r="J74" s="36" t="s">
        <v>57</v>
      </c>
      <c r="K74" s="34">
        <f>IF($E$57=0,"",100*$E74/$E$73)</f>
        <v>92.6039277218691</v>
      </c>
      <c r="L74" s="34">
        <f>IF(C74=0,"",100*E74/C74)</f>
        <v>80.36430425743842</v>
      </c>
      <c r="M74" s="13"/>
    </row>
    <row r="75" spans="2:13" ht="14.25" customHeight="1">
      <c r="B75" s="55" t="s">
        <v>72</v>
      </c>
      <c r="C75" s="21">
        <f>+C73-C74</f>
        <v>1112767709.210001</v>
      </c>
      <c r="D75" s="36" t="s">
        <v>57</v>
      </c>
      <c r="E75" s="21">
        <f>+E73-E74</f>
        <v>806678591.8599987</v>
      </c>
      <c r="F75" s="36" t="s">
        <v>57</v>
      </c>
      <c r="G75" s="36" t="s">
        <v>57</v>
      </c>
      <c r="H75" s="36" t="s">
        <v>57</v>
      </c>
      <c r="I75" s="36" t="s">
        <v>57</v>
      </c>
      <c r="J75" s="36" t="s">
        <v>57</v>
      </c>
      <c r="K75" s="34">
        <f>IF($E$57=0,"",100*$E75/$E$73)</f>
        <v>7.396072278130901</v>
      </c>
      <c r="L75" s="34">
        <f>IF(C75=0,"",100*E75/C75)</f>
        <v>72.49299069189316</v>
      </c>
      <c r="M75" s="10"/>
    </row>
  </sheetData>
  <sheetProtection/>
  <mergeCells count="31">
    <mergeCell ref="I62:J62"/>
    <mergeCell ref="I61:J61"/>
    <mergeCell ref="I63:J63"/>
    <mergeCell ref="I64:J64"/>
    <mergeCell ref="I56:J56"/>
    <mergeCell ref="I67:J67"/>
    <mergeCell ref="B50:M50"/>
    <mergeCell ref="I65:J65"/>
    <mergeCell ref="I66:J66"/>
    <mergeCell ref="I57:J57"/>
    <mergeCell ref="I58:J58"/>
    <mergeCell ref="I59:J59"/>
    <mergeCell ref="I60:J60"/>
    <mergeCell ref="B1:M1"/>
    <mergeCell ref="I52:J54"/>
    <mergeCell ref="D52:D54"/>
    <mergeCell ref="E52:E54"/>
    <mergeCell ref="F53:F54"/>
    <mergeCell ref="F52:H52"/>
    <mergeCell ref="G53:H53"/>
    <mergeCell ref="L52:L54"/>
    <mergeCell ref="B3:B4"/>
    <mergeCell ref="K4:M4"/>
    <mergeCell ref="C4:J4"/>
    <mergeCell ref="C55:J55"/>
    <mergeCell ref="C52:C54"/>
    <mergeCell ref="I68:J68"/>
    <mergeCell ref="I69:J69"/>
    <mergeCell ref="B52:B55"/>
    <mergeCell ref="K52:K54"/>
    <mergeCell ref="K55:L55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2" manualBreakCount="2">
    <brk id="21" max="255" man="1"/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2019-03-21T13:25:16Z</dcterms:modified>
  <cp:category/>
  <cp:version/>
  <cp:contentType/>
  <cp:contentStatus/>
</cp:coreProperties>
</file>