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D96E0983-7369-4778-A402-96CE290306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66" i="7" l="1"/>
  <c r="A29" i="7"/>
  <c r="A1" i="7"/>
  <c r="A85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<sst xmlns="http://schemas.openxmlformats.org/spreadsheetml/2006/main" count="97" uniqueCount="81">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</sst>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województw za  ",$C$93," ",$B$94," roku    ",$B$96,"")</f>
        <v xml:space="preserve">Informacja z wykonania budżetów województw za  IV Kwartały 2025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">
      <c r="A13" s="19" t="s">
        <v>79</v>
      </c>
      <c r="B13" s="20">
        <f>4424627910.5</f>
        <v>4424627910.5</v>
      </c>
      <c r="C13" s="20">
        <f>3059764858.66</f>
        <v>3059764858.6599998</v>
      </c>
      <c r="D13" s="20">
        <f>146013454.43</f>
        <v>146013454.43000001</v>
      </c>
      <c r="E13" s="20">
        <f>146003530.43</f>
        <v>146003530.43000001</v>
      </c>
      <c r="F13" s="20">
        <f>0</f>
        <v>0</v>
      </c>
      <c r="G13" s="20">
        <f>9924</f>
        <v>9924</v>
      </c>
      <c r="H13" s="20">
        <f>0</f>
        <v>0</v>
      </c>
      <c r="I13" s="20">
        <f>0</f>
        <v>0</v>
      </c>
      <c r="J13" s="20">
        <f>2795769592.58</f>
        <v>2795769592.5799999</v>
      </c>
      <c r="K13" s="20">
        <f>50.4</f>
        <v>50.4</v>
      </c>
      <c r="L13" s="20">
        <f>117703217.5</f>
        <v>117703217.5</v>
      </c>
      <c r="M13" s="20">
        <f>278243.75</f>
        <v>278243.75</v>
      </c>
      <c r="N13" s="20">
        <f>300</f>
        <v>300</v>
      </c>
      <c r="O13" s="20">
        <f>1364863051.84</f>
        <v>1364863051.8399999</v>
      </c>
      <c r="P13" s="20">
        <f>1364863051.84</f>
        <v>1364863051.8399999</v>
      </c>
      <c r="Q13" s="20">
        <f>0</f>
        <v>0</v>
      </c>
    </row>
    <row r="14" spans="1:17" ht="28.5" customHeight="1" x14ac:dyDescent="0.2">
      <c r="A14" s="19" t="s">
        <v>45</v>
      </c>
      <c r="B14" s="20">
        <f>660000000</f>
        <v>660000000</v>
      </c>
      <c r="C14" s="20">
        <f>660000000</f>
        <v>660000000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660000000</f>
        <v>660000000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660000000</f>
        <v>660000000</v>
      </c>
      <c r="C16" s="21">
        <f>660000000</f>
        <v>660000000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660000000</f>
        <v>660000000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3761957796.92</f>
        <v>3761957796.9200001</v>
      </c>
      <c r="C17" s="20">
        <f>2397094745.08</f>
        <v>2397094745.0799999</v>
      </c>
      <c r="D17" s="20">
        <f>146000000</f>
        <v>146000000</v>
      </c>
      <c r="E17" s="20">
        <f>146000000</f>
        <v>146000000</v>
      </c>
      <c r="F17" s="20">
        <f>0</f>
        <v>0</v>
      </c>
      <c r="G17" s="20">
        <f>0</f>
        <v>0</v>
      </c>
      <c r="H17" s="20">
        <f>0</f>
        <v>0</v>
      </c>
      <c r="I17" s="20">
        <f>0</f>
        <v>0</v>
      </c>
      <c r="J17" s="20">
        <f>2135769592.58</f>
        <v>2135769592.5799999</v>
      </c>
      <c r="K17" s="20">
        <f>0</f>
        <v>0</v>
      </c>
      <c r="L17" s="20">
        <f>115325152.5</f>
        <v>115325152.5</v>
      </c>
      <c r="M17" s="20">
        <f>0</f>
        <v>0</v>
      </c>
      <c r="N17" s="20">
        <f>0</f>
        <v>0</v>
      </c>
      <c r="O17" s="20">
        <f>1364863051.84</f>
        <v>1364863051.8399999</v>
      </c>
      <c r="P17" s="20">
        <f>1364863051.84</f>
        <v>1364863051.8399999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3761957796.92</f>
        <v>3761957796.9200001</v>
      </c>
      <c r="C19" s="21">
        <f>2397094745.08</f>
        <v>2397094745.0799999</v>
      </c>
      <c r="D19" s="21">
        <f>146000000</f>
        <v>146000000</v>
      </c>
      <c r="E19" s="21">
        <f>146000000</f>
        <v>146000000</v>
      </c>
      <c r="F19" s="21">
        <f>0</f>
        <v>0</v>
      </c>
      <c r="G19" s="21">
        <f>0</f>
        <v>0</v>
      </c>
      <c r="H19" s="21">
        <f>0</f>
        <v>0</v>
      </c>
      <c r="I19" s="21">
        <f>0</f>
        <v>0</v>
      </c>
      <c r="J19" s="21">
        <f>2135769592.58</f>
        <v>2135769592.5799999</v>
      </c>
      <c r="K19" s="21">
        <f>0</f>
        <v>0</v>
      </c>
      <c r="L19" s="21">
        <f>115325152.5</f>
        <v>115325152.5</v>
      </c>
      <c r="M19" s="21">
        <f>0</f>
        <v>0</v>
      </c>
      <c r="N19" s="21">
        <f>0</f>
        <v>0</v>
      </c>
      <c r="O19" s="21">
        <f>1364863051.84</f>
        <v>1364863051.8399999</v>
      </c>
      <c r="P19" s="21">
        <f>1364863051.84</f>
        <v>1364863051.8399999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2670113.58</f>
        <v>2670113.58</v>
      </c>
      <c r="C21" s="20">
        <f>2670113.58</f>
        <v>2670113.58</v>
      </c>
      <c r="D21" s="20">
        <f>13454.43</f>
        <v>13454.43</v>
      </c>
      <c r="E21" s="20">
        <f>3530.43</f>
        <v>3530.43</v>
      </c>
      <c r="F21" s="20">
        <f>0</f>
        <v>0</v>
      </c>
      <c r="G21" s="20">
        <f>9924</f>
        <v>9924</v>
      </c>
      <c r="H21" s="20">
        <f>0</f>
        <v>0</v>
      </c>
      <c r="I21" s="20">
        <f>0</f>
        <v>0</v>
      </c>
      <c r="J21" s="20">
        <f>0</f>
        <v>0</v>
      </c>
      <c r="K21" s="20">
        <f>50.4</f>
        <v>50.4</v>
      </c>
      <c r="L21" s="20">
        <f>2378065</f>
        <v>2378065</v>
      </c>
      <c r="M21" s="20">
        <f>278243.75</f>
        <v>278243.75</v>
      </c>
      <c r="N21" s="20">
        <f>300</f>
        <v>300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2447987.86</f>
        <v>2447987.86</v>
      </c>
      <c r="C22" s="21">
        <f>2447987.86</f>
        <v>2447987.86</v>
      </c>
      <c r="D22" s="21">
        <f>9264</f>
        <v>9264</v>
      </c>
      <c r="E22" s="21">
        <f>0</f>
        <v>0</v>
      </c>
      <c r="F22" s="21">
        <f>0</f>
        <v>0</v>
      </c>
      <c r="G22" s="21">
        <f>9264</f>
        <v>9264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2378065</f>
        <v>2378065</v>
      </c>
      <c r="M22" s="21">
        <f>60358.86</f>
        <v>60358.86</v>
      </c>
      <c r="N22" s="21">
        <f>300</f>
        <v>300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222125.72</f>
        <v>222125.72</v>
      </c>
      <c r="C23" s="21">
        <f>222125.72</f>
        <v>222125.72</v>
      </c>
      <c r="D23" s="21">
        <f>4190.43</f>
        <v>4190.43</v>
      </c>
      <c r="E23" s="21">
        <f>3530.43</f>
        <v>3530.43</v>
      </c>
      <c r="F23" s="21">
        <f>0</f>
        <v>0</v>
      </c>
      <c r="G23" s="21">
        <f>660</f>
        <v>660</v>
      </c>
      <c r="H23" s="21">
        <f>0</f>
        <v>0</v>
      </c>
      <c r="I23" s="21">
        <f>0</f>
        <v>0</v>
      </c>
      <c r="J23" s="21">
        <f>0</f>
        <v>0</v>
      </c>
      <c r="K23" s="21">
        <f>50.4</f>
        <v>50.4</v>
      </c>
      <c r="L23" s="21">
        <f>0</f>
        <v>0</v>
      </c>
      <c r="M23" s="21">
        <f>217884.89</f>
        <v>217884.89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0" t="str">
        <f>CONCATENATE("Informacja z wykonania budżetów województw za  ",$C$93," ",$B$94," roku    ",$B$96,"")</f>
        <v xml:space="preserve">Informacja z wykonania budżetów województw za  IV Kwartały 2025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822561679.14</f>
        <v>822561679.13999999</v>
      </c>
      <c r="C43" s="22">
        <f>822561679.14</f>
        <v>822561679.13999999</v>
      </c>
      <c r="D43" s="22">
        <f>759470538.72</f>
        <v>759470538.72000003</v>
      </c>
      <c r="E43" s="22">
        <f>3984087.89</f>
        <v>3984087.89</v>
      </c>
      <c r="F43" s="22">
        <f>19064.9</f>
        <v>19064.900000000001</v>
      </c>
      <c r="G43" s="22">
        <f>755467385.93</f>
        <v>755467385.92999995</v>
      </c>
      <c r="H43" s="22">
        <f>0</f>
        <v>0</v>
      </c>
      <c r="I43" s="22">
        <f>0</f>
        <v>0</v>
      </c>
      <c r="J43" s="22">
        <f>0</f>
        <v>0</v>
      </c>
      <c r="K43" s="22">
        <f>31670.5</f>
        <v>31670.5</v>
      </c>
      <c r="L43" s="22">
        <f>56544297.54</f>
        <v>56544297.539999999</v>
      </c>
      <c r="M43" s="22">
        <f>5480631.62</f>
        <v>5480631.6200000001</v>
      </c>
      <c r="N43" s="22">
        <f>1034540.76</f>
        <v>1034540.76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13160934.47</f>
        <v>13160934.470000001</v>
      </c>
      <c r="C44" s="23">
        <f>13160934.47</f>
        <v>13160934.470000001</v>
      </c>
      <c r="D44" s="23">
        <f>13077912.85</f>
        <v>13077912.85</v>
      </c>
      <c r="E44" s="23">
        <f>3914000</f>
        <v>3914000</v>
      </c>
      <c r="F44" s="23">
        <f>0</f>
        <v>0</v>
      </c>
      <c r="G44" s="23">
        <f>9163912.85</f>
        <v>9163912.8499999996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809400744.67</f>
        <v>809400744.66999996</v>
      </c>
      <c r="C45" s="23">
        <f>809400744.67</f>
        <v>809400744.66999996</v>
      </c>
      <c r="D45" s="23">
        <f>746392625.87</f>
        <v>746392625.87</v>
      </c>
      <c r="E45" s="23">
        <f>70087.89</f>
        <v>70087.89</v>
      </c>
      <c r="F45" s="23">
        <f>19064.9</f>
        <v>19064.900000000001</v>
      </c>
      <c r="G45" s="23">
        <f>746303473.08</f>
        <v>746303473.08000004</v>
      </c>
      <c r="H45" s="23">
        <f>0</f>
        <v>0</v>
      </c>
      <c r="I45" s="23">
        <f>0</f>
        <v>0</v>
      </c>
      <c r="J45" s="23">
        <f>0</f>
        <v>0</v>
      </c>
      <c r="K45" s="23">
        <f>31670.5</f>
        <v>31670.5</v>
      </c>
      <c r="L45" s="23">
        <f>56461275.92</f>
        <v>56461275.920000002</v>
      </c>
      <c r="M45" s="23">
        <f>5480631.62</f>
        <v>5480631.6200000001</v>
      </c>
      <c r="N45" s="23">
        <f>1034540.76</f>
        <v>1034540.76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7782393424.26</f>
        <v>7782393424.2600002</v>
      </c>
      <c r="C46" s="22">
        <f>7782094349.01</f>
        <v>7782094349.0100002</v>
      </c>
      <c r="D46" s="22">
        <f>59614.99</f>
        <v>59614.99</v>
      </c>
      <c r="E46" s="22">
        <f>600</f>
        <v>600</v>
      </c>
      <c r="F46" s="22">
        <f>16265.52</f>
        <v>16265.52</v>
      </c>
      <c r="G46" s="22">
        <f>42749.47</f>
        <v>42749.47</v>
      </c>
      <c r="H46" s="22">
        <f>0</f>
        <v>0</v>
      </c>
      <c r="I46" s="22">
        <f>0</f>
        <v>0</v>
      </c>
      <c r="J46" s="22">
        <f>7776235456.5</f>
        <v>7776235456.5</v>
      </c>
      <c r="K46" s="22">
        <f>2504000</f>
        <v>2504000</v>
      </c>
      <c r="L46" s="22">
        <f>3286213.89</f>
        <v>3286213.89</v>
      </c>
      <c r="M46" s="22">
        <f>9063.63</f>
        <v>9063.6299999999992</v>
      </c>
      <c r="N46" s="22">
        <f>0</f>
        <v>0</v>
      </c>
      <c r="O46" s="22">
        <f>299075.25</f>
        <v>299075.25</v>
      </c>
      <c r="P46" s="22">
        <f>299075.25</f>
        <v>299075.25</v>
      </c>
      <c r="Q46" s="22">
        <f>0</f>
        <v>0</v>
      </c>
    </row>
    <row r="47" spans="1:17" ht="24" customHeight="1" x14ac:dyDescent="0.2">
      <c r="A47" s="18" t="s">
        <v>33</v>
      </c>
      <c r="B47" s="23">
        <f>40749.47</f>
        <v>40749.47</v>
      </c>
      <c r="C47" s="23">
        <f>40749.47</f>
        <v>40749.47</v>
      </c>
      <c r="D47" s="23">
        <f>40749.47</f>
        <v>40749.47</v>
      </c>
      <c r="E47" s="23">
        <f>0</f>
        <v>0</v>
      </c>
      <c r="F47" s="23">
        <f>0</f>
        <v>0</v>
      </c>
      <c r="G47" s="23">
        <f>40749.47</f>
        <v>40749.47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7334195270.58</f>
        <v>7334195270.5799999</v>
      </c>
      <c r="C48" s="23">
        <f>7334195270.58</f>
        <v>7334195270.5799999</v>
      </c>
      <c r="D48" s="23">
        <f>2600</f>
        <v>2600</v>
      </c>
      <c r="E48" s="23">
        <f>600</f>
        <v>600</v>
      </c>
      <c r="F48" s="23">
        <f>0</f>
        <v>0</v>
      </c>
      <c r="G48" s="23">
        <f>2000</f>
        <v>2000</v>
      </c>
      <c r="H48" s="23">
        <f>0</f>
        <v>0</v>
      </c>
      <c r="I48" s="23">
        <f>0</f>
        <v>0</v>
      </c>
      <c r="J48" s="23">
        <f>7328426960.37</f>
        <v>7328426960.3699999</v>
      </c>
      <c r="K48" s="23">
        <f>2504000</f>
        <v>2504000</v>
      </c>
      <c r="L48" s="23">
        <f>3252646.58</f>
        <v>3252646.58</v>
      </c>
      <c r="M48" s="23">
        <f>9063.63</f>
        <v>9063.6299999999992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448157404.21</f>
        <v>448157404.20999998</v>
      </c>
      <c r="C49" s="23">
        <f>447858328.96</f>
        <v>447858328.95999998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447808496.13</f>
        <v>447808496.13</v>
      </c>
      <c r="K49" s="23">
        <f>0</f>
        <v>0</v>
      </c>
      <c r="L49" s="23">
        <f>33567.31</f>
        <v>33567.31</v>
      </c>
      <c r="M49" s="23">
        <f>0</f>
        <v>0</v>
      </c>
      <c r="N49" s="23">
        <f>0</f>
        <v>0</v>
      </c>
      <c r="O49" s="23">
        <f>299075.25</f>
        <v>299075.25</v>
      </c>
      <c r="P49" s="23">
        <f>299075.25</f>
        <v>299075.25</v>
      </c>
      <c r="Q49" s="23">
        <f>0</f>
        <v>0</v>
      </c>
    </row>
    <row r="50" spans="1:17" ht="30.75" customHeight="1" x14ac:dyDescent="0.2">
      <c r="A50" s="24" t="s">
        <v>43</v>
      </c>
      <c r="B50" s="22">
        <f>3234498846.27</f>
        <v>3234498846.27</v>
      </c>
      <c r="C50" s="22">
        <f>3232311137.02</f>
        <v>3232311137.02</v>
      </c>
      <c r="D50" s="22">
        <f>17758755.95</f>
        <v>17758755.949999999</v>
      </c>
      <c r="E50" s="22">
        <f>7257860.13</f>
        <v>7257860.1299999999</v>
      </c>
      <c r="F50" s="22">
        <f>130337.2</f>
        <v>130337.2</v>
      </c>
      <c r="G50" s="22">
        <f>10370558.12</f>
        <v>10370558.119999999</v>
      </c>
      <c r="H50" s="22">
        <f>0.5</f>
        <v>0.5</v>
      </c>
      <c r="I50" s="22">
        <f>0</f>
        <v>0</v>
      </c>
      <c r="J50" s="22">
        <f>86175.66</f>
        <v>86175.66</v>
      </c>
      <c r="K50" s="22">
        <f>15796437.27</f>
        <v>15796437.27</v>
      </c>
      <c r="L50" s="22">
        <f>2167367945.14</f>
        <v>2167367945.1399999</v>
      </c>
      <c r="M50" s="22">
        <f>1001172730.98</f>
        <v>1001172730.98</v>
      </c>
      <c r="N50" s="22">
        <f>30129092.02</f>
        <v>30129092.02</v>
      </c>
      <c r="O50" s="22">
        <f>2187709.25</f>
        <v>2187709.25</v>
      </c>
      <c r="P50" s="22">
        <f>1863663.3</f>
        <v>1863663.3</v>
      </c>
      <c r="Q50" s="22">
        <f>324045.95</f>
        <v>324045.95</v>
      </c>
    </row>
    <row r="51" spans="1:17" ht="30" customHeight="1" x14ac:dyDescent="0.2">
      <c r="A51" s="18" t="s">
        <v>36</v>
      </c>
      <c r="B51" s="23">
        <f>83284417.12</f>
        <v>83284417.120000005</v>
      </c>
      <c r="C51" s="23">
        <f>83277109.5</f>
        <v>83277109.5</v>
      </c>
      <c r="D51" s="23">
        <f>710775.33</f>
        <v>710775.33</v>
      </c>
      <c r="E51" s="23">
        <f>0</f>
        <v>0</v>
      </c>
      <c r="F51" s="23">
        <f>1760</f>
        <v>1760</v>
      </c>
      <c r="G51" s="23">
        <f>709015.33</f>
        <v>709015.33</v>
      </c>
      <c r="H51" s="23">
        <f>0</f>
        <v>0</v>
      </c>
      <c r="I51" s="23">
        <f>0</f>
        <v>0</v>
      </c>
      <c r="J51" s="23">
        <f>998.91</f>
        <v>998.91</v>
      </c>
      <c r="K51" s="23">
        <f>246</f>
        <v>246</v>
      </c>
      <c r="L51" s="23">
        <f>74431626.35</f>
        <v>74431626.349999994</v>
      </c>
      <c r="M51" s="23">
        <f>7382889.33</f>
        <v>7382889.3300000001</v>
      </c>
      <c r="N51" s="23">
        <f>750573.58</f>
        <v>750573.58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3151214429.15</f>
        <v>3151214429.1500001</v>
      </c>
      <c r="C52" s="23">
        <f>3149034027.52</f>
        <v>3149034027.52</v>
      </c>
      <c r="D52" s="23">
        <f>17047980.62</f>
        <v>17047980.620000001</v>
      </c>
      <c r="E52" s="23">
        <f>7257860.13</f>
        <v>7257860.1299999999</v>
      </c>
      <c r="F52" s="23">
        <f>128577.2</f>
        <v>128577.2</v>
      </c>
      <c r="G52" s="23">
        <f>9661542.79</f>
        <v>9661542.7899999991</v>
      </c>
      <c r="H52" s="23">
        <f>0.5</f>
        <v>0.5</v>
      </c>
      <c r="I52" s="23">
        <f>0</f>
        <v>0</v>
      </c>
      <c r="J52" s="23">
        <f>85176.75</f>
        <v>85176.75</v>
      </c>
      <c r="K52" s="23">
        <f>15796191.27</f>
        <v>15796191.27</v>
      </c>
      <c r="L52" s="23">
        <f>2092936318.79</f>
        <v>2092936318.79</v>
      </c>
      <c r="M52" s="23">
        <f>993789841.65</f>
        <v>993789841.64999998</v>
      </c>
      <c r="N52" s="23">
        <f>29378518.44</f>
        <v>29378518.440000001</v>
      </c>
      <c r="O52" s="23">
        <f>2180401.63</f>
        <v>2180401.63</v>
      </c>
      <c r="P52" s="23">
        <f>1856355.68</f>
        <v>1856355.68</v>
      </c>
      <c r="Q52" s="23">
        <f>324045.95</f>
        <v>324045.95</v>
      </c>
    </row>
    <row r="53" spans="1:17" ht="30.75" customHeight="1" x14ac:dyDescent="0.2">
      <c r="A53" s="24" t="s">
        <v>44</v>
      </c>
      <c r="B53" s="22">
        <f>1655715105.29</f>
        <v>1655715105.29</v>
      </c>
      <c r="C53" s="22">
        <f>1647476768.34</f>
        <v>1647476768.3399999</v>
      </c>
      <c r="D53" s="22">
        <f>291506236.84</f>
        <v>291506236.83999997</v>
      </c>
      <c r="E53" s="22">
        <f>127339219.11</f>
        <v>127339219.11</v>
      </c>
      <c r="F53" s="22">
        <f>863320.85</f>
        <v>863320.85</v>
      </c>
      <c r="G53" s="22">
        <f>163134100.99</f>
        <v>163134100.99000001</v>
      </c>
      <c r="H53" s="22">
        <f>169595.89</f>
        <v>169595.89</v>
      </c>
      <c r="I53" s="22">
        <f>0</f>
        <v>0</v>
      </c>
      <c r="J53" s="22">
        <f>696052.62</f>
        <v>696052.62</v>
      </c>
      <c r="K53" s="22">
        <f>48739</f>
        <v>48739</v>
      </c>
      <c r="L53" s="22">
        <f>1063842683.08</f>
        <v>1063842683.08</v>
      </c>
      <c r="M53" s="22">
        <f>223755231.04</f>
        <v>223755231.03999999</v>
      </c>
      <c r="N53" s="22">
        <f>67627825.76</f>
        <v>67627825.760000005</v>
      </c>
      <c r="O53" s="22">
        <f>8238336.95</f>
        <v>8238336.9500000002</v>
      </c>
      <c r="P53" s="22">
        <f>2042826.95</f>
        <v>2042826.95</v>
      </c>
      <c r="Q53" s="22">
        <f>6195510</f>
        <v>6195510</v>
      </c>
    </row>
    <row r="54" spans="1:17" ht="30" customHeight="1" x14ac:dyDescent="0.2">
      <c r="A54" s="18" t="s">
        <v>38</v>
      </c>
      <c r="B54" s="23">
        <f>157550731.91</f>
        <v>157550731.91</v>
      </c>
      <c r="C54" s="23">
        <f>157518862.53</f>
        <v>157518862.53</v>
      </c>
      <c r="D54" s="23">
        <f>5721260.3</f>
        <v>5721260.2999999998</v>
      </c>
      <c r="E54" s="23">
        <f>1364604.57</f>
        <v>1364604.57</v>
      </c>
      <c r="F54" s="23">
        <f>241425.9</f>
        <v>241425.9</v>
      </c>
      <c r="G54" s="23">
        <f>4090229.32</f>
        <v>4090229.32</v>
      </c>
      <c r="H54" s="23">
        <f>25000.51</f>
        <v>25000.51</v>
      </c>
      <c r="I54" s="23">
        <f>0</f>
        <v>0</v>
      </c>
      <c r="J54" s="23">
        <f>492</f>
        <v>492</v>
      </c>
      <c r="K54" s="23">
        <f>2606.5</f>
        <v>2606.5</v>
      </c>
      <c r="L54" s="23">
        <f>148398874.26</f>
        <v>148398874.25999999</v>
      </c>
      <c r="M54" s="23">
        <f>3131945.53</f>
        <v>3131945.53</v>
      </c>
      <c r="N54" s="23">
        <f>263683.94</f>
        <v>263683.94</v>
      </c>
      <c r="O54" s="23">
        <f>31869.38</f>
        <v>31869.38</v>
      </c>
      <c r="P54" s="23">
        <f>31869.38</f>
        <v>31869.38</v>
      </c>
      <c r="Q54" s="23">
        <f>0</f>
        <v>0</v>
      </c>
    </row>
    <row r="55" spans="1:17" ht="33" customHeight="1" x14ac:dyDescent="0.2">
      <c r="A55" s="18" t="s">
        <v>80</v>
      </c>
      <c r="B55" s="23">
        <f>166681.72</f>
        <v>166681.72</v>
      </c>
      <c r="C55" s="23">
        <f>166681.72</f>
        <v>166681.72</v>
      </c>
      <c r="D55" s="23">
        <f>166681.72</f>
        <v>166681.72</v>
      </c>
      <c r="E55" s="23">
        <f>143928</f>
        <v>143928</v>
      </c>
      <c r="F55" s="23">
        <f>0</f>
        <v>0</v>
      </c>
      <c r="G55" s="23">
        <f>0</f>
        <v>0</v>
      </c>
      <c r="H55" s="23">
        <f>22753.72</f>
        <v>22753.72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1497997691.66</f>
        <v>1497997691.6600001</v>
      </c>
      <c r="C56" s="23">
        <f>1489791224.09</f>
        <v>1489791224.0899999</v>
      </c>
      <c r="D56" s="23">
        <f>285618294.82</f>
        <v>285618294.81999999</v>
      </c>
      <c r="E56" s="23">
        <f>125830686.54</f>
        <v>125830686.54000001</v>
      </c>
      <c r="F56" s="23">
        <f>621894.95</f>
        <v>621894.94999999995</v>
      </c>
      <c r="G56" s="23">
        <f>159043871.67</f>
        <v>159043871.66999999</v>
      </c>
      <c r="H56" s="23">
        <f>121841.66</f>
        <v>121841.66</v>
      </c>
      <c r="I56" s="23">
        <f>0</f>
        <v>0</v>
      </c>
      <c r="J56" s="23">
        <f>695560.62</f>
        <v>695560.62</v>
      </c>
      <c r="K56" s="23">
        <f>46132.5</f>
        <v>46132.5</v>
      </c>
      <c r="L56" s="23">
        <f>915443808.82</f>
        <v>915443808.82000005</v>
      </c>
      <c r="M56" s="23">
        <f>220623285.51</f>
        <v>220623285.50999999</v>
      </c>
      <c r="N56" s="23">
        <f>67364141.82</f>
        <v>67364141.819999993</v>
      </c>
      <c r="O56" s="23">
        <f>8206467.57</f>
        <v>8206467.5700000003</v>
      </c>
      <c r="P56" s="23">
        <f>2010957.57</f>
        <v>2010957.57</v>
      </c>
      <c r="Q56" s="23">
        <f>6195510</f>
        <v>6195510</v>
      </c>
    </row>
    <row r="66" spans="1:13" ht="67.5" customHeight="1" x14ac:dyDescent="0.2">
      <c r="A66" s="30" t="str">
        <f>CONCATENATE("Informacja z wykonania budżetów województw za  ",$C$93," ",$B$94," roku    ",$B$96,"")</f>
        <v xml:space="preserve">Informacja z wykonania budżetów województw za  IV Kwartały 2025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">
      <c r="B76" s="35" t="s">
        <v>55</v>
      </c>
      <c r="C76" s="36"/>
      <c r="D76" s="36"/>
      <c r="E76" s="37"/>
      <c r="F76" s="25">
        <f>1122413770.96</f>
        <v>1122413770.96</v>
      </c>
      <c r="G76" s="25">
        <f>205353842.11</f>
        <v>205353842.11000001</v>
      </c>
      <c r="H76" s="25">
        <f>0</f>
        <v>0</v>
      </c>
      <c r="I76" s="25">
        <f>0</f>
        <v>0</v>
      </c>
      <c r="J76" s="25">
        <f>205353842.11</f>
        <v>205353842.11000001</v>
      </c>
      <c r="K76" s="25">
        <f>0</f>
        <v>0</v>
      </c>
      <c r="L76" s="25">
        <f>917059928.85</f>
        <v>917059928.85000002</v>
      </c>
    </row>
    <row r="77" spans="1:13" ht="33.75" customHeight="1" x14ac:dyDescent="0.2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35" t="s">
        <v>57</v>
      </c>
      <c r="C78" s="36"/>
      <c r="D78" s="36"/>
      <c r="E78" s="37"/>
      <c r="F78" s="25">
        <f>303000000</f>
        <v>303000000</v>
      </c>
      <c r="G78" s="25">
        <f>0</f>
        <v>0</v>
      </c>
      <c r="H78" s="25">
        <f>0</f>
        <v>0</v>
      </c>
      <c r="I78" s="25">
        <f>0</f>
        <v>0</v>
      </c>
      <c r="J78" s="25">
        <f>0</f>
        <v>0</v>
      </c>
      <c r="K78" s="25">
        <f>0</f>
        <v>0</v>
      </c>
      <c r="L78" s="25">
        <f>303000000</f>
        <v>303000000</v>
      </c>
    </row>
    <row r="79" spans="1:13" ht="22.5" customHeight="1" x14ac:dyDescent="0.2">
      <c r="B79" s="35" t="s">
        <v>58</v>
      </c>
      <c r="C79" s="36"/>
      <c r="D79" s="36"/>
      <c r="E79" s="37"/>
      <c r="F79" s="25">
        <f>9938113.96</f>
        <v>9938113.9600000009</v>
      </c>
      <c r="G79" s="25">
        <f>7938114.04</f>
        <v>7938114.04</v>
      </c>
      <c r="H79" s="25">
        <f>0</f>
        <v>0</v>
      </c>
      <c r="I79" s="25">
        <f>0</f>
        <v>0</v>
      </c>
      <c r="J79" s="25">
        <f>7938114.04</f>
        <v>7938114.04</v>
      </c>
      <c r="K79" s="25">
        <f>0</f>
        <v>0</v>
      </c>
      <c r="L79" s="25">
        <f>1999999.92</f>
        <v>1999999.92</v>
      </c>
    </row>
    <row r="80" spans="1:13" ht="33.75" customHeight="1" x14ac:dyDescent="0.2">
      <c r="B80" s="35" t="s">
        <v>59</v>
      </c>
      <c r="C80" s="36"/>
      <c r="D80" s="36"/>
      <c r="E80" s="37"/>
      <c r="F80" s="25">
        <f>543772.19</f>
        <v>543772.18999999994</v>
      </c>
      <c r="G80" s="25">
        <f>426543.87</f>
        <v>426543.87</v>
      </c>
      <c r="H80" s="25">
        <f>0</f>
        <v>0</v>
      </c>
      <c r="I80" s="25">
        <f>0</f>
        <v>0</v>
      </c>
      <c r="J80" s="25">
        <f>426543.87</f>
        <v>426543.87</v>
      </c>
      <c r="K80" s="25">
        <f>0</f>
        <v>0</v>
      </c>
      <c r="L80" s="25">
        <f>117228.32</f>
        <v>117228.32</v>
      </c>
    </row>
    <row r="81" spans="1:13" ht="33.75" customHeight="1" x14ac:dyDescent="0.2">
      <c r="B81" s="35" t="s">
        <v>60</v>
      </c>
      <c r="C81" s="36"/>
      <c r="D81" s="36"/>
      <c r="E81" s="37"/>
      <c r="F81" s="25">
        <f>17557734.07</f>
        <v>17557734.07</v>
      </c>
      <c r="G81" s="25">
        <f>15557734.15</f>
        <v>15557734.15</v>
      </c>
      <c r="H81" s="25">
        <f>0</f>
        <v>0</v>
      </c>
      <c r="I81" s="25">
        <f>0</f>
        <v>0</v>
      </c>
      <c r="J81" s="25">
        <f>15557734.15</f>
        <v>15557734.15</v>
      </c>
      <c r="K81" s="25">
        <f>0</f>
        <v>0</v>
      </c>
      <c r="L81" s="25">
        <f>1999999.92</f>
        <v>1999999.92</v>
      </c>
    </row>
    <row r="82" spans="1:13" ht="33" customHeight="1" x14ac:dyDescent="0.2">
      <c r="B82" s="35" t="s">
        <v>61</v>
      </c>
      <c r="C82" s="36"/>
      <c r="D82" s="36"/>
      <c r="E82" s="37"/>
      <c r="F82" s="25">
        <f>0</f>
        <v>0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0</f>
        <v>0</v>
      </c>
    </row>
    <row r="85" spans="1:13" ht="60" customHeight="1" x14ac:dyDescent="0.2">
      <c r="A85" s="30" t="str">
        <f>CONCATENATE("Informacja z wykonania budżetów województw za  ",$C$93," ",$B$94," roku    ",$B$96,"")</f>
        <v xml:space="preserve">Informacja z wykonania budżetów województw za  IV Kwartały 2025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">
      <c r="B88" s="6"/>
      <c r="C88" s="35" t="s">
        <v>5</v>
      </c>
      <c r="D88" s="36"/>
      <c r="E88" s="36"/>
      <c r="F88" s="37"/>
      <c r="G88" s="53">
        <f>9</f>
        <v>9</v>
      </c>
      <c r="H88" s="54"/>
      <c r="I88" s="38">
        <f>1507265030.99</f>
        <v>1507265030.99</v>
      </c>
      <c r="J88" s="39"/>
      <c r="K88" s="7"/>
    </row>
    <row r="89" spans="1:13" ht="22.5" customHeight="1" x14ac:dyDescent="0.2">
      <c r="B89" s="6"/>
      <c r="C89" s="35" t="s">
        <v>6</v>
      </c>
      <c r="D89" s="36"/>
      <c r="E89" s="36"/>
      <c r="F89" s="37"/>
      <c r="G89" s="53">
        <f>7</f>
        <v>7</v>
      </c>
      <c r="H89" s="54"/>
      <c r="I89" s="38">
        <f>-802871409.46</f>
        <v>-802871409.46000004</v>
      </c>
      <c r="J89" s="39"/>
      <c r="K89" s="7"/>
    </row>
    <row r="90" spans="1:13" ht="21" customHeight="1" x14ac:dyDescent="0.2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">
      <c r="A93" s="8" t="s">
        <v>8</v>
      </c>
      <c r="B93" s="8">
        <f>4</f>
        <v>4</v>
      </c>
      <c r="C93" s="8" t="str">
        <f>IF(B93=1,"I Kwartał",IF(B93=2,"II Kwartały",IF(B93=3,"III Kwartały",IF(B93=4,"IV Kwartały","-"))))</f>
        <v>IV Kwartały</v>
      </c>
    </row>
    <row r="94" spans="1:13" ht="13.5" customHeight="1" x14ac:dyDescent="0.2">
      <c r="A94" s="8" t="s">
        <v>9</v>
      </c>
      <c r="B94" s="8">
        <f>2025</f>
        <v>2025</v>
      </c>
      <c r="C94" s="9"/>
    </row>
    <row r="95" spans="1:13" ht="13.5" customHeight="1" x14ac:dyDescent="0.2">
      <c r="A95" s="8" t="s">
        <v>10</v>
      </c>
      <c r="B95" s="10" t="str">
        <f>"Mar 18 2026 12:00AM"</f>
        <v>Mar 18 2026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2026-03-25T10:13:00Z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2026-03-25T11:12:59.1561198+01:00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GRN-f96f2665-f2f1-4fec-858b-bca301667546</vt:lpwstr>
  </property>
  <property fmtid="{D5CDD505-2E9C-101B-9397-08002B2CF9AE}" pid="7" name="MFHash">
    <vt:lpwstr>TtVKeZSrm5qD7jPQZoKxX14FtXam2/8ZH3HVTGRpV/Q=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