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81F7619C-01D3-4A2B-B1F7-DAC02EF32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l="1"/>
  <c r="A30" i="7"/>
  <c r="A85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<sst xmlns="http://schemas.openxmlformats.org/spreadsheetml/2006/main" count="97" uniqueCount="81">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</sst>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IV Kwartały 2024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56501912925.16</f>
        <v>56501912925.160004</v>
      </c>
      <c r="C13" s="21">
        <f>32996020912.89</f>
        <v>32996020912.889999</v>
      </c>
      <c r="D13" s="21">
        <f>688346547.08</f>
        <v>688346547.08000004</v>
      </c>
      <c r="E13" s="21">
        <f>353787224.48</f>
        <v>353787224.48000002</v>
      </c>
      <c r="F13" s="21">
        <f>191425876.5</f>
        <v>191425876.5</v>
      </c>
      <c r="G13" s="21">
        <f>143133446.1</f>
        <v>143133446.09999999</v>
      </c>
      <c r="H13" s="21">
        <f>0</f>
        <v>0</v>
      </c>
      <c r="I13" s="21">
        <f>0</f>
        <v>0</v>
      </c>
      <c r="J13" s="21">
        <f>30422494423.99</f>
        <v>30422494423.990002</v>
      </c>
      <c r="K13" s="21">
        <f>1021335413.36</f>
        <v>1021335413.36</v>
      </c>
      <c r="L13" s="21">
        <f>849547142.22</f>
        <v>849547142.22000003</v>
      </c>
      <c r="M13" s="21">
        <f>12132946.56</f>
        <v>12132946.560000001</v>
      </c>
      <c r="N13" s="21">
        <f>2164439.68</f>
        <v>2164439.6800000002</v>
      </c>
      <c r="O13" s="21">
        <f>23505892012.27</f>
        <v>23505892012.27</v>
      </c>
      <c r="P13" s="21">
        <f>23485760432.27</f>
        <v>23485760432.27</v>
      </c>
      <c r="Q13" s="21">
        <f>20131580</f>
        <v>20131580</v>
      </c>
    </row>
    <row r="14" spans="1:17" ht="38.25" customHeight="1" x14ac:dyDescent="0.2">
      <c r="A14" s="20" t="s">
        <v>48</v>
      </c>
      <c r="B14" s="21">
        <f>6609394000</f>
        <v>6609394000</v>
      </c>
      <c r="C14" s="21">
        <f>6609394000</f>
        <v>6609394000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6450894000</f>
        <v>6450894000</v>
      </c>
      <c r="K14" s="21">
        <f>158500000</f>
        <v>158500000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6609394000</f>
        <v>6609394000</v>
      </c>
      <c r="C16" s="22">
        <f>6609394000</f>
        <v>6609394000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6450894000</f>
        <v>6450894000</v>
      </c>
      <c r="K16" s="22">
        <f>158500000</f>
        <v>158500000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49869350480.05</f>
        <v>49869350480.050003</v>
      </c>
      <c r="C17" s="21">
        <f>26363458467.78</f>
        <v>26363458467.779999</v>
      </c>
      <c r="D17" s="21">
        <f>682918852.42</f>
        <v>682918852.41999996</v>
      </c>
      <c r="E17" s="21">
        <f>353775049</f>
        <v>353775049</v>
      </c>
      <c r="F17" s="21">
        <f>191425535.92</f>
        <v>191425535.91999999</v>
      </c>
      <c r="G17" s="21">
        <f>137718267.5</f>
        <v>137718267.5</v>
      </c>
      <c r="H17" s="21">
        <f>0</f>
        <v>0</v>
      </c>
      <c r="I17" s="21">
        <f>0</f>
        <v>0</v>
      </c>
      <c r="J17" s="21">
        <f>23971600423.99</f>
        <v>23971600423.990002</v>
      </c>
      <c r="K17" s="21">
        <f>862209199.79</f>
        <v>862209199.78999996</v>
      </c>
      <c r="L17" s="21">
        <f>846669991.58</f>
        <v>846669991.58000004</v>
      </c>
      <c r="M17" s="21">
        <f>60000</f>
        <v>60000</v>
      </c>
      <c r="N17" s="21">
        <f>0</f>
        <v>0</v>
      </c>
      <c r="O17" s="21">
        <f>23505892012.27</f>
        <v>23505892012.27</v>
      </c>
      <c r="P17" s="21">
        <f>23485760432.27</f>
        <v>23485760432.27</v>
      </c>
      <c r="Q17" s="21">
        <f>20131580</f>
        <v>20131580</v>
      </c>
    </row>
    <row r="18" spans="1:17" ht="38.25" customHeight="1" x14ac:dyDescent="0.2">
      <c r="A18" s="18" t="s">
        <v>52</v>
      </c>
      <c r="B18" s="22">
        <f>13205060</f>
        <v>13205060</v>
      </c>
      <c r="C18" s="22">
        <f>13205060</f>
        <v>13205060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12275000</f>
        <v>12275000</v>
      </c>
      <c r="K18" s="22">
        <f>0</f>
        <v>0</v>
      </c>
      <c r="L18" s="22">
        <f>930060</f>
        <v>930060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49856145420.05</f>
        <v>49856145420.050003</v>
      </c>
      <c r="C19" s="22">
        <f>26350253407.78</f>
        <v>26350253407.779999</v>
      </c>
      <c r="D19" s="22">
        <f>682918852.42</f>
        <v>682918852.41999996</v>
      </c>
      <c r="E19" s="22">
        <f>353775049</f>
        <v>353775049</v>
      </c>
      <c r="F19" s="22">
        <f>191425535.92</f>
        <v>191425535.91999999</v>
      </c>
      <c r="G19" s="22">
        <f>137718267.5</f>
        <v>137718267.5</v>
      </c>
      <c r="H19" s="22">
        <f>0</f>
        <v>0</v>
      </c>
      <c r="I19" s="22">
        <f>0</f>
        <v>0</v>
      </c>
      <c r="J19" s="22">
        <f>23959325423.99</f>
        <v>23959325423.990002</v>
      </c>
      <c r="K19" s="22">
        <f>862209199.79</f>
        <v>862209199.78999996</v>
      </c>
      <c r="L19" s="22">
        <f>845739931.58</f>
        <v>845739931.58000004</v>
      </c>
      <c r="M19" s="22">
        <f>60000</f>
        <v>60000</v>
      </c>
      <c r="N19" s="22">
        <f>0</f>
        <v>0</v>
      </c>
      <c r="O19" s="22">
        <f>23505892012.27</f>
        <v>23505892012.27</v>
      </c>
      <c r="P19" s="22">
        <f>23485760432.27</f>
        <v>23485760432.27</v>
      </c>
      <c r="Q19" s="22">
        <f>20131580</f>
        <v>20131580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23168445.11</f>
        <v>23168445.109999999</v>
      </c>
      <c r="C21" s="21">
        <f>23168445.11</f>
        <v>23168445.109999999</v>
      </c>
      <c r="D21" s="21">
        <f>5427694.66</f>
        <v>5427694.6600000001</v>
      </c>
      <c r="E21" s="21">
        <f>12175.48</f>
        <v>12175.48</v>
      </c>
      <c r="F21" s="21">
        <f>340.58</f>
        <v>340.58</v>
      </c>
      <c r="G21" s="21">
        <f>5415178.6</f>
        <v>5415178.5999999996</v>
      </c>
      <c r="H21" s="21">
        <f>0</f>
        <v>0</v>
      </c>
      <c r="I21" s="21">
        <f>0</f>
        <v>0</v>
      </c>
      <c r="J21" s="21">
        <f>0</f>
        <v>0</v>
      </c>
      <c r="K21" s="21">
        <f>626213.57</f>
        <v>626213.56999999995</v>
      </c>
      <c r="L21" s="21">
        <f>2877150.64</f>
        <v>2877150.64</v>
      </c>
      <c r="M21" s="21">
        <f>12072946.56</f>
        <v>12072946.560000001</v>
      </c>
      <c r="N21" s="21">
        <f>2164439.68</f>
        <v>2164439.6800000002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15065169.68</f>
        <v>15065169.68</v>
      </c>
      <c r="C22" s="22">
        <f>15065169.68</f>
        <v>15065169.68</v>
      </c>
      <c r="D22" s="22">
        <f>3647.49</f>
        <v>3647.49</v>
      </c>
      <c r="E22" s="22">
        <f>155.48</f>
        <v>155.47999999999999</v>
      </c>
      <c r="F22" s="22">
        <f>0</f>
        <v>0</v>
      </c>
      <c r="G22" s="22">
        <f>3492.01</f>
        <v>3492.01</v>
      </c>
      <c r="H22" s="22">
        <f>0</f>
        <v>0</v>
      </c>
      <c r="I22" s="22">
        <f>0</f>
        <v>0</v>
      </c>
      <c r="J22" s="22">
        <f>0</f>
        <v>0</v>
      </c>
      <c r="K22" s="22">
        <f>626213.57</f>
        <v>626213.56999999995</v>
      </c>
      <c r="L22" s="22">
        <f>1421924.8</f>
        <v>1421924.8</v>
      </c>
      <c r="M22" s="22">
        <f>10849327.18</f>
        <v>10849327.18</v>
      </c>
      <c r="N22" s="22">
        <f>2164056.64</f>
        <v>2164056.64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8103275.43</f>
        <v>8103275.4299999997</v>
      </c>
      <c r="C23" s="22">
        <f>8103275.43</f>
        <v>8103275.4299999997</v>
      </c>
      <c r="D23" s="22">
        <f>5424047.17</f>
        <v>5424047.1699999999</v>
      </c>
      <c r="E23" s="22">
        <f>12020</f>
        <v>12020</v>
      </c>
      <c r="F23" s="22">
        <f>340.58</f>
        <v>340.58</v>
      </c>
      <c r="G23" s="22">
        <f>5411686.59</f>
        <v>5411686.5899999999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1455225.84</f>
        <v>1455225.84</v>
      </c>
      <c r="M23" s="22">
        <f>1223619.38</f>
        <v>1223619.3799999999</v>
      </c>
      <c r="N23" s="22">
        <f>383.04</f>
        <v>383.04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IV Kwartały 2024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660468.6</f>
        <v>660468.6</v>
      </c>
      <c r="C40" s="23">
        <f>660468.6</f>
        <v>660468.6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79433.6</f>
        <v>79433.600000000006</v>
      </c>
      <c r="M40" s="23">
        <f>581035</f>
        <v>581035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660468.6</f>
        <v>660468.6</v>
      </c>
      <c r="C42" s="24">
        <f>660468.6</f>
        <v>660468.6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79433.6</f>
        <v>79433.600000000006</v>
      </c>
      <c r="M42" s="24">
        <f>581035</f>
        <v>581035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343381993.72</f>
        <v>343381993.72000003</v>
      </c>
      <c r="C43" s="23">
        <f>343381993.72</f>
        <v>343381993.72000003</v>
      </c>
      <c r="D43" s="23">
        <f>115863592.47</f>
        <v>115863592.47</v>
      </c>
      <c r="E43" s="23">
        <f>28880</f>
        <v>28880</v>
      </c>
      <c r="F43" s="23">
        <f>0</f>
        <v>0</v>
      </c>
      <c r="G43" s="23">
        <f>115834712.47</f>
        <v>115834712.47</v>
      </c>
      <c r="H43" s="23">
        <f>0</f>
        <v>0</v>
      </c>
      <c r="I43" s="23">
        <f>0</f>
        <v>0</v>
      </c>
      <c r="J43" s="23">
        <f>0</f>
        <v>0</v>
      </c>
      <c r="K43" s="23">
        <f>0</f>
        <v>0</v>
      </c>
      <c r="L43" s="23">
        <f>135083048.56</f>
        <v>135083048.56</v>
      </c>
      <c r="M43" s="23">
        <f>77384262.84</f>
        <v>77384262.840000004</v>
      </c>
      <c r="N43" s="23">
        <f>15051089.85</f>
        <v>15051089.85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41679364.46</f>
        <v>41679364.460000001</v>
      </c>
      <c r="C44" s="24">
        <f>41679364.46</f>
        <v>41679364.460000001</v>
      </c>
      <c r="D44" s="24">
        <f>2593313.5</f>
        <v>2593313.5</v>
      </c>
      <c r="E44" s="24">
        <f>28880</f>
        <v>28880</v>
      </c>
      <c r="F44" s="24">
        <f>0</f>
        <v>0</v>
      </c>
      <c r="G44" s="24">
        <f>2564433.5</f>
        <v>2564433.5</v>
      </c>
      <c r="H44" s="24">
        <f>0</f>
        <v>0</v>
      </c>
      <c r="I44" s="24">
        <f>0</f>
        <v>0</v>
      </c>
      <c r="J44" s="24">
        <f>0</f>
        <v>0</v>
      </c>
      <c r="K44" s="24">
        <f>0</f>
        <v>0</v>
      </c>
      <c r="L44" s="24">
        <f>16083243.76</f>
        <v>16083243.76</v>
      </c>
      <c r="M44" s="24">
        <f>19039490.07</f>
        <v>19039490.07</v>
      </c>
      <c r="N44" s="24">
        <f>3963317.13</f>
        <v>3963317.13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301702629.26</f>
        <v>301702629.25999999</v>
      </c>
      <c r="C45" s="24">
        <f>301702629.26</f>
        <v>301702629.25999999</v>
      </c>
      <c r="D45" s="24">
        <f>113270278.97</f>
        <v>113270278.97</v>
      </c>
      <c r="E45" s="24">
        <f>0</f>
        <v>0</v>
      </c>
      <c r="F45" s="24">
        <f>0</f>
        <v>0</v>
      </c>
      <c r="G45" s="24">
        <f>113270278.97</f>
        <v>113270278.97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118999804.8</f>
        <v>118999804.8</v>
      </c>
      <c r="M45" s="24">
        <f>58344772.77</f>
        <v>58344772.770000003</v>
      </c>
      <c r="N45" s="24">
        <f>11087772.72</f>
        <v>11087772.720000001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9657329438.79</f>
        <v>9657329438.7900009</v>
      </c>
      <c r="C46" s="23">
        <f>9657329438.79</f>
        <v>9657329438.7900009</v>
      </c>
      <c r="D46" s="23">
        <f>3543810.79</f>
        <v>3543810.79</v>
      </c>
      <c r="E46" s="23">
        <f>88598.34</f>
        <v>88598.34</v>
      </c>
      <c r="F46" s="23">
        <f>25779.68</f>
        <v>25779.68</v>
      </c>
      <c r="G46" s="23">
        <f>3429432.77</f>
        <v>3429432.77</v>
      </c>
      <c r="H46" s="23">
        <f>0</f>
        <v>0</v>
      </c>
      <c r="I46" s="23">
        <f>2800362.23</f>
        <v>2800362.23</v>
      </c>
      <c r="J46" s="23">
        <f>9648783652.46</f>
        <v>9648783652.4599991</v>
      </c>
      <c r="K46" s="23">
        <f>57367.03</f>
        <v>57367.03</v>
      </c>
      <c r="L46" s="23">
        <f>2101841.71</f>
        <v>2101841.71</v>
      </c>
      <c r="M46" s="23">
        <f>41755.66</f>
        <v>41755.660000000003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3291726.69</f>
        <v>3291726.69</v>
      </c>
      <c r="C47" s="24">
        <f>3291726.69</f>
        <v>3291726.69</v>
      </c>
      <c r="D47" s="24">
        <f>3291726.69</f>
        <v>3291726.69</v>
      </c>
      <c r="E47" s="24">
        <f>0</f>
        <v>0</v>
      </c>
      <c r="F47" s="24">
        <f>0</f>
        <v>0</v>
      </c>
      <c r="G47" s="24">
        <f>3291726.69</f>
        <v>3291726.69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8002560246.5</f>
        <v>8002560246.5</v>
      </c>
      <c r="C48" s="24">
        <f>8002560246.5</f>
        <v>8002560246.5</v>
      </c>
      <c r="D48" s="24">
        <f>19294.84</f>
        <v>19294.84</v>
      </c>
      <c r="E48" s="24">
        <f>14000</f>
        <v>14000</v>
      </c>
      <c r="F48" s="24">
        <f>0</f>
        <v>0</v>
      </c>
      <c r="G48" s="24">
        <f>5294.84</f>
        <v>5294.84</v>
      </c>
      <c r="H48" s="24">
        <f>0</f>
        <v>0</v>
      </c>
      <c r="I48" s="24">
        <f>2716577.7</f>
        <v>2716577.7</v>
      </c>
      <c r="J48" s="24">
        <f>7998993334.99</f>
        <v>7998993334.9899998</v>
      </c>
      <c r="K48" s="24">
        <f>57367.03</f>
        <v>57367.03</v>
      </c>
      <c r="L48" s="24">
        <f>773671.94</f>
        <v>773671.94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1651477465.6</f>
        <v>1651477465.5999999</v>
      </c>
      <c r="C49" s="24">
        <f>1651477465.6</f>
        <v>1651477465.5999999</v>
      </c>
      <c r="D49" s="24">
        <f>232789.26</f>
        <v>232789.26</v>
      </c>
      <c r="E49" s="24">
        <f>74598.34</f>
        <v>74598.34</v>
      </c>
      <c r="F49" s="24">
        <f>25779.68</f>
        <v>25779.68</v>
      </c>
      <c r="G49" s="24">
        <f>132411.24</f>
        <v>132411.24</v>
      </c>
      <c r="H49" s="24">
        <f>0</f>
        <v>0</v>
      </c>
      <c r="I49" s="24">
        <f>83784.53</f>
        <v>83784.53</v>
      </c>
      <c r="J49" s="24">
        <f>1649790317.47</f>
        <v>1649790317.47</v>
      </c>
      <c r="K49" s="24">
        <f>0</f>
        <v>0</v>
      </c>
      <c r="L49" s="24">
        <f>1328169.77</f>
        <v>1328169.77</v>
      </c>
      <c r="M49" s="24">
        <f>41755.66</f>
        <v>41755.660000000003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12952799530.04</f>
        <v>12952799530.040001</v>
      </c>
      <c r="C50" s="23">
        <f>12899035727.91</f>
        <v>12899035727.91</v>
      </c>
      <c r="D50" s="23">
        <f>333522726.7</f>
        <v>333522726.69999999</v>
      </c>
      <c r="E50" s="23">
        <f>68506240</f>
        <v>68506240</v>
      </c>
      <c r="F50" s="23">
        <f>9759666.65</f>
        <v>9759666.6500000004</v>
      </c>
      <c r="G50" s="23">
        <f>254123349.88</f>
        <v>254123349.88</v>
      </c>
      <c r="H50" s="23">
        <f>1133470.17</f>
        <v>1133470.17</v>
      </c>
      <c r="I50" s="23">
        <f>0</f>
        <v>0</v>
      </c>
      <c r="J50" s="23">
        <f>582231.14</f>
        <v>582231.14</v>
      </c>
      <c r="K50" s="23">
        <f>10665989.1</f>
        <v>10665989.1</v>
      </c>
      <c r="L50" s="23">
        <f>2881104684.51</f>
        <v>2881104684.5100002</v>
      </c>
      <c r="M50" s="23">
        <f>9574779509.86</f>
        <v>9574779509.8600006</v>
      </c>
      <c r="N50" s="23">
        <f>98380586.6</f>
        <v>98380586.599999994</v>
      </c>
      <c r="O50" s="23">
        <f>53763802.13</f>
        <v>53763802.130000003</v>
      </c>
      <c r="P50" s="23">
        <f>10630841.3</f>
        <v>10630841.300000001</v>
      </c>
      <c r="Q50" s="23">
        <f>43132960.83</f>
        <v>43132960.829999998</v>
      </c>
    </row>
    <row r="51" spans="1:17" ht="26.25" customHeight="1" x14ac:dyDescent="0.2">
      <c r="A51" s="19" t="s">
        <v>37</v>
      </c>
      <c r="B51" s="24">
        <f>5410716901.75</f>
        <v>5410716901.75</v>
      </c>
      <c r="C51" s="24">
        <f>5378913968.92</f>
        <v>5378913968.9200001</v>
      </c>
      <c r="D51" s="24">
        <f>72412107.33</f>
        <v>72412107.329999998</v>
      </c>
      <c r="E51" s="24">
        <f>1631264.49</f>
        <v>1631264.49</v>
      </c>
      <c r="F51" s="24">
        <f>4529950.23</f>
        <v>4529950.2300000004</v>
      </c>
      <c r="G51" s="24">
        <f>65419705.86</f>
        <v>65419705.859999999</v>
      </c>
      <c r="H51" s="24">
        <f>831186.75</f>
        <v>831186.75</v>
      </c>
      <c r="I51" s="24">
        <f>0</f>
        <v>0</v>
      </c>
      <c r="J51" s="24">
        <f>58773.18</f>
        <v>58773.18</v>
      </c>
      <c r="K51" s="24">
        <f>603850.4</f>
        <v>603850.4</v>
      </c>
      <c r="L51" s="24">
        <f>815375962.14</f>
        <v>815375962.13999999</v>
      </c>
      <c r="M51" s="24">
        <f>4439315033.29</f>
        <v>4439315033.29</v>
      </c>
      <c r="N51" s="24">
        <f>51148242.58</f>
        <v>51148242.579999998</v>
      </c>
      <c r="O51" s="24">
        <f>31802932.83</f>
        <v>31802932.829999998</v>
      </c>
      <c r="P51" s="24">
        <f>750532.81</f>
        <v>750532.81</v>
      </c>
      <c r="Q51" s="24">
        <f>31052400.02</f>
        <v>31052400.02</v>
      </c>
    </row>
    <row r="52" spans="1:17" ht="26.25" customHeight="1" x14ac:dyDescent="0.2">
      <c r="A52" s="19" t="s">
        <v>38</v>
      </c>
      <c r="B52" s="24">
        <f>7542082628.29</f>
        <v>7542082628.29</v>
      </c>
      <c r="C52" s="24">
        <f>7520121758.99</f>
        <v>7520121758.9899998</v>
      </c>
      <c r="D52" s="24">
        <f>261110619.37</f>
        <v>261110619.37</v>
      </c>
      <c r="E52" s="24">
        <f>66874975.51</f>
        <v>66874975.509999998</v>
      </c>
      <c r="F52" s="24">
        <f>5229716.42</f>
        <v>5229716.42</v>
      </c>
      <c r="G52" s="24">
        <f>188703644.02</f>
        <v>188703644.02000001</v>
      </c>
      <c r="H52" s="24">
        <f>302283.42</f>
        <v>302283.42</v>
      </c>
      <c r="I52" s="24">
        <f>0</f>
        <v>0</v>
      </c>
      <c r="J52" s="24">
        <f>523457.96</f>
        <v>523457.96</v>
      </c>
      <c r="K52" s="24">
        <f>10062138.7</f>
        <v>10062138.699999999</v>
      </c>
      <c r="L52" s="24">
        <f>2065728722.37</f>
        <v>2065728722.3699999</v>
      </c>
      <c r="M52" s="24">
        <f>5135464476.57</f>
        <v>5135464476.5699997</v>
      </c>
      <c r="N52" s="24">
        <f>47232344.02</f>
        <v>47232344.020000003</v>
      </c>
      <c r="O52" s="24">
        <f>21960869.3</f>
        <v>21960869.300000001</v>
      </c>
      <c r="P52" s="24">
        <f>9880308.49</f>
        <v>9880308.4900000002</v>
      </c>
      <c r="Q52" s="24">
        <f>12080560.81</f>
        <v>12080560.810000001</v>
      </c>
    </row>
    <row r="53" spans="1:17" ht="26.25" customHeight="1" x14ac:dyDescent="0.2">
      <c r="A53" s="25" t="s">
        <v>46</v>
      </c>
      <c r="B53" s="23">
        <f>3741848122.43</f>
        <v>3741848122.4299998</v>
      </c>
      <c r="C53" s="23">
        <f>3739744778.01</f>
        <v>3739744778.0100002</v>
      </c>
      <c r="D53" s="23">
        <f>482400682.53</f>
        <v>482400682.52999997</v>
      </c>
      <c r="E53" s="23">
        <f>318125967.01</f>
        <v>318125967.00999999</v>
      </c>
      <c r="F53" s="23">
        <f>19640339.84</f>
        <v>19640339.84</v>
      </c>
      <c r="G53" s="23">
        <f>119923176.23</f>
        <v>119923176.23</v>
      </c>
      <c r="H53" s="23">
        <f>24711199.45</f>
        <v>24711199.449999999</v>
      </c>
      <c r="I53" s="23">
        <f>91356</f>
        <v>91356</v>
      </c>
      <c r="J53" s="23">
        <f>48357275.84</f>
        <v>48357275.840000004</v>
      </c>
      <c r="K53" s="23">
        <f>21264915.07</f>
        <v>21264915.07</v>
      </c>
      <c r="L53" s="23">
        <f>1738783238.27</f>
        <v>1738783238.27</v>
      </c>
      <c r="M53" s="23">
        <f>1213155583.22</f>
        <v>1213155583.22</v>
      </c>
      <c r="N53" s="23">
        <f>235691727.08</f>
        <v>235691727.08000001</v>
      </c>
      <c r="O53" s="23">
        <f>2103344.42</f>
        <v>2103344.42</v>
      </c>
      <c r="P53" s="23">
        <f>1028812.46</f>
        <v>1028812.46</v>
      </c>
      <c r="Q53" s="23">
        <f>1074531.96</f>
        <v>1074531.96</v>
      </c>
    </row>
    <row r="54" spans="1:17" ht="26.25" customHeight="1" x14ac:dyDescent="0.2">
      <c r="A54" s="19" t="s">
        <v>39</v>
      </c>
      <c r="B54" s="24">
        <f>739308295.06</f>
        <v>739308295.05999994</v>
      </c>
      <c r="C54" s="24">
        <f>738719788.2</f>
        <v>738719788.20000005</v>
      </c>
      <c r="D54" s="24">
        <f>55828495.76</f>
        <v>55828495.759999998</v>
      </c>
      <c r="E54" s="24">
        <f>18439625.04</f>
        <v>18439625.039999999</v>
      </c>
      <c r="F54" s="24">
        <f>848192.37</f>
        <v>848192.37</v>
      </c>
      <c r="G54" s="24">
        <f>28588624.49</f>
        <v>28588624.489999998</v>
      </c>
      <c r="H54" s="24">
        <f>7952053.86</f>
        <v>7952053.8600000003</v>
      </c>
      <c r="I54" s="24">
        <f>0</f>
        <v>0</v>
      </c>
      <c r="J54" s="24">
        <f>186272.69</f>
        <v>186272.69</v>
      </c>
      <c r="K54" s="24">
        <f>457304.83</f>
        <v>457304.83</v>
      </c>
      <c r="L54" s="24">
        <f>324246593.72</f>
        <v>324246593.72000003</v>
      </c>
      <c r="M54" s="24">
        <f>350635890.5</f>
        <v>350635890.5</v>
      </c>
      <c r="N54" s="24">
        <f>7365230.7</f>
        <v>7365230.7000000002</v>
      </c>
      <c r="O54" s="24">
        <f>588506.86</f>
        <v>588506.86</v>
      </c>
      <c r="P54" s="24">
        <f>25305.63</f>
        <v>25305.63</v>
      </c>
      <c r="Q54" s="24">
        <f>563201.23</f>
        <v>563201.23</v>
      </c>
    </row>
    <row r="55" spans="1:17" ht="36.75" customHeight="1" x14ac:dyDescent="0.2">
      <c r="A55" s="19" t="s">
        <v>40</v>
      </c>
      <c r="B55" s="24">
        <f>193991947.38</f>
        <v>193991947.38</v>
      </c>
      <c r="C55" s="24">
        <f>193987664.38</f>
        <v>193987664.38</v>
      </c>
      <c r="D55" s="24">
        <f>33603842.77</f>
        <v>33603842.770000003</v>
      </c>
      <c r="E55" s="24">
        <f>27399133.2</f>
        <v>27399133.199999999</v>
      </c>
      <c r="F55" s="24">
        <f>3620510.94</f>
        <v>3620510.94</v>
      </c>
      <c r="G55" s="24">
        <f>2099446.73</f>
        <v>2099446.73</v>
      </c>
      <c r="H55" s="24">
        <f>484751.9</f>
        <v>484751.9</v>
      </c>
      <c r="I55" s="24">
        <f>0</f>
        <v>0</v>
      </c>
      <c r="J55" s="24">
        <f>20</f>
        <v>20</v>
      </c>
      <c r="K55" s="24">
        <f>0</f>
        <v>0</v>
      </c>
      <c r="L55" s="24">
        <f>119085872.14</f>
        <v>119085872.14</v>
      </c>
      <c r="M55" s="24">
        <f>40284347.36</f>
        <v>40284347.359999999</v>
      </c>
      <c r="N55" s="24">
        <f>1013582.11</f>
        <v>1013582.11</v>
      </c>
      <c r="O55" s="24">
        <f>4283</f>
        <v>4283</v>
      </c>
      <c r="P55" s="24">
        <f>4283</f>
        <v>4283</v>
      </c>
      <c r="Q55" s="24">
        <f>0</f>
        <v>0</v>
      </c>
    </row>
    <row r="56" spans="1:17" ht="26.25" customHeight="1" x14ac:dyDescent="0.2">
      <c r="A56" s="19" t="s">
        <v>41</v>
      </c>
      <c r="B56" s="24">
        <f>2808547879.99</f>
        <v>2808547879.9899998</v>
      </c>
      <c r="C56" s="24">
        <f>2807037325.43</f>
        <v>2807037325.4299998</v>
      </c>
      <c r="D56" s="24">
        <f>392968344</f>
        <v>392968344</v>
      </c>
      <c r="E56" s="24">
        <f>272287208.77</f>
        <v>272287208.76999998</v>
      </c>
      <c r="F56" s="24">
        <f>15171636.53</f>
        <v>15171636.529999999</v>
      </c>
      <c r="G56" s="24">
        <f>89235105.01</f>
        <v>89235105.010000005</v>
      </c>
      <c r="H56" s="24">
        <f>16274393.69</f>
        <v>16274393.689999999</v>
      </c>
      <c r="I56" s="24">
        <f>91356</f>
        <v>91356</v>
      </c>
      <c r="J56" s="24">
        <f>48170983.15</f>
        <v>48170983.149999999</v>
      </c>
      <c r="K56" s="24">
        <f>20807610.24</f>
        <v>20807610.239999998</v>
      </c>
      <c r="L56" s="24">
        <f>1295450772.41</f>
        <v>1295450772.4100001</v>
      </c>
      <c r="M56" s="24">
        <f>822235345.36</f>
        <v>822235345.36000001</v>
      </c>
      <c r="N56" s="24">
        <f>227312914.27</f>
        <v>227312914.27000001</v>
      </c>
      <c r="O56" s="24">
        <f>1510554.56</f>
        <v>1510554.56</v>
      </c>
      <c r="P56" s="24">
        <f>999223.83</f>
        <v>999223.83</v>
      </c>
      <c r="Q56" s="24">
        <f>511330.73</f>
        <v>511330.73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IV Kwartały 2024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1611810640.01</f>
        <v>1611810640.01</v>
      </c>
      <c r="G76" s="22">
        <f>164604432.85</f>
        <v>164604432.84999999</v>
      </c>
      <c r="H76" s="22">
        <f>18513961</f>
        <v>18513961</v>
      </c>
      <c r="I76" s="22">
        <f>40041191.49</f>
        <v>40041191.490000002</v>
      </c>
      <c r="J76" s="22">
        <f>106049280.36</f>
        <v>106049280.36</v>
      </c>
      <c r="K76" s="22">
        <f>0</f>
        <v>0</v>
      </c>
      <c r="L76" s="22">
        <f>1447206207.16</f>
        <v>1447206207.1600001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22368000</f>
        <v>22368000</v>
      </c>
      <c r="G77" s="22">
        <f>22368000</f>
        <v>22368000</v>
      </c>
      <c r="H77" s="22">
        <f>0</f>
        <v>0</v>
      </c>
      <c r="I77" s="22">
        <f>22368000</f>
        <v>22368000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171832103.32</f>
        <v>171832103.31999999</v>
      </c>
      <c r="G78" s="22">
        <f>4622026</f>
        <v>4622026</v>
      </c>
      <c r="H78" s="22">
        <f>0</f>
        <v>0</v>
      </c>
      <c r="I78" s="22">
        <f>0</f>
        <v>0</v>
      </c>
      <c r="J78" s="22">
        <f>4622026</f>
        <v>4622026</v>
      </c>
      <c r="K78" s="22">
        <f>0</f>
        <v>0</v>
      </c>
      <c r="L78" s="22">
        <f>167210077.32</f>
        <v>167210077.31999999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33500023.08</f>
        <v>33500023.079999998</v>
      </c>
      <c r="G79" s="22">
        <f>32000023.08</f>
        <v>32000023.079999998</v>
      </c>
      <c r="H79" s="22">
        <f>0</f>
        <v>0</v>
      </c>
      <c r="I79" s="22">
        <f>0</f>
        <v>0</v>
      </c>
      <c r="J79" s="22">
        <f>32000023.08</f>
        <v>32000023.079999998</v>
      </c>
      <c r="K79" s="22">
        <f>0</f>
        <v>0</v>
      </c>
      <c r="L79" s="22">
        <f>1500000</f>
        <v>1500000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7541374.31</f>
        <v>7541374.3099999996</v>
      </c>
      <c r="G80" s="22">
        <f>7541374.31</f>
        <v>7541374.3099999996</v>
      </c>
      <c r="H80" s="22">
        <f>0</f>
        <v>0</v>
      </c>
      <c r="I80" s="22">
        <f>0</f>
        <v>0</v>
      </c>
      <c r="J80" s="22">
        <f>7541374.31</f>
        <v>7541374.3099999996</v>
      </c>
      <c r="K80" s="22">
        <f>0</f>
        <v>0</v>
      </c>
      <c r="L80" s="22">
        <f>0</f>
        <v>0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18408025.06</f>
        <v>18408025.059999999</v>
      </c>
      <c r="G81" s="22">
        <f>17158025.06</f>
        <v>17158025.059999999</v>
      </c>
      <c r="H81" s="22">
        <f>0</f>
        <v>0</v>
      </c>
      <c r="I81" s="22">
        <f>0</f>
        <v>0</v>
      </c>
      <c r="J81" s="22">
        <f>17158025.06</f>
        <v>17158025.059999999</v>
      </c>
      <c r="K81" s="22">
        <f>0</f>
        <v>0</v>
      </c>
      <c r="L81" s="22">
        <f>1250000</f>
        <v>1250000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791147.26</f>
        <v>791147.26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791147.26</f>
        <v>791147.26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IV Kwartały 2024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17</f>
        <v>17</v>
      </c>
      <c r="H88" s="60"/>
      <c r="I88" s="46">
        <f>1472645189.18</f>
        <v>1472645189.1800001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49</f>
        <v>49</v>
      </c>
      <c r="H89" s="64"/>
      <c r="I89" s="48">
        <f>-3607460511.82</f>
        <v>-3607460511.8200002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4</f>
        <v>4</v>
      </c>
      <c r="C93" s="8" t="str">
        <f>IF(B93=1,"I Kwartał",IF(B93=2,"II Kwartały",IF(B93=3,"III Kwartały",IF(B93=4,"IV Kwartały","-"))))</f>
        <v>IV Kwartały</v>
      </c>
    </row>
    <row r="94" spans="1:13" ht="13.5" customHeight="1" x14ac:dyDescent="0.2">
      <c r="A94" s="8" t="s">
        <v>10</v>
      </c>
      <c r="B94" s="8">
        <f>2024</f>
        <v>2024</v>
      </c>
      <c r="C94" s="9"/>
    </row>
    <row r="95" spans="1:13" ht="13.5" customHeight="1" x14ac:dyDescent="0.2">
      <c r="A95" s="8" t="s">
        <v>11</v>
      </c>
      <c r="B95" s="10" t="str">
        <f>"Mar 18 2025 12:00AM"</f>
        <v>Mar 18 2025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2025-03-28T13:57:44Z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2025-03-28T14:57:42.6294078+01:00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GRN-a482d5db-3b6f-4bfd-b7d8-3677fffcc91a</vt:lpwstr>
  </property>
  <property fmtid="{D5CDD505-2E9C-101B-9397-08002B2CF9AE}" pid="7" name="MFHash">
    <vt:lpwstr>kvJq7uPe/dBynTDxAAJVBwFeoVf0+Pu9E5leSUWCU5k=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