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GJVI\Pulpit\aaa PUBLIKACJA INFORMACJI ROCZNEJ\Do publikacji\"/>
    </mc:Choice>
  </mc:AlternateContent>
  <bookViews>
    <workbookView xWindow="0" yWindow="0" windowWidth="26550" windowHeight="11085" tabRatio="901"/>
  </bookViews>
  <sheets>
    <sheet name="1" sheetId="356" r:id="rId1"/>
    <sheet name="1cd" sheetId="297" r:id="rId2"/>
    <sheet name="2" sheetId="298" r:id="rId3"/>
    <sheet name="3" sheetId="291" r:id="rId4"/>
    <sheet name="4" sheetId="299" r:id="rId5"/>
    <sheet name="5" sheetId="17" r:id="rId6"/>
    <sheet name="6" sheetId="267" r:id="rId7"/>
    <sheet name="7" sheetId="19" r:id="rId8"/>
    <sheet name="8" sheetId="336" r:id="rId9"/>
    <sheet name="9" sheetId="290" r:id="rId10"/>
    <sheet name="10" sheetId="289" r:id="rId11"/>
    <sheet name="11" sheetId="288" r:id="rId12"/>
    <sheet name="12" sheetId="287" r:id="rId13"/>
    <sheet name="13" sheetId="300" r:id="rId14"/>
    <sheet name="14" sheetId="192" r:id="rId15"/>
    <sheet name="15" sheetId="338" r:id="rId16"/>
    <sheet name="16" sheetId="337" r:id="rId17"/>
    <sheet name="17" sheetId="301" r:id="rId18"/>
    <sheet name="17cd" sheetId="302" r:id="rId19"/>
    <sheet name="18" sheetId="303" r:id="rId20"/>
    <sheet name="18cd" sheetId="304" r:id="rId21"/>
    <sheet name="19" sheetId="305" r:id="rId22"/>
    <sheet name="19cd" sheetId="306" r:id="rId23"/>
    <sheet name="20" sheetId="307" r:id="rId24"/>
    <sheet name="20cd" sheetId="308" r:id="rId25"/>
    <sheet name="21" sheetId="309" r:id="rId26"/>
    <sheet name="22" sheetId="310" r:id="rId27"/>
    <sheet name="23" sheetId="292" r:id="rId28"/>
    <sheet name="24" sheetId="311" r:id="rId29"/>
    <sheet name="25" sheetId="341" r:id="rId30"/>
    <sheet name="26" sheetId="340" r:id="rId31"/>
    <sheet name="27" sheetId="339" r:id="rId32"/>
    <sheet name="28" sheetId="20" r:id="rId33"/>
    <sheet name="29" sheetId="270" r:id="rId34"/>
    <sheet name="30" sheetId="22" r:id="rId35"/>
    <sheet name="31" sheetId="271" r:id="rId36"/>
    <sheet name="32" sheetId="272" r:id="rId37"/>
    <sheet name="33" sheetId="273" r:id="rId38"/>
    <sheet name="34" sheetId="312" r:id="rId39"/>
    <sheet name="35" sheetId="313" r:id="rId40"/>
    <sheet name="36" sheetId="180" r:id="rId41"/>
    <sheet name="37" sheetId="188" r:id="rId42"/>
    <sheet name="38" sheetId="314" r:id="rId43"/>
    <sheet name="38cd" sheetId="315" r:id="rId44"/>
    <sheet name="39" sheetId="316" r:id="rId45"/>
    <sheet name="40" sheetId="293" r:id="rId46"/>
    <sheet name="41" sheetId="317" r:id="rId47"/>
    <sheet name="42" sheetId="318" r:id="rId48"/>
    <sheet name="43" sheetId="344" r:id="rId49"/>
    <sheet name="44" sheetId="343" r:id="rId50"/>
    <sheet name="45" sheetId="342" r:id="rId51"/>
    <sheet name="46" sheetId="13" r:id="rId52"/>
    <sheet name="47" sheetId="14" r:id="rId53"/>
    <sheet name="48" sheetId="15" r:id="rId54"/>
    <sheet name="49" sheetId="275" r:id="rId55"/>
    <sheet name="50" sheetId="276" r:id="rId56"/>
    <sheet name="51" sheetId="277" r:id="rId57"/>
    <sheet name="52" sheetId="182" r:id="rId58"/>
    <sheet name="53" sheetId="189" r:id="rId59"/>
    <sheet name="54" sheetId="319" r:id="rId60"/>
    <sheet name="55" sheetId="320" r:id="rId61"/>
    <sheet name="55cd" sheetId="321" r:id="rId62"/>
    <sheet name="56" sheetId="322" r:id="rId63"/>
    <sheet name="57" sheetId="294" r:id="rId64"/>
    <sheet name="58" sheetId="323" r:id="rId65"/>
    <sheet name="59" sheetId="324" r:id="rId66"/>
    <sheet name="60" sheetId="347" r:id="rId67"/>
    <sheet name="61" sheetId="346" r:id="rId68"/>
    <sheet name="62" sheetId="345" r:id="rId69"/>
    <sheet name="63" sheetId="23" r:id="rId70"/>
    <sheet name="64" sheetId="279" r:id="rId71"/>
    <sheet name="65" sheetId="25" r:id="rId72"/>
    <sheet name="66" sheetId="26" r:id="rId73"/>
    <sheet name="67" sheetId="27" r:id="rId74"/>
    <sheet name="68" sheetId="28" r:id="rId75"/>
    <sheet name="69" sheetId="280" r:id="rId76"/>
    <sheet name="70" sheetId="281" r:id="rId77"/>
    <sheet name="71" sheetId="282" r:id="rId78"/>
    <sheet name="72" sheetId="325" r:id="rId79"/>
    <sheet name="73" sheetId="184" r:id="rId80"/>
    <sheet name="74" sheetId="190" r:id="rId81"/>
    <sheet name="75" sheetId="326" r:id="rId82"/>
    <sheet name="75cd" sheetId="327" r:id="rId83"/>
    <sheet name="76" sheetId="328" r:id="rId84"/>
    <sheet name="77" sheetId="329" r:id="rId85"/>
    <sheet name="78" sheetId="295" r:id="rId86"/>
    <sheet name="79" sheetId="330" r:id="rId87"/>
    <sheet name="80" sheetId="350" r:id="rId88"/>
    <sheet name="81" sheetId="349" r:id="rId89"/>
    <sheet name="82" sheetId="348" r:id="rId90"/>
    <sheet name="83" sheetId="8" r:id="rId91"/>
    <sheet name="84" sheetId="9" r:id="rId92"/>
    <sheet name="85" sheetId="10" r:id="rId93"/>
    <sheet name="86" sheetId="284" r:id="rId94"/>
    <sheet name="87" sheetId="285" r:id="rId95"/>
    <sheet name="88" sheetId="286" r:id="rId96"/>
    <sheet name="89" sheetId="331" r:id="rId97"/>
    <sheet name="90" sheetId="186" r:id="rId98"/>
    <sheet name="91" sheetId="191" r:id="rId99"/>
    <sheet name="92" sheetId="332" r:id="rId100"/>
    <sheet name="92cd" sheetId="333" r:id="rId101"/>
    <sheet name="93" sheetId="334" r:id="rId102"/>
    <sheet name="93cd" sheetId="335" r:id="rId103"/>
    <sheet name="94" sheetId="352" r:id="rId104"/>
    <sheet name="95" sheetId="353" r:id="rId105"/>
    <sheet name="96" sheetId="354" r:id="rId106"/>
    <sheet name="97" sheetId="355" r:id="rId107"/>
  </sheets>
  <externalReferences>
    <externalReference r:id="rId108"/>
  </externalReferences>
  <definedNames>
    <definedName name="_xlnm.Database" localSheetId="14">#REF!</definedName>
    <definedName name="_xlnm.Database" localSheetId="3">#REF!</definedName>
    <definedName name="_xlnm.Database" localSheetId="41">#REF!</definedName>
    <definedName name="_xlnm.Database" localSheetId="45">#REF!</definedName>
    <definedName name="_xlnm.Database" localSheetId="58">#REF!</definedName>
    <definedName name="_xlnm.Database" localSheetId="63">#REF!</definedName>
    <definedName name="_xlnm.Database" localSheetId="65">#REF!</definedName>
    <definedName name="_xlnm.Database" localSheetId="80">#REF!</definedName>
    <definedName name="_xlnm.Database" localSheetId="98">#REF!</definedName>
    <definedName name="_xlnm.Database" localSheetId="103">'94'!#REF!</definedName>
    <definedName name="_xlnm.Database">#REF!</definedName>
    <definedName name="dokl_proc">[1]Metryka!$C$18</definedName>
    <definedName name="dokladnosc">[1]Metryka!$C$16</definedName>
    <definedName name="_xlnm.Print_Area" localSheetId="0">'1'!$A$1:$L$94</definedName>
    <definedName name="_xlnm.Print_Area" localSheetId="17">'17'!#REF!</definedName>
    <definedName name="_xlnm.Print_Area" localSheetId="19">'18'!$A$1:$L$96</definedName>
    <definedName name="_xlnm.Print_Area" localSheetId="21">'19'!#REF!</definedName>
    <definedName name="_xlnm.Print_Area" localSheetId="2">'2'!#REF!</definedName>
    <definedName name="_xlnm.Print_Area" localSheetId="26">'22'!#REF!</definedName>
    <definedName name="_xlnm.Print_Area" localSheetId="32">'28'!#REF!</definedName>
    <definedName name="_xlnm.Print_Area" localSheetId="34">'30'!#REF!</definedName>
    <definedName name="_xlnm.Print_Area" localSheetId="44">'39'!#REF!</definedName>
    <definedName name="_xlnm.Print_Area" localSheetId="45">'40'!$A$1:$G$22</definedName>
    <definedName name="_xlnm.Print_Area" localSheetId="51">'46'!#REF!</definedName>
    <definedName name="_xlnm.Print_Area" localSheetId="52">'47'!#REF!</definedName>
    <definedName name="_xlnm.Print_Area" localSheetId="53">'48'!#REF!</definedName>
    <definedName name="_xlnm.Print_Area" localSheetId="5">'5'!#REF!</definedName>
    <definedName name="_xlnm.Print_Area" localSheetId="62">'56'!#REF!</definedName>
    <definedName name="_xlnm.Print_Area" localSheetId="65">'59'!#REF!</definedName>
    <definedName name="_xlnm.Print_Area" localSheetId="6">'6'!#REF!</definedName>
    <definedName name="_xlnm.Print_Area" localSheetId="69">'63'!#REF!</definedName>
    <definedName name="_xlnm.Print_Area" localSheetId="70">'64'!#REF!</definedName>
    <definedName name="_xlnm.Print_Area" localSheetId="71">'65'!#REF!</definedName>
    <definedName name="_xlnm.Print_Area" localSheetId="72">'66'!#REF!</definedName>
    <definedName name="_xlnm.Print_Area" localSheetId="73">'67'!#REF!</definedName>
    <definedName name="_xlnm.Print_Area" localSheetId="74">'68'!#REF!</definedName>
    <definedName name="_xlnm.Print_Area" localSheetId="7">'7'!#REF!</definedName>
    <definedName name="_xlnm.Print_Area" localSheetId="83">'76'!#REF!</definedName>
    <definedName name="_xlnm.Print_Area" localSheetId="90">'83'!#REF!</definedName>
    <definedName name="_xlnm.Print_Area" localSheetId="91">'84'!#REF!</definedName>
    <definedName name="_xlnm.Print_Area" localSheetId="92">'85'!#REF!</definedName>
    <definedName name="_xlnm.Print_Area" localSheetId="104">'95'!$A$1:$G$26</definedName>
    <definedName name="_xlnm.Print_Area" localSheetId="106">'97'!#REF!</definedName>
    <definedName name="skaluj">[1]Metryka!$C$17</definedName>
    <definedName name="_xlnm.Print_Titles" localSheetId="38">'34'!$3:$8</definedName>
    <definedName name="_xlnm.Print_Titles" localSheetId="39">'35'!$3:$8</definedName>
    <definedName name="_xlnm.Print_Titles" localSheetId="47">'42'!$3:$6</definedName>
    <definedName name="_xlnm.Print_Titles" localSheetId="48">'43'!$1:$7</definedName>
    <definedName name="_xlnm.Print_Titles" localSheetId="49">'44'!$2:$7</definedName>
    <definedName name="_xlnm.Print_Titles" localSheetId="57">'52'!$4:$8</definedName>
    <definedName name="_xlnm.Print_Titles" localSheetId="65">'59'!$3:$6</definedName>
    <definedName name="_xlnm.Print_Titles" localSheetId="66">'60'!$1:$7</definedName>
    <definedName name="_xlnm.Print_Titles" localSheetId="67">'61'!$2:$7</definedName>
    <definedName name="_xlnm.Print_Titles" localSheetId="76">'70'!$3:$6</definedName>
    <definedName name="_xlnm.Print_Titles" localSheetId="78">'72'!$3:$8</definedName>
    <definedName name="_xlnm.Print_Titles" localSheetId="79">'73'!$3:$7</definedName>
    <definedName name="_xlnm.Print_Titles" localSheetId="96">'89'!$3:$8</definedName>
    <definedName name="_xlnm.Print_Titles" localSheetId="103">'94'!$3:$5</definedName>
    <definedName name="_xlnm.Print_Titles" localSheetId="104">'95'!#REF!</definedName>
    <definedName name="XXX" localSheetId="14">#REF!</definedName>
    <definedName name="XXX" localSheetId="3">#REF!</definedName>
    <definedName name="XXX" localSheetId="41">#REF!</definedName>
    <definedName name="XXX" localSheetId="45">#REF!</definedName>
    <definedName name="XXX" localSheetId="58">#REF!</definedName>
    <definedName name="XXX" localSheetId="63">#REF!</definedName>
    <definedName name="XXX" localSheetId="65">#REF!</definedName>
    <definedName name="XXX" localSheetId="80">#REF!</definedName>
    <definedName name="XXX" localSheetId="98">#REF!</definedName>
    <definedName name="XXX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G8" i="349" l="1"/>
  <c r="F8" i="349"/>
  <c r="D8" i="349"/>
  <c r="E8" i="349"/>
  <c r="C8" i="349"/>
  <c r="G24" i="349"/>
  <c r="F24" i="349"/>
  <c r="G23" i="349"/>
  <c r="F23" i="349"/>
  <c r="G22" i="349"/>
  <c r="F22" i="349"/>
  <c r="G21" i="349"/>
  <c r="F21" i="349"/>
  <c r="G20" i="349"/>
  <c r="F20" i="349"/>
  <c r="G19" i="349"/>
  <c r="F19" i="349"/>
  <c r="G18" i="349"/>
  <c r="F18" i="349"/>
  <c r="G17" i="349"/>
  <c r="F17" i="349"/>
  <c r="G16" i="349"/>
  <c r="F16" i="349"/>
  <c r="G15" i="349"/>
  <c r="F15" i="349"/>
  <c r="G14" i="349"/>
  <c r="F14" i="349"/>
  <c r="G13" i="349"/>
  <c r="F13" i="349"/>
  <c r="G12" i="349"/>
  <c r="F12" i="349"/>
  <c r="G11" i="349"/>
  <c r="F11" i="349"/>
  <c r="G10" i="349"/>
  <c r="F10" i="349"/>
  <c r="G9" i="349"/>
  <c r="F9" i="349"/>
  <c r="E8" i="346"/>
  <c r="G8" i="346" s="1"/>
  <c r="F8" i="346"/>
  <c r="H8" i="346" s="1"/>
  <c r="D8" i="346"/>
  <c r="H74" i="346"/>
  <c r="G74" i="346"/>
  <c r="H73" i="346"/>
  <c r="G73" i="346"/>
  <c r="H72" i="346"/>
  <c r="G72" i="346"/>
  <c r="H71" i="346"/>
  <c r="G71" i="346"/>
  <c r="H70" i="346"/>
  <c r="G70" i="346"/>
  <c r="H69" i="346"/>
  <c r="G69" i="346"/>
  <c r="H68" i="346"/>
  <c r="G68" i="346"/>
  <c r="H67" i="346"/>
  <c r="G67" i="346"/>
  <c r="H66" i="346"/>
  <c r="G66" i="346"/>
  <c r="H65" i="346"/>
  <c r="G65" i="346"/>
  <c r="H64" i="346"/>
  <c r="G64" i="346"/>
  <c r="H63" i="346"/>
  <c r="G63" i="346"/>
  <c r="H62" i="346"/>
  <c r="G62" i="346"/>
  <c r="H61" i="346"/>
  <c r="G61" i="346"/>
  <c r="H60" i="346"/>
  <c r="G60" i="346"/>
  <c r="H59" i="346"/>
  <c r="G59" i="346"/>
  <c r="H58" i="346"/>
  <c r="G58" i="346"/>
  <c r="H57" i="346"/>
  <c r="G57" i="346"/>
  <c r="H56" i="346"/>
  <c r="G56" i="346"/>
  <c r="H55" i="346"/>
  <c r="G55" i="346"/>
  <c r="H54" i="346"/>
  <c r="G54" i="346"/>
  <c r="H53" i="346"/>
  <c r="G53" i="346"/>
  <c r="H52" i="346"/>
  <c r="G52" i="346"/>
  <c r="H51" i="346"/>
  <c r="G51" i="346"/>
  <c r="H50" i="346"/>
  <c r="G50" i="346"/>
  <c r="H49" i="346"/>
  <c r="G49" i="346"/>
  <c r="H48" i="346"/>
  <c r="G48" i="346"/>
  <c r="H47" i="346"/>
  <c r="G47" i="346"/>
  <c r="H46" i="346"/>
  <c r="G46" i="346"/>
  <c r="H45" i="346"/>
  <c r="G45" i="346"/>
  <c r="H44" i="346"/>
  <c r="G44" i="346"/>
  <c r="H43" i="346"/>
  <c r="G43" i="346"/>
  <c r="H42" i="346"/>
  <c r="G42" i="346"/>
  <c r="H41" i="346"/>
  <c r="G41" i="346"/>
  <c r="H40" i="346"/>
  <c r="G40" i="346"/>
  <c r="H39" i="346"/>
  <c r="G39" i="346"/>
  <c r="H38" i="346"/>
  <c r="G38" i="346"/>
  <c r="H37" i="346"/>
  <c r="G37" i="346"/>
  <c r="H36" i="346"/>
  <c r="G36" i="346"/>
  <c r="H35" i="346"/>
  <c r="G35" i="346"/>
  <c r="H34" i="346"/>
  <c r="G34" i="346"/>
  <c r="H33" i="346"/>
  <c r="G33" i="346"/>
  <c r="H32" i="346"/>
  <c r="G32" i="346"/>
  <c r="H31" i="346"/>
  <c r="G31" i="346"/>
  <c r="H30" i="346"/>
  <c r="G30" i="346"/>
  <c r="H29" i="346"/>
  <c r="G29" i="346"/>
  <c r="H28" i="346"/>
  <c r="G28" i="346"/>
  <c r="H27" i="346"/>
  <c r="G27" i="346"/>
  <c r="H26" i="346"/>
  <c r="G26" i="346"/>
  <c r="H25" i="346"/>
  <c r="G25" i="346"/>
  <c r="H24" i="346"/>
  <c r="G24" i="346"/>
  <c r="H23" i="346"/>
  <c r="G23" i="346"/>
  <c r="H22" i="346"/>
  <c r="G22" i="346"/>
  <c r="H21" i="346"/>
  <c r="G21" i="346"/>
  <c r="H20" i="346"/>
  <c r="G20" i="346"/>
  <c r="H19" i="346"/>
  <c r="G19" i="346"/>
  <c r="H18" i="346"/>
  <c r="G18" i="346"/>
  <c r="H17" i="346"/>
  <c r="G17" i="346"/>
  <c r="H16" i="346"/>
  <c r="G16" i="346"/>
  <c r="H15" i="346"/>
  <c r="G15" i="346"/>
  <c r="H14" i="346"/>
  <c r="G14" i="346"/>
  <c r="H13" i="346"/>
  <c r="G13" i="346"/>
  <c r="H12" i="346"/>
  <c r="G12" i="346"/>
  <c r="H11" i="346"/>
  <c r="G11" i="346"/>
  <c r="H10" i="346"/>
  <c r="G10" i="346"/>
  <c r="H9" i="346"/>
  <c r="G9" i="346"/>
  <c r="G8" i="343"/>
  <c r="E8" i="343"/>
  <c r="F8" i="343"/>
  <c r="H8" i="343" s="1"/>
  <c r="D8" i="343"/>
  <c r="H322" i="343"/>
  <c r="G322" i="343"/>
  <c r="H321" i="343"/>
  <c r="G321" i="343"/>
  <c r="H320" i="343"/>
  <c r="G320" i="343"/>
  <c r="H319" i="343"/>
  <c r="G319" i="343"/>
  <c r="H318" i="343"/>
  <c r="G318" i="343"/>
  <c r="H317" i="343"/>
  <c r="G317" i="343"/>
  <c r="H316" i="343"/>
  <c r="G316" i="343"/>
  <c r="H315" i="343"/>
  <c r="G315" i="343"/>
  <c r="H314" i="343"/>
  <c r="G314" i="343"/>
  <c r="H313" i="343"/>
  <c r="G313" i="343"/>
  <c r="H312" i="343"/>
  <c r="G312" i="343"/>
  <c r="H311" i="343"/>
  <c r="G311" i="343"/>
  <c r="H310" i="343"/>
  <c r="G310" i="343"/>
  <c r="H309" i="343"/>
  <c r="G309" i="343"/>
  <c r="H308" i="343"/>
  <c r="G308" i="343"/>
  <c r="H307" i="343"/>
  <c r="G307" i="343"/>
  <c r="H306" i="343"/>
  <c r="G306" i="343"/>
  <c r="H305" i="343"/>
  <c r="G305" i="343"/>
  <c r="H304" i="343"/>
  <c r="G304" i="343"/>
  <c r="H303" i="343"/>
  <c r="G303" i="343"/>
  <c r="H302" i="343"/>
  <c r="G302" i="343"/>
  <c r="H301" i="343"/>
  <c r="G301" i="343"/>
  <c r="H300" i="343"/>
  <c r="G300" i="343"/>
  <c r="H299" i="343"/>
  <c r="G299" i="343"/>
  <c r="H298" i="343"/>
  <c r="G298" i="343"/>
  <c r="H297" i="343"/>
  <c r="G297" i="343"/>
  <c r="H296" i="343"/>
  <c r="G296" i="343"/>
  <c r="H295" i="343"/>
  <c r="G295" i="343"/>
  <c r="H294" i="343"/>
  <c r="G294" i="343"/>
  <c r="H293" i="343"/>
  <c r="G293" i="343"/>
  <c r="H292" i="343"/>
  <c r="G292" i="343"/>
  <c r="H291" i="343"/>
  <c r="G291" i="343"/>
  <c r="H290" i="343"/>
  <c r="G290" i="343"/>
  <c r="H289" i="343"/>
  <c r="G289" i="343"/>
  <c r="H288" i="343"/>
  <c r="G288" i="343"/>
  <c r="H287" i="343"/>
  <c r="G287" i="343"/>
  <c r="H286" i="343"/>
  <c r="G286" i="343"/>
  <c r="H285" i="343"/>
  <c r="G285" i="343"/>
  <c r="H284" i="343"/>
  <c r="G284" i="343"/>
  <c r="H283" i="343"/>
  <c r="G283" i="343"/>
  <c r="H282" i="343"/>
  <c r="G282" i="343"/>
  <c r="H281" i="343"/>
  <c r="G281" i="343"/>
  <c r="H280" i="343"/>
  <c r="G280" i="343"/>
  <c r="H279" i="343"/>
  <c r="G279" i="343"/>
  <c r="H278" i="343"/>
  <c r="G278" i="343"/>
  <c r="H277" i="343"/>
  <c r="G277" i="343"/>
  <c r="H276" i="343"/>
  <c r="G276" i="343"/>
  <c r="H275" i="343"/>
  <c r="G275" i="343"/>
  <c r="H274" i="343"/>
  <c r="G274" i="343"/>
  <c r="H273" i="343"/>
  <c r="G273" i="343"/>
  <c r="H272" i="343"/>
  <c r="G272" i="343"/>
  <c r="H271" i="343"/>
  <c r="G271" i="343"/>
  <c r="H270" i="343"/>
  <c r="G270" i="343"/>
  <c r="H269" i="343"/>
  <c r="G269" i="343"/>
  <c r="H268" i="343"/>
  <c r="G268" i="343"/>
  <c r="H267" i="343"/>
  <c r="G267" i="343"/>
  <c r="H266" i="343"/>
  <c r="G266" i="343"/>
  <c r="H265" i="343"/>
  <c r="G265" i="343"/>
  <c r="H264" i="343"/>
  <c r="G264" i="343"/>
  <c r="H263" i="343"/>
  <c r="G263" i="343"/>
  <c r="H262" i="343"/>
  <c r="G262" i="343"/>
  <c r="H261" i="343"/>
  <c r="G261" i="343"/>
  <c r="H260" i="343"/>
  <c r="G260" i="343"/>
  <c r="H259" i="343"/>
  <c r="G259" i="343"/>
  <c r="H258" i="343"/>
  <c r="G258" i="343"/>
  <c r="H257" i="343"/>
  <c r="G257" i="343"/>
  <c r="H256" i="343"/>
  <c r="G256" i="343"/>
  <c r="H255" i="343"/>
  <c r="G255" i="343"/>
  <c r="H254" i="343"/>
  <c r="G254" i="343"/>
  <c r="H253" i="343"/>
  <c r="G253" i="343"/>
  <c r="H252" i="343"/>
  <c r="G252" i="343"/>
  <c r="H251" i="343"/>
  <c r="G251" i="343"/>
  <c r="H250" i="343"/>
  <c r="G250" i="343"/>
  <c r="H249" i="343"/>
  <c r="G249" i="343"/>
  <c r="H248" i="343"/>
  <c r="G248" i="343"/>
  <c r="H247" i="343"/>
  <c r="G247" i="343"/>
  <c r="H246" i="343"/>
  <c r="G246" i="343"/>
  <c r="H245" i="343"/>
  <c r="G245" i="343"/>
  <c r="H244" i="343"/>
  <c r="G244" i="343"/>
  <c r="H243" i="343"/>
  <c r="G243" i="343"/>
  <c r="H242" i="343"/>
  <c r="G242" i="343"/>
  <c r="H241" i="343"/>
  <c r="G241" i="343"/>
  <c r="H240" i="343"/>
  <c r="G240" i="343"/>
  <c r="H239" i="343"/>
  <c r="G239" i="343"/>
  <c r="H238" i="343"/>
  <c r="G238" i="343"/>
  <c r="H237" i="343"/>
  <c r="G237" i="343"/>
  <c r="H236" i="343"/>
  <c r="G236" i="343"/>
  <c r="H235" i="343"/>
  <c r="G235" i="343"/>
  <c r="H234" i="343"/>
  <c r="G234" i="343"/>
  <c r="H233" i="343"/>
  <c r="G233" i="343"/>
  <c r="H232" i="343"/>
  <c r="G232" i="343"/>
  <c r="H231" i="343"/>
  <c r="G231" i="343"/>
  <c r="H230" i="343"/>
  <c r="G230" i="343"/>
  <c r="H229" i="343"/>
  <c r="G229" i="343"/>
  <c r="H228" i="343"/>
  <c r="G228" i="343"/>
  <c r="H227" i="343"/>
  <c r="G227" i="343"/>
  <c r="H226" i="343"/>
  <c r="G226" i="343"/>
  <c r="H225" i="343"/>
  <c r="G225" i="343"/>
  <c r="H224" i="343"/>
  <c r="G224" i="343"/>
  <c r="H223" i="343"/>
  <c r="G223" i="343"/>
  <c r="H222" i="343"/>
  <c r="G222" i="343"/>
  <c r="H221" i="343"/>
  <c r="G221" i="343"/>
  <c r="H220" i="343"/>
  <c r="G220" i="343"/>
  <c r="H219" i="343"/>
  <c r="G219" i="343"/>
  <c r="H218" i="343"/>
  <c r="G218" i="343"/>
  <c r="H217" i="343"/>
  <c r="G217" i="343"/>
  <c r="H216" i="343"/>
  <c r="G216" i="343"/>
  <c r="H215" i="343"/>
  <c r="G215" i="343"/>
  <c r="H214" i="343"/>
  <c r="G214" i="343"/>
  <c r="H213" i="343"/>
  <c r="G213" i="343"/>
  <c r="H212" i="343"/>
  <c r="G212" i="343"/>
  <c r="H211" i="343"/>
  <c r="G211" i="343"/>
  <c r="H210" i="343"/>
  <c r="G210" i="343"/>
  <c r="H209" i="343"/>
  <c r="G209" i="343"/>
  <c r="H208" i="343"/>
  <c r="G208" i="343"/>
  <c r="H207" i="343"/>
  <c r="G207" i="343"/>
  <c r="H206" i="343"/>
  <c r="G206" i="343"/>
  <c r="H205" i="343"/>
  <c r="G205" i="343"/>
  <c r="H204" i="343"/>
  <c r="G204" i="343"/>
  <c r="H203" i="343"/>
  <c r="G203" i="343"/>
  <c r="H202" i="343"/>
  <c r="G202" i="343"/>
  <c r="H201" i="343"/>
  <c r="G201" i="343"/>
  <c r="H200" i="343"/>
  <c r="G200" i="343"/>
  <c r="H199" i="343"/>
  <c r="G199" i="343"/>
  <c r="H198" i="343"/>
  <c r="G198" i="343"/>
  <c r="H197" i="343"/>
  <c r="G197" i="343"/>
  <c r="H196" i="343"/>
  <c r="G196" i="343"/>
  <c r="H195" i="343"/>
  <c r="G195" i="343"/>
  <c r="H194" i="343"/>
  <c r="G194" i="343"/>
  <c r="H193" i="343"/>
  <c r="G193" i="343"/>
  <c r="H192" i="343"/>
  <c r="G192" i="343"/>
  <c r="H191" i="343"/>
  <c r="G191" i="343"/>
  <c r="H190" i="343"/>
  <c r="G190" i="343"/>
  <c r="H189" i="343"/>
  <c r="G189" i="343"/>
  <c r="H188" i="343"/>
  <c r="G188" i="343"/>
  <c r="H187" i="343"/>
  <c r="G187" i="343"/>
  <c r="H186" i="343"/>
  <c r="G186" i="343"/>
  <c r="H185" i="343"/>
  <c r="G185" i="343"/>
  <c r="H184" i="343"/>
  <c r="G184" i="343"/>
  <c r="H183" i="343"/>
  <c r="G183" i="343"/>
  <c r="H182" i="343"/>
  <c r="G182" i="343"/>
  <c r="H181" i="343"/>
  <c r="G181" i="343"/>
  <c r="H180" i="343"/>
  <c r="G180" i="343"/>
  <c r="H179" i="343"/>
  <c r="G179" i="343"/>
  <c r="H178" i="343"/>
  <c r="G178" i="343"/>
  <c r="H177" i="343"/>
  <c r="G177" i="343"/>
  <c r="H176" i="343"/>
  <c r="G176" i="343"/>
  <c r="H175" i="343"/>
  <c r="G175" i="343"/>
  <c r="H174" i="343"/>
  <c r="G174" i="343"/>
  <c r="H173" i="343"/>
  <c r="G173" i="343"/>
  <c r="H172" i="343"/>
  <c r="G172" i="343"/>
  <c r="H171" i="343"/>
  <c r="G171" i="343"/>
  <c r="H170" i="343"/>
  <c r="G170" i="343"/>
  <c r="H169" i="343"/>
  <c r="G169" i="343"/>
  <c r="H168" i="343"/>
  <c r="G168" i="343"/>
  <c r="H167" i="343"/>
  <c r="G167" i="343"/>
  <c r="H166" i="343"/>
  <c r="G166" i="343"/>
  <c r="H165" i="343"/>
  <c r="G165" i="343"/>
  <c r="H164" i="343"/>
  <c r="G164" i="343"/>
  <c r="H163" i="343"/>
  <c r="G163" i="343"/>
  <c r="H162" i="343"/>
  <c r="G162" i="343"/>
  <c r="H161" i="343"/>
  <c r="G161" i="343"/>
  <c r="H160" i="343"/>
  <c r="G160" i="343"/>
  <c r="H159" i="343"/>
  <c r="G159" i="343"/>
  <c r="H158" i="343"/>
  <c r="G158" i="343"/>
  <c r="H157" i="343"/>
  <c r="G157" i="343"/>
  <c r="H156" i="343"/>
  <c r="G156" i="343"/>
  <c r="H155" i="343"/>
  <c r="G155" i="343"/>
  <c r="H154" i="343"/>
  <c r="G154" i="343"/>
  <c r="H153" i="343"/>
  <c r="G153" i="343"/>
  <c r="H152" i="343"/>
  <c r="G152" i="343"/>
  <c r="H151" i="343"/>
  <c r="G151" i="343"/>
  <c r="H150" i="343"/>
  <c r="G150" i="343"/>
  <c r="H149" i="343"/>
  <c r="G149" i="343"/>
  <c r="H148" i="343"/>
  <c r="G148" i="343"/>
  <c r="H147" i="343"/>
  <c r="G147" i="343"/>
  <c r="H146" i="343"/>
  <c r="G146" i="343"/>
  <c r="H145" i="343"/>
  <c r="G145" i="343"/>
  <c r="H144" i="343"/>
  <c r="G144" i="343"/>
  <c r="H143" i="343"/>
  <c r="G143" i="343"/>
  <c r="H142" i="343"/>
  <c r="G142" i="343"/>
  <c r="H141" i="343"/>
  <c r="G141" i="343"/>
  <c r="H140" i="343"/>
  <c r="G140" i="343"/>
  <c r="H139" i="343"/>
  <c r="G139" i="343"/>
  <c r="H138" i="343"/>
  <c r="G138" i="343"/>
  <c r="H137" i="343"/>
  <c r="G137" i="343"/>
  <c r="H136" i="343"/>
  <c r="G136" i="343"/>
  <c r="H135" i="343"/>
  <c r="G135" i="343"/>
  <c r="H134" i="343"/>
  <c r="G134" i="343"/>
  <c r="H133" i="343"/>
  <c r="G133" i="343"/>
  <c r="H132" i="343"/>
  <c r="G132" i="343"/>
  <c r="H131" i="343"/>
  <c r="G131" i="343"/>
  <c r="H130" i="343"/>
  <c r="G130" i="343"/>
  <c r="H129" i="343"/>
  <c r="G129" i="343"/>
  <c r="H128" i="343"/>
  <c r="G128" i="343"/>
  <c r="H127" i="343"/>
  <c r="G127" i="343"/>
  <c r="H126" i="343"/>
  <c r="G126" i="343"/>
  <c r="H125" i="343"/>
  <c r="G125" i="343"/>
  <c r="H124" i="343"/>
  <c r="G124" i="343"/>
  <c r="H123" i="343"/>
  <c r="G123" i="343"/>
  <c r="H122" i="343"/>
  <c r="G122" i="343"/>
  <c r="H121" i="343"/>
  <c r="G121" i="343"/>
  <c r="H120" i="343"/>
  <c r="G120" i="343"/>
  <c r="H119" i="343"/>
  <c r="G119" i="343"/>
  <c r="H118" i="343"/>
  <c r="G118" i="343"/>
  <c r="H117" i="343"/>
  <c r="G117" i="343"/>
  <c r="H116" i="343"/>
  <c r="G116" i="343"/>
  <c r="H115" i="343"/>
  <c r="G115" i="343"/>
  <c r="H114" i="343"/>
  <c r="G114" i="343"/>
  <c r="H113" i="343"/>
  <c r="G113" i="343"/>
  <c r="H112" i="343"/>
  <c r="G112" i="343"/>
  <c r="H111" i="343"/>
  <c r="G111" i="343"/>
  <c r="H110" i="343"/>
  <c r="G110" i="343"/>
  <c r="H109" i="343"/>
  <c r="G109" i="343"/>
  <c r="H108" i="343"/>
  <c r="G108" i="343"/>
  <c r="H107" i="343"/>
  <c r="G107" i="343"/>
  <c r="H106" i="343"/>
  <c r="G106" i="343"/>
  <c r="H105" i="343"/>
  <c r="G105" i="343"/>
  <c r="H104" i="343"/>
  <c r="G104" i="343"/>
  <c r="H103" i="343"/>
  <c r="G103" i="343"/>
  <c r="H102" i="343"/>
  <c r="G102" i="343"/>
  <c r="H101" i="343"/>
  <c r="G101" i="343"/>
  <c r="H100" i="343"/>
  <c r="G100" i="343"/>
  <c r="H99" i="343"/>
  <c r="G99" i="343"/>
  <c r="H98" i="343"/>
  <c r="G98" i="343"/>
  <c r="H97" i="343"/>
  <c r="G97" i="343"/>
  <c r="H96" i="343"/>
  <c r="G96" i="343"/>
  <c r="H95" i="343"/>
  <c r="G95" i="343"/>
  <c r="H94" i="343"/>
  <c r="G94" i="343"/>
  <c r="H93" i="343"/>
  <c r="G93" i="343"/>
  <c r="H92" i="343"/>
  <c r="G92" i="343"/>
  <c r="H91" i="343"/>
  <c r="G91" i="343"/>
  <c r="H90" i="343"/>
  <c r="G90" i="343"/>
  <c r="H89" i="343"/>
  <c r="G89" i="343"/>
  <c r="H88" i="343"/>
  <c r="G88" i="343"/>
  <c r="H87" i="343"/>
  <c r="G87" i="343"/>
  <c r="H86" i="343"/>
  <c r="G86" i="343"/>
  <c r="H85" i="343"/>
  <c r="G85" i="343"/>
  <c r="H84" i="343"/>
  <c r="G84" i="343"/>
  <c r="H83" i="343"/>
  <c r="G83" i="343"/>
  <c r="H82" i="343"/>
  <c r="G82" i="343"/>
  <c r="H81" i="343"/>
  <c r="G81" i="343"/>
  <c r="H80" i="343"/>
  <c r="G80" i="343"/>
  <c r="H79" i="343"/>
  <c r="G79" i="343"/>
  <c r="H78" i="343"/>
  <c r="G78" i="343"/>
  <c r="H77" i="343"/>
  <c r="G77" i="343"/>
  <c r="H76" i="343"/>
  <c r="G76" i="343"/>
  <c r="H75" i="343"/>
  <c r="G75" i="343"/>
  <c r="H74" i="343"/>
  <c r="G74" i="343"/>
  <c r="H73" i="343"/>
  <c r="G73" i="343"/>
  <c r="H72" i="343"/>
  <c r="G72" i="343"/>
  <c r="H71" i="343"/>
  <c r="G71" i="343"/>
  <c r="H70" i="343"/>
  <c r="G70" i="343"/>
  <c r="H69" i="343"/>
  <c r="G69" i="343"/>
  <c r="H68" i="343"/>
  <c r="G68" i="343"/>
  <c r="H67" i="343"/>
  <c r="G67" i="343"/>
  <c r="H66" i="343"/>
  <c r="G66" i="343"/>
  <c r="H65" i="343"/>
  <c r="G65" i="343"/>
  <c r="H64" i="343"/>
  <c r="G64" i="343"/>
  <c r="H63" i="343"/>
  <c r="G63" i="343"/>
  <c r="H62" i="343"/>
  <c r="G62" i="343"/>
  <c r="H61" i="343"/>
  <c r="G61" i="343"/>
  <c r="H60" i="343"/>
  <c r="G60" i="343"/>
  <c r="H59" i="343"/>
  <c r="G59" i="343"/>
  <c r="H58" i="343"/>
  <c r="G58" i="343"/>
  <c r="H57" i="343"/>
  <c r="G57" i="343"/>
  <c r="H56" i="343"/>
  <c r="G56" i="343"/>
  <c r="H55" i="343"/>
  <c r="G55" i="343"/>
  <c r="H54" i="343"/>
  <c r="G54" i="343"/>
  <c r="H53" i="343"/>
  <c r="G53" i="343"/>
  <c r="H52" i="343"/>
  <c r="G52" i="343"/>
  <c r="H51" i="343"/>
  <c r="G51" i="343"/>
  <c r="H50" i="343"/>
  <c r="G50" i="343"/>
  <c r="H49" i="343"/>
  <c r="G49" i="343"/>
  <c r="H48" i="343"/>
  <c r="G48" i="343"/>
  <c r="H47" i="343"/>
  <c r="G47" i="343"/>
  <c r="H46" i="343"/>
  <c r="G46" i="343"/>
  <c r="H45" i="343"/>
  <c r="G45" i="343"/>
  <c r="H44" i="343"/>
  <c r="G44" i="343"/>
  <c r="H43" i="343"/>
  <c r="G43" i="343"/>
  <c r="H42" i="343"/>
  <c r="G42" i="343"/>
  <c r="H41" i="343"/>
  <c r="G41" i="343"/>
  <c r="H40" i="343"/>
  <c r="G40" i="343"/>
  <c r="H39" i="343"/>
  <c r="G39" i="343"/>
  <c r="H38" i="343"/>
  <c r="G38" i="343"/>
  <c r="H37" i="343"/>
  <c r="G37" i="343"/>
  <c r="H36" i="343"/>
  <c r="G36" i="343"/>
  <c r="H35" i="343"/>
  <c r="G35" i="343"/>
  <c r="H34" i="343"/>
  <c r="G34" i="343"/>
  <c r="H33" i="343"/>
  <c r="G33" i="343"/>
  <c r="H32" i="343"/>
  <c r="G32" i="343"/>
  <c r="H31" i="343"/>
  <c r="G31" i="343"/>
  <c r="H30" i="343"/>
  <c r="G30" i="343"/>
  <c r="H29" i="343"/>
  <c r="G29" i="343"/>
  <c r="H28" i="343"/>
  <c r="G28" i="343"/>
  <c r="H27" i="343"/>
  <c r="G27" i="343"/>
  <c r="H26" i="343"/>
  <c r="G26" i="343"/>
  <c r="H25" i="343"/>
  <c r="G25" i="343"/>
  <c r="H24" i="343"/>
  <c r="G24" i="343"/>
  <c r="H23" i="343"/>
  <c r="G23" i="343"/>
  <c r="H22" i="343"/>
  <c r="G22" i="343"/>
  <c r="H21" i="343"/>
  <c r="G21" i="343"/>
  <c r="H20" i="343"/>
  <c r="G20" i="343"/>
  <c r="H19" i="343"/>
  <c r="G19" i="343"/>
  <c r="H18" i="343"/>
  <c r="G18" i="343"/>
  <c r="H17" i="343"/>
  <c r="G17" i="343"/>
  <c r="H16" i="343"/>
  <c r="G16" i="343"/>
  <c r="H15" i="343"/>
  <c r="G15" i="343"/>
  <c r="H14" i="343"/>
  <c r="G14" i="343"/>
  <c r="H13" i="343"/>
  <c r="G13" i="343"/>
  <c r="H12" i="343"/>
  <c r="G12" i="343"/>
  <c r="H11" i="343"/>
  <c r="G11" i="343"/>
  <c r="H10" i="343"/>
  <c r="G10" i="343"/>
  <c r="H9" i="343"/>
  <c r="G9" i="343"/>
  <c r="D7" i="340"/>
  <c r="F7" i="340" s="1"/>
  <c r="E7" i="340"/>
  <c r="G7" i="340" s="1"/>
  <c r="C7" i="340"/>
  <c r="G23" i="340"/>
  <c r="F23" i="340"/>
  <c r="G22" i="340"/>
  <c r="F22" i="340"/>
  <c r="G21" i="340"/>
  <c r="F21" i="340"/>
  <c r="G20" i="340"/>
  <c r="F20" i="340"/>
  <c r="G19" i="340"/>
  <c r="F19" i="340"/>
  <c r="G18" i="340"/>
  <c r="F18" i="340"/>
  <c r="G17" i="340"/>
  <c r="F17" i="340"/>
  <c r="G16" i="340"/>
  <c r="F16" i="340"/>
  <c r="G15" i="340"/>
  <c r="F15" i="340"/>
  <c r="G14" i="340"/>
  <c r="F14" i="340"/>
  <c r="G13" i="340"/>
  <c r="F13" i="340"/>
  <c r="G12" i="340"/>
  <c r="F12" i="340"/>
  <c r="G11" i="340"/>
  <c r="F11" i="340"/>
  <c r="G10" i="340"/>
  <c r="F10" i="340"/>
  <c r="G9" i="340"/>
  <c r="F9" i="340"/>
  <c r="G8" i="340"/>
  <c r="F8" i="340"/>
  <c r="H7" i="339" l="1"/>
  <c r="H8" i="339"/>
  <c r="H9" i="339"/>
  <c r="H10" i="339"/>
  <c r="H11" i="339"/>
  <c r="H12" i="339"/>
  <c r="H13" i="339"/>
  <c r="H14" i="339"/>
  <c r="D70" i="334" l="1"/>
  <c r="D71" i="334"/>
  <c r="D75" i="334"/>
  <c r="C80" i="334"/>
  <c r="B80" i="334"/>
  <c r="C79" i="334"/>
  <c r="E79" i="334" s="1"/>
  <c r="B79" i="334"/>
  <c r="C78" i="334"/>
  <c r="B78" i="334"/>
  <c r="C77" i="334"/>
  <c r="B77" i="334"/>
  <c r="C76" i="334"/>
  <c r="B76" i="334"/>
  <c r="E76" i="334" s="1"/>
  <c r="C75" i="334"/>
  <c r="B75" i="334"/>
  <c r="C74" i="334"/>
  <c r="D74" i="334" s="1"/>
  <c r="B74" i="334"/>
  <c r="C73" i="334"/>
  <c r="D73" i="334" s="1"/>
  <c r="B73" i="334"/>
  <c r="C72" i="334"/>
  <c r="D72" i="334" s="1"/>
  <c r="B72" i="334"/>
  <c r="E72" i="334" s="1"/>
  <c r="C71" i="334"/>
  <c r="E71" i="334" s="1"/>
  <c r="B71" i="334"/>
  <c r="C70" i="334"/>
  <c r="B70" i="334"/>
  <c r="C69" i="334"/>
  <c r="D69" i="334" s="1"/>
  <c r="B69" i="334"/>
  <c r="C68" i="334"/>
  <c r="D68" i="334" s="1"/>
  <c r="B68" i="334"/>
  <c r="C67" i="334"/>
  <c r="D67" i="334" s="1"/>
  <c r="B67" i="334"/>
  <c r="H52" i="334"/>
  <c r="G52" i="334"/>
  <c r="F52" i="334"/>
  <c r="E52" i="334"/>
  <c r="D52" i="334"/>
  <c r="C52" i="334"/>
  <c r="B52" i="334"/>
  <c r="H51" i="334"/>
  <c r="G51" i="334"/>
  <c r="F51" i="334"/>
  <c r="E51" i="334"/>
  <c r="D51" i="334"/>
  <c r="C51" i="334"/>
  <c r="B51" i="334"/>
  <c r="H50" i="334"/>
  <c r="G50" i="334"/>
  <c r="F50" i="334"/>
  <c r="E50" i="334"/>
  <c r="D50" i="334"/>
  <c r="C50" i="334"/>
  <c r="B50" i="334"/>
  <c r="H49" i="334"/>
  <c r="G49" i="334"/>
  <c r="F49" i="334"/>
  <c r="E49" i="334"/>
  <c r="D49" i="334"/>
  <c r="C49" i="334"/>
  <c r="B49" i="334"/>
  <c r="H48" i="334"/>
  <c r="G48" i="334"/>
  <c r="F48" i="334"/>
  <c r="E48" i="334"/>
  <c r="D48" i="334"/>
  <c r="C48" i="334"/>
  <c r="B48" i="334"/>
  <c r="H46" i="334"/>
  <c r="G46" i="334"/>
  <c r="F46" i="334"/>
  <c r="E46" i="334"/>
  <c r="D46" i="334"/>
  <c r="C46" i="334"/>
  <c r="B46" i="334"/>
  <c r="H45" i="334"/>
  <c r="G45" i="334"/>
  <c r="F45" i="334"/>
  <c r="E45" i="334"/>
  <c r="D45" i="334"/>
  <c r="C45" i="334"/>
  <c r="B45" i="334"/>
  <c r="H44" i="334"/>
  <c r="H47" i="334" s="1"/>
  <c r="G44" i="334"/>
  <c r="G47" i="334" s="1"/>
  <c r="F44" i="334"/>
  <c r="E44" i="334"/>
  <c r="D44" i="334"/>
  <c r="D47" i="334" s="1"/>
  <c r="C44" i="334"/>
  <c r="C47" i="334" s="1"/>
  <c r="B44" i="334"/>
  <c r="D35" i="334"/>
  <c r="C35" i="334"/>
  <c r="B35" i="334"/>
  <c r="F33" i="334"/>
  <c r="D32" i="334"/>
  <c r="C32" i="334"/>
  <c r="B32" i="334"/>
  <c r="D31" i="334"/>
  <c r="C31" i="334"/>
  <c r="B31" i="334"/>
  <c r="D30" i="334"/>
  <c r="C30" i="334"/>
  <c r="B30" i="334"/>
  <c r="D29" i="334"/>
  <c r="C29" i="334"/>
  <c r="B29" i="334"/>
  <c r="D28" i="334"/>
  <c r="C28" i="334"/>
  <c r="B28" i="334"/>
  <c r="D27" i="334"/>
  <c r="C27" i="334"/>
  <c r="B27" i="334"/>
  <c r="D26" i="334"/>
  <c r="C26" i="334"/>
  <c r="B26" i="334"/>
  <c r="D25" i="334"/>
  <c r="C25" i="334"/>
  <c r="B25" i="334"/>
  <c r="D24" i="334"/>
  <c r="C24" i="334"/>
  <c r="B24" i="334"/>
  <c r="D23" i="334"/>
  <c r="C23" i="334"/>
  <c r="B23" i="334"/>
  <c r="D22" i="334"/>
  <c r="C22" i="334"/>
  <c r="B22" i="334"/>
  <c r="D21" i="334"/>
  <c r="C21" i="334"/>
  <c r="B21" i="334"/>
  <c r="D20" i="334"/>
  <c r="C20" i="334"/>
  <c r="B20" i="334"/>
  <c r="D19" i="334"/>
  <c r="C19" i="334"/>
  <c r="B19" i="334"/>
  <c r="D18" i="334"/>
  <c r="C18" i="334"/>
  <c r="B18" i="334"/>
  <c r="D17" i="334"/>
  <c r="C17" i="334"/>
  <c r="B17" i="334"/>
  <c r="D16" i="334"/>
  <c r="C16" i="334"/>
  <c r="B16" i="334"/>
  <c r="D15" i="334"/>
  <c r="C15" i="334"/>
  <c r="B15" i="334"/>
  <c r="D11" i="334"/>
  <c r="C11" i="334"/>
  <c r="B11" i="334"/>
  <c r="D10" i="334"/>
  <c r="C10" i="334"/>
  <c r="B10" i="334"/>
  <c r="D9" i="334"/>
  <c r="C9" i="334"/>
  <c r="B9" i="334"/>
  <c r="D8" i="334"/>
  <c r="C8" i="334"/>
  <c r="B8" i="334"/>
  <c r="D6" i="334"/>
  <c r="C6" i="334"/>
  <c r="B6" i="334"/>
  <c r="B34" i="334" s="1"/>
  <c r="H54" i="332"/>
  <c r="G54" i="332"/>
  <c r="F54" i="332"/>
  <c r="E54" i="332"/>
  <c r="D54" i="332"/>
  <c r="C54" i="332"/>
  <c r="B54" i="332"/>
  <c r="H53" i="332"/>
  <c r="G53" i="332"/>
  <c r="F53" i="332"/>
  <c r="E53" i="332"/>
  <c r="D53" i="332"/>
  <c r="C53" i="332"/>
  <c r="B53" i="332"/>
  <c r="H52" i="332"/>
  <c r="G52" i="332"/>
  <c r="F52" i="332"/>
  <c r="E52" i="332"/>
  <c r="D52" i="332"/>
  <c r="C52" i="332"/>
  <c r="B52" i="332"/>
  <c r="H51" i="332"/>
  <c r="G51" i="332"/>
  <c r="F51" i="332"/>
  <c r="E51" i="332"/>
  <c r="D51" i="332"/>
  <c r="C51" i="332"/>
  <c r="B51" i="332"/>
  <c r="H50" i="332"/>
  <c r="G50" i="332"/>
  <c r="F50" i="332"/>
  <c r="E50" i="332"/>
  <c r="D50" i="332"/>
  <c r="C50" i="332"/>
  <c r="B50" i="332"/>
  <c r="H48" i="332"/>
  <c r="G48" i="332"/>
  <c r="F48" i="332"/>
  <c r="E48" i="332"/>
  <c r="D48" i="332"/>
  <c r="C48" i="332"/>
  <c r="B48" i="332"/>
  <c r="H47" i="332"/>
  <c r="G47" i="332"/>
  <c r="F47" i="332"/>
  <c r="E47" i="332"/>
  <c r="D47" i="332"/>
  <c r="C47" i="332"/>
  <c r="B47" i="332"/>
  <c r="H46" i="332"/>
  <c r="G46" i="332"/>
  <c r="F46" i="332"/>
  <c r="E46" i="332"/>
  <c r="E49" i="332" s="1"/>
  <c r="D46" i="332"/>
  <c r="C46" i="332"/>
  <c r="B46" i="332"/>
  <c r="D37" i="332"/>
  <c r="C37" i="332"/>
  <c r="B37" i="332"/>
  <c r="D32" i="332"/>
  <c r="C32" i="332"/>
  <c r="B32" i="332"/>
  <c r="D31" i="332"/>
  <c r="C31" i="332"/>
  <c r="B31" i="332"/>
  <c r="D30" i="332"/>
  <c r="C30" i="332"/>
  <c r="B30" i="332"/>
  <c r="D29" i="332"/>
  <c r="C29" i="332"/>
  <c r="B29" i="332"/>
  <c r="D28" i="332"/>
  <c r="C28" i="332"/>
  <c r="B28" i="332"/>
  <c r="D27" i="332"/>
  <c r="C27" i="332"/>
  <c r="B27" i="332"/>
  <c r="D26" i="332"/>
  <c r="C26" i="332"/>
  <c r="B26" i="332"/>
  <c r="D25" i="332"/>
  <c r="C25" i="332"/>
  <c r="B25" i="332"/>
  <c r="D24" i="332"/>
  <c r="C24" i="332"/>
  <c r="B24" i="332"/>
  <c r="D23" i="332"/>
  <c r="C23" i="332"/>
  <c r="B23" i="332"/>
  <c r="D22" i="332"/>
  <c r="C22" i="332"/>
  <c r="B22" i="332"/>
  <c r="D21" i="332"/>
  <c r="C21" i="332"/>
  <c r="B21" i="332"/>
  <c r="D20" i="332"/>
  <c r="C20" i="332"/>
  <c r="B20" i="332"/>
  <c r="D19" i="332"/>
  <c r="C19" i="332"/>
  <c r="B19" i="332"/>
  <c r="D18" i="332"/>
  <c r="C18" i="332"/>
  <c r="B18" i="332"/>
  <c r="D17" i="332"/>
  <c r="C17" i="332"/>
  <c r="B17" i="332"/>
  <c r="D16" i="332"/>
  <c r="C16" i="332"/>
  <c r="B16" i="332"/>
  <c r="D15" i="332"/>
  <c r="C15" i="332"/>
  <c r="B15" i="332"/>
  <c r="D11" i="332"/>
  <c r="C11" i="332"/>
  <c r="B11" i="332"/>
  <c r="D10" i="332"/>
  <c r="C10" i="332"/>
  <c r="B10" i="332"/>
  <c r="D9" i="332"/>
  <c r="C9" i="332"/>
  <c r="B9" i="332"/>
  <c r="D8" i="332"/>
  <c r="C8" i="332"/>
  <c r="B8" i="332"/>
  <c r="D6" i="332"/>
  <c r="C6" i="332"/>
  <c r="C36" i="332" s="1"/>
  <c r="B6" i="332"/>
  <c r="B36" i="332" s="1"/>
  <c r="K75" i="327"/>
  <c r="J75" i="327"/>
  <c r="I75" i="327"/>
  <c r="H75" i="327"/>
  <c r="G75" i="327"/>
  <c r="F75" i="327"/>
  <c r="E75" i="327"/>
  <c r="K74" i="327"/>
  <c r="J74" i="327"/>
  <c r="I74" i="327"/>
  <c r="H74" i="327"/>
  <c r="G74" i="327"/>
  <c r="F74" i="327"/>
  <c r="E74" i="327"/>
  <c r="K73" i="327"/>
  <c r="J73" i="327"/>
  <c r="I73" i="327"/>
  <c r="H73" i="327"/>
  <c r="G73" i="327"/>
  <c r="F73" i="327"/>
  <c r="E73" i="327"/>
  <c r="K72" i="327"/>
  <c r="J72" i="327"/>
  <c r="I72" i="327"/>
  <c r="H72" i="327"/>
  <c r="G72" i="327"/>
  <c r="F72" i="327"/>
  <c r="E72" i="327"/>
  <c r="K71" i="327"/>
  <c r="J71" i="327"/>
  <c r="I71" i="327"/>
  <c r="H71" i="327"/>
  <c r="G71" i="327"/>
  <c r="F71" i="327"/>
  <c r="E71" i="327"/>
  <c r="K70" i="327"/>
  <c r="J70" i="327"/>
  <c r="I70" i="327"/>
  <c r="H70" i="327"/>
  <c r="G70" i="327"/>
  <c r="F70" i="327"/>
  <c r="E70" i="327"/>
  <c r="K69" i="327"/>
  <c r="J69" i="327"/>
  <c r="I69" i="327"/>
  <c r="H69" i="327"/>
  <c r="G69" i="327"/>
  <c r="F69" i="327"/>
  <c r="E69" i="327"/>
  <c r="Q49" i="327"/>
  <c r="P49" i="327"/>
  <c r="O49" i="327"/>
  <c r="N49" i="327"/>
  <c r="M49" i="327"/>
  <c r="L49" i="327"/>
  <c r="K49" i="327"/>
  <c r="J49" i="327"/>
  <c r="I49" i="327"/>
  <c r="H49" i="327"/>
  <c r="G49" i="327"/>
  <c r="F49" i="327"/>
  <c r="E49" i="327"/>
  <c r="D49" i="327"/>
  <c r="C49" i="327"/>
  <c r="B49" i="327"/>
  <c r="Q48" i="327"/>
  <c r="P48" i="327"/>
  <c r="O48" i="327"/>
  <c r="N48" i="327"/>
  <c r="M48" i="327"/>
  <c r="L48" i="327"/>
  <c r="K48" i="327"/>
  <c r="J48" i="327"/>
  <c r="I48" i="327"/>
  <c r="H48" i="327"/>
  <c r="G48" i="327"/>
  <c r="F48" i="327"/>
  <c r="E48" i="327"/>
  <c r="D48" i="327"/>
  <c r="C48" i="327"/>
  <c r="B48" i="327"/>
  <c r="Q47" i="327"/>
  <c r="P47" i="327"/>
  <c r="O47" i="327"/>
  <c r="N47" i="327"/>
  <c r="M47" i="327"/>
  <c r="L47" i="327"/>
  <c r="K47" i="327"/>
  <c r="J47" i="327"/>
  <c r="I47" i="327"/>
  <c r="H47" i="327"/>
  <c r="G47" i="327"/>
  <c r="F47" i="327"/>
  <c r="E47" i="327"/>
  <c r="D47" i="327"/>
  <c r="C47" i="327"/>
  <c r="B47" i="327"/>
  <c r="Q46" i="327"/>
  <c r="P46" i="327"/>
  <c r="O46" i="327"/>
  <c r="N46" i="327"/>
  <c r="M46" i="327"/>
  <c r="L46" i="327"/>
  <c r="K46" i="327"/>
  <c r="J46" i="327"/>
  <c r="I46" i="327"/>
  <c r="H46" i="327"/>
  <c r="G46" i="327"/>
  <c r="F46" i="327"/>
  <c r="E46" i="327"/>
  <c r="D46" i="327"/>
  <c r="C46" i="327"/>
  <c r="B46" i="327"/>
  <c r="Q45" i="327"/>
  <c r="P45" i="327"/>
  <c r="O45" i="327"/>
  <c r="N45" i="327"/>
  <c r="M45" i="327"/>
  <c r="L45" i="327"/>
  <c r="K45" i="327"/>
  <c r="J45" i="327"/>
  <c r="I45" i="327"/>
  <c r="H45" i="327"/>
  <c r="G45" i="327"/>
  <c r="F45" i="327"/>
  <c r="E45" i="327"/>
  <c r="D45" i="327"/>
  <c r="C45" i="327"/>
  <c r="B45" i="327"/>
  <c r="Q44" i="327"/>
  <c r="P44" i="327"/>
  <c r="O44" i="327"/>
  <c r="N44" i="327"/>
  <c r="M44" i="327"/>
  <c r="L44" i="327"/>
  <c r="K44" i="327"/>
  <c r="J44" i="327"/>
  <c r="I44" i="327"/>
  <c r="H44" i="327"/>
  <c r="G44" i="327"/>
  <c r="F44" i="327"/>
  <c r="E44" i="327"/>
  <c r="D44" i="327"/>
  <c r="C44" i="327"/>
  <c r="B44" i="327"/>
  <c r="Q43" i="327"/>
  <c r="P43" i="327"/>
  <c r="O43" i="327"/>
  <c r="N43" i="327"/>
  <c r="M43" i="327"/>
  <c r="L43" i="327"/>
  <c r="K43" i="327"/>
  <c r="J43" i="327"/>
  <c r="I43" i="327"/>
  <c r="H43" i="327"/>
  <c r="G43" i="327"/>
  <c r="F43" i="327"/>
  <c r="E43" i="327"/>
  <c r="D43" i="327"/>
  <c r="C43" i="327"/>
  <c r="B43" i="327"/>
  <c r="Q42" i="327"/>
  <c r="P42" i="327"/>
  <c r="O42" i="327"/>
  <c r="N42" i="327"/>
  <c r="M42" i="327"/>
  <c r="L42" i="327"/>
  <c r="K42" i="327"/>
  <c r="J42" i="327"/>
  <c r="I42" i="327"/>
  <c r="H42" i="327"/>
  <c r="G42" i="327"/>
  <c r="F42" i="327"/>
  <c r="E42" i="327"/>
  <c r="D42" i="327"/>
  <c r="C42" i="327"/>
  <c r="B42" i="327"/>
  <c r="Q41" i="327"/>
  <c r="P41" i="327"/>
  <c r="O41" i="327"/>
  <c r="N41" i="327"/>
  <c r="M41" i="327"/>
  <c r="L41" i="327"/>
  <c r="K41" i="327"/>
  <c r="J41" i="327"/>
  <c r="I41" i="327"/>
  <c r="H41" i="327"/>
  <c r="G41" i="327"/>
  <c r="F41" i="327"/>
  <c r="E41" i="327"/>
  <c r="D41" i="327"/>
  <c r="C41" i="327"/>
  <c r="B41" i="327"/>
  <c r="Q40" i="327"/>
  <c r="P40" i="327"/>
  <c r="O40" i="327"/>
  <c r="N40" i="327"/>
  <c r="M40" i="327"/>
  <c r="L40" i="327"/>
  <c r="K40" i="327"/>
  <c r="J40" i="327"/>
  <c r="I40" i="327"/>
  <c r="H40" i="327"/>
  <c r="G40" i="327"/>
  <c r="F40" i="327"/>
  <c r="E40" i="327"/>
  <c r="D40" i="327"/>
  <c r="C40" i="327"/>
  <c r="B40" i="327"/>
  <c r="Q39" i="327"/>
  <c r="P39" i="327"/>
  <c r="O39" i="327"/>
  <c r="N39" i="327"/>
  <c r="M39" i="327"/>
  <c r="L39" i="327"/>
  <c r="K39" i="327"/>
  <c r="J39" i="327"/>
  <c r="I39" i="327"/>
  <c r="H39" i="327"/>
  <c r="G39" i="327"/>
  <c r="F39" i="327"/>
  <c r="E39" i="327"/>
  <c r="D39" i="327"/>
  <c r="C39" i="327"/>
  <c r="B39" i="327"/>
  <c r="Q38" i="327"/>
  <c r="P38" i="327"/>
  <c r="O38" i="327"/>
  <c r="N38" i="327"/>
  <c r="M38" i="327"/>
  <c r="L38" i="327"/>
  <c r="K38" i="327"/>
  <c r="J38" i="327"/>
  <c r="I38" i="327"/>
  <c r="H38" i="327"/>
  <c r="G38" i="327"/>
  <c r="F38" i="327"/>
  <c r="E38" i="327"/>
  <c r="D38" i="327"/>
  <c r="C38" i="327"/>
  <c r="B38" i="327"/>
  <c r="Q37" i="327"/>
  <c r="P37" i="327"/>
  <c r="O37" i="327"/>
  <c r="N37" i="327"/>
  <c r="M37" i="327"/>
  <c r="L37" i="327"/>
  <c r="K37" i="327"/>
  <c r="J37" i="327"/>
  <c r="I37" i="327"/>
  <c r="H37" i="327"/>
  <c r="G37" i="327"/>
  <c r="F37" i="327"/>
  <c r="E37" i="327"/>
  <c r="D37" i="327"/>
  <c r="C37" i="327"/>
  <c r="B37" i="327"/>
  <c r="Q36" i="327"/>
  <c r="P36" i="327"/>
  <c r="O36" i="327"/>
  <c r="N36" i="327"/>
  <c r="M36" i="327"/>
  <c r="L36" i="327"/>
  <c r="K36" i="327"/>
  <c r="J36" i="327"/>
  <c r="I36" i="327"/>
  <c r="H36" i="327"/>
  <c r="G36" i="327"/>
  <c r="F36" i="327"/>
  <c r="E36" i="327"/>
  <c r="D36" i="327"/>
  <c r="C36" i="327"/>
  <c r="B36" i="327"/>
  <c r="Q35" i="327"/>
  <c r="P35" i="327"/>
  <c r="O35" i="327"/>
  <c r="N35" i="327"/>
  <c r="M35" i="327"/>
  <c r="L35" i="327"/>
  <c r="K35" i="327"/>
  <c r="J35" i="327"/>
  <c r="I35" i="327"/>
  <c r="H35" i="327"/>
  <c r="G35" i="327"/>
  <c r="F35" i="327"/>
  <c r="E35" i="327"/>
  <c r="D35" i="327"/>
  <c r="C35" i="327"/>
  <c r="B35" i="327"/>
  <c r="Q34" i="327"/>
  <c r="P34" i="327"/>
  <c r="O34" i="327"/>
  <c r="N34" i="327"/>
  <c r="M34" i="327"/>
  <c r="L34" i="327"/>
  <c r="K34" i="327"/>
  <c r="J34" i="327"/>
  <c r="I34" i="327"/>
  <c r="H34" i="327"/>
  <c r="G34" i="327"/>
  <c r="F34" i="327"/>
  <c r="E34" i="327"/>
  <c r="D34" i="327"/>
  <c r="C34" i="327"/>
  <c r="B34" i="327"/>
  <c r="Q33" i="327"/>
  <c r="P33" i="327"/>
  <c r="O33" i="327"/>
  <c r="N33" i="327"/>
  <c r="M33" i="327"/>
  <c r="L33" i="327"/>
  <c r="K33" i="327"/>
  <c r="J33" i="327"/>
  <c r="I33" i="327"/>
  <c r="H33" i="327"/>
  <c r="G33" i="327"/>
  <c r="F33" i="327"/>
  <c r="E33" i="327"/>
  <c r="D33" i="327"/>
  <c r="C33" i="327"/>
  <c r="B33" i="327"/>
  <c r="Q21" i="327"/>
  <c r="P21" i="327"/>
  <c r="O21" i="327"/>
  <c r="N21" i="327"/>
  <c r="M21" i="327"/>
  <c r="L21" i="327"/>
  <c r="K21" i="327"/>
  <c r="J21" i="327"/>
  <c r="I21" i="327"/>
  <c r="H21" i="327"/>
  <c r="G21" i="327"/>
  <c r="F21" i="327"/>
  <c r="E21" i="327"/>
  <c r="D21" i="327"/>
  <c r="C21" i="327"/>
  <c r="B21" i="327"/>
  <c r="Q20" i="327"/>
  <c r="P20" i="327"/>
  <c r="O20" i="327"/>
  <c r="N20" i="327"/>
  <c r="M20" i="327"/>
  <c r="L20" i="327"/>
  <c r="K20" i="327"/>
  <c r="J20" i="327"/>
  <c r="I20" i="327"/>
  <c r="H20" i="327"/>
  <c r="G20" i="327"/>
  <c r="F20" i="327"/>
  <c r="E20" i="327"/>
  <c r="D20" i="327"/>
  <c r="C20" i="327"/>
  <c r="B20" i="327"/>
  <c r="Q19" i="327"/>
  <c r="P19" i="327"/>
  <c r="O19" i="327"/>
  <c r="N19" i="327"/>
  <c r="M19" i="327"/>
  <c r="L19" i="327"/>
  <c r="K19" i="327"/>
  <c r="J19" i="327"/>
  <c r="I19" i="327"/>
  <c r="H19" i="327"/>
  <c r="G19" i="327"/>
  <c r="F19" i="327"/>
  <c r="E19" i="327"/>
  <c r="D19" i="327"/>
  <c r="C19" i="327"/>
  <c r="B19" i="327"/>
  <c r="Q18" i="327"/>
  <c r="P18" i="327"/>
  <c r="O18" i="327"/>
  <c r="N18" i="327"/>
  <c r="M18" i="327"/>
  <c r="L18" i="327"/>
  <c r="K18" i="327"/>
  <c r="J18" i="327"/>
  <c r="I18" i="327"/>
  <c r="H18" i="327"/>
  <c r="G18" i="327"/>
  <c r="F18" i="327"/>
  <c r="E18" i="327"/>
  <c r="D18" i="327"/>
  <c r="C18" i="327"/>
  <c r="B18" i="327"/>
  <c r="Q17" i="327"/>
  <c r="P17" i="327"/>
  <c r="O17" i="327"/>
  <c r="N17" i="327"/>
  <c r="M17" i="327"/>
  <c r="L17" i="327"/>
  <c r="K17" i="327"/>
  <c r="J17" i="327"/>
  <c r="I17" i="327"/>
  <c r="H17" i="327"/>
  <c r="G17" i="327"/>
  <c r="F17" i="327"/>
  <c r="E17" i="327"/>
  <c r="D17" i="327"/>
  <c r="C17" i="327"/>
  <c r="B17" i="327"/>
  <c r="Q16" i="327"/>
  <c r="P16" i="327"/>
  <c r="O16" i="327"/>
  <c r="N16" i="327"/>
  <c r="M16" i="327"/>
  <c r="L16" i="327"/>
  <c r="K16" i="327"/>
  <c r="J16" i="327"/>
  <c r="I16" i="327"/>
  <c r="H16" i="327"/>
  <c r="G16" i="327"/>
  <c r="F16" i="327"/>
  <c r="E16" i="327"/>
  <c r="D16" i="327"/>
  <c r="C16" i="327"/>
  <c r="B16" i="327"/>
  <c r="Q15" i="327"/>
  <c r="P15" i="327"/>
  <c r="O15" i="327"/>
  <c r="N15" i="327"/>
  <c r="M15" i="327"/>
  <c r="L15" i="327"/>
  <c r="K15" i="327"/>
  <c r="J15" i="327"/>
  <c r="I15" i="327"/>
  <c r="H15" i="327"/>
  <c r="G15" i="327"/>
  <c r="F15" i="327"/>
  <c r="E15" i="327"/>
  <c r="D15" i="327"/>
  <c r="C15" i="327"/>
  <c r="B15" i="327"/>
  <c r="Q14" i="327"/>
  <c r="P14" i="327"/>
  <c r="O14" i="327"/>
  <c r="N14" i="327"/>
  <c r="M14" i="327"/>
  <c r="L14" i="327"/>
  <c r="K14" i="327"/>
  <c r="J14" i="327"/>
  <c r="I14" i="327"/>
  <c r="H14" i="327"/>
  <c r="G14" i="327"/>
  <c r="F14" i="327"/>
  <c r="E14" i="327"/>
  <c r="D14" i="327"/>
  <c r="C14" i="327"/>
  <c r="B14" i="327"/>
  <c r="Q13" i="327"/>
  <c r="P13" i="327"/>
  <c r="O13" i="327"/>
  <c r="N13" i="327"/>
  <c r="M13" i="327"/>
  <c r="L13" i="327"/>
  <c r="K13" i="327"/>
  <c r="J13" i="327"/>
  <c r="I13" i="327"/>
  <c r="H13" i="327"/>
  <c r="G13" i="327"/>
  <c r="F13" i="327"/>
  <c r="E13" i="327"/>
  <c r="D13" i="327"/>
  <c r="C13" i="327"/>
  <c r="B13" i="327"/>
  <c r="Q12" i="327"/>
  <c r="P12" i="327"/>
  <c r="O12" i="327"/>
  <c r="N12" i="327"/>
  <c r="M12" i="327"/>
  <c r="L12" i="327"/>
  <c r="K12" i="327"/>
  <c r="J12" i="327"/>
  <c r="I12" i="327"/>
  <c r="H12" i="327"/>
  <c r="G12" i="327"/>
  <c r="F12" i="327"/>
  <c r="E12" i="327"/>
  <c r="D12" i="327"/>
  <c r="C12" i="327"/>
  <c r="B12" i="327"/>
  <c r="Q11" i="327"/>
  <c r="P11" i="327"/>
  <c r="O11" i="327"/>
  <c r="N11" i="327"/>
  <c r="M11" i="327"/>
  <c r="L11" i="327"/>
  <c r="K11" i="327"/>
  <c r="J11" i="327"/>
  <c r="I11" i="327"/>
  <c r="H11" i="327"/>
  <c r="G11" i="327"/>
  <c r="F11" i="327"/>
  <c r="E11" i="327"/>
  <c r="D11" i="327"/>
  <c r="C11" i="327"/>
  <c r="B11" i="327"/>
  <c r="C92" i="326"/>
  <c r="B92" i="326"/>
  <c r="C91" i="326"/>
  <c r="B91" i="326"/>
  <c r="C90" i="326"/>
  <c r="B90" i="326"/>
  <c r="C89" i="326"/>
  <c r="B89" i="326"/>
  <c r="C88" i="326"/>
  <c r="B88" i="326"/>
  <c r="C87" i="326"/>
  <c r="B87" i="326"/>
  <c r="C86" i="326"/>
  <c r="B86" i="326"/>
  <c r="C85" i="326"/>
  <c r="B85" i="326"/>
  <c r="C84" i="326"/>
  <c r="B84" i="326"/>
  <c r="C83" i="326"/>
  <c r="B83" i="326"/>
  <c r="C82" i="326"/>
  <c r="B82" i="326"/>
  <c r="C81" i="326"/>
  <c r="B81" i="326"/>
  <c r="C80" i="326"/>
  <c r="B80" i="326"/>
  <c r="C79" i="326"/>
  <c r="B79" i="326"/>
  <c r="H64" i="326"/>
  <c r="G64" i="326"/>
  <c r="F64" i="326"/>
  <c r="E64" i="326"/>
  <c r="D64" i="326"/>
  <c r="C64" i="326"/>
  <c r="B64" i="326"/>
  <c r="H63" i="326"/>
  <c r="H65" i="326" s="1"/>
  <c r="G63" i="326"/>
  <c r="F63" i="326"/>
  <c r="E63" i="326"/>
  <c r="D63" i="326"/>
  <c r="C63" i="326"/>
  <c r="B63" i="326"/>
  <c r="H56" i="326"/>
  <c r="G56" i="326"/>
  <c r="F56" i="326"/>
  <c r="E56" i="326"/>
  <c r="D56" i="326"/>
  <c r="C56" i="326"/>
  <c r="B56" i="326"/>
  <c r="H55" i="326"/>
  <c r="G55" i="326"/>
  <c r="F55" i="326"/>
  <c r="E55" i="326"/>
  <c r="D55" i="326"/>
  <c r="C55" i="326"/>
  <c r="B55" i="326"/>
  <c r="H54" i="326"/>
  <c r="G54" i="326"/>
  <c r="F54" i="326"/>
  <c r="E54" i="326"/>
  <c r="D54" i="326"/>
  <c r="C54" i="326"/>
  <c r="B54" i="326"/>
  <c r="H53" i="326"/>
  <c r="G53" i="326"/>
  <c r="F53" i="326"/>
  <c r="E53" i="326"/>
  <c r="D53" i="326"/>
  <c r="C53" i="326"/>
  <c r="B53" i="326"/>
  <c r="H52" i="326"/>
  <c r="G52" i="326"/>
  <c r="F52" i="326"/>
  <c r="E52" i="326"/>
  <c r="D52" i="326"/>
  <c r="C52" i="326"/>
  <c r="B52" i="326"/>
  <c r="H50" i="326"/>
  <c r="G50" i="326"/>
  <c r="F50" i="326"/>
  <c r="E50" i="326"/>
  <c r="D50" i="326"/>
  <c r="C50" i="326"/>
  <c r="B50" i="326"/>
  <c r="H49" i="326"/>
  <c r="G49" i="326"/>
  <c r="F49" i="326"/>
  <c r="E49" i="326"/>
  <c r="D49" i="326"/>
  <c r="C49" i="326"/>
  <c r="B49" i="326"/>
  <c r="H48" i="326"/>
  <c r="G48" i="326"/>
  <c r="G51" i="326" s="1"/>
  <c r="F48" i="326"/>
  <c r="E48" i="326"/>
  <c r="D48" i="326"/>
  <c r="D51" i="326" s="1"/>
  <c r="C48" i="326"/>
  <c r="B48" i="326"/>
  <c r="D39" i="326"/>
  <c r="C39" i="326"/>
  <c r="B39" i="326"/>
  <c r="D35" i="326"/>
  <c r="C35" i="326"/>
  <c r="B35" i="326"/>
  <c r="D34" i="326"/>
  <c r="C34" i="326"/>
  <c r="B34" i="326"/>
  <c r="D33" i="326"/>
  <c r="C33" i="326"/>
  <c r="B33" i="326"/>
  <c r="D32" i="326"/>
  <c r="C32" i="326"/>
  <c r="B32" i="326"/>
  <c r="D30" i="326"/>
  <c r="C30" i="326"/>
  <c r="B30" i="326"/>
  <c r="D29" i="326"/>
  <c r="C29" i="326"/>
  <c r="B29" i="326"/>
  <c r="D28" i="326"/>
  <c r="C28" i="326"/>
  <c r="B28" i="326"/>
  <c r="D27" i="326"/>
  <c r="C27" i="326"/>
  <c r="B27" i="326"/>
  <c r="D26" i="326"/>
  <c r="C26" i="326"/>
  <c r="B26" i="326"/>
  <c r="D25" i="326"/>
  <c r="C25" i="326"/>
  <c r="B25" i="326"/>
  <c r="D24" i="326"/>
  <c r="C24" i="326"/>
  <c r="B24" i="326"/>
  <c r="D23" i="326"/>
  <c r="C23" i="326"/>
  <c r="B23" i="326"/>
  <c r="D22" i="326"/>
  <c r="C22" i="326"/>
  <c r="B22" i="326"/>
  <c r="D21" i="326"/>
  <c r="C21" i="326"/>
  <c r="B21" i="326"/>
  <c r="D20" i="326"/>
  <c r="C20" i="326"/>
  <c r="B20" i="326"/>
  <c r="D19" i="326"/>
  <c r="C19" i="326"/>
  <c r="B19" i="326"/>
  <c r="D18" i="326"/>
  <c r="C18" i="326"/>
  <c r="B18" i="326"/>
  <c r="D17" i="326"/>
  <c r="C17" i="326"/>
  <c r="B17" i="326"/>
  <c r="D16" i="326"/>
  <c r="C16" i="326"/>
  <c r="B16" i="326"/>
  <c r="D15" i="326"/>
  <c r="C15" i="326"/>
  <c r="B15" i="326"/>
  <c r="D14" i="326"/>
  <c r="C14" i="326"/>
  <c r="B14" i="326"/>
  <c r="D13" i="326"/>
  <c r="C13" i="326"/>
  <c r="B13" i="326"/>
  <c r="D9" i="326"/>
  <c r="C9" i="326"/>
  <c r="B9" i="326"/>
  <c r="D8" i="326"/>
  <c r="C8" i="326"/>
  <c r="B8" i="326"/>
  <c r="D7" i="326"/>
  <c r="C7" i="326"/>
  <c r="B7" i="326"/>
  <c r="D5" i="326"/>
  <c r="D38" i="326" s="1"/>
  <c r="C5" i="326"/>
  <c r="B5" i="326"/>
  <c r="K74" i="321"/>
  <c r="J74" i="321"/>
  <c r="I74" i="321"/>
  <c r="H74" i="321"/>
  <c r="G74" i="321"/>
  <c r="F74" i="321"/>
  <c r="E74" i="321"/>
  <c r="K73" i="321"/>
  <c r="J73" i="321"/>
  <c r="I73" i="321"/>
  <c r="H73" i="321"/>
  <c r="G73" i="321"/>
  <c r="F73" i="321"/>
  <c r="E73" i="321"/>
  <c r="K72" i="321"/>
  <c r="J72" i="321"/>
  <c r="I72" i="321"/>
  <c r="H72" i="321"/>
  <c r="G72" i="321"/>
  <c r="F72" i="321"/>
  <c r="E72" i="321"/>
  <c r="K71" i="321"/>
  <c r="J71" i="321"/>
  <c r="I71" i="321"/>
  <c r="H71" i="321"/>
  <c r="G71" i="321"/>
  <c r="F71" i="321"/>
  <c r="E71" i="321"/>
  <c r="K70" i="321"/>
  <c r="J70" i="321"/>
  <c r="I70" i="321"/>
  <c r="H70" i="321"/>
  <c r="G70" i="321"/>
  <c r="F70" i="321"/>
  <c r="E70" i="321"/>
  <c r="K69" i="321"/>
  <c r="J69" i="321"/>
  <c r="I69" i="321"/>
  <c r="H69" i="321"/>
  <c r="G69" i="321"/>
  <c r="F69" i="321"/>
  <c r="E69" i="321"/>
  <c r="K68" i="321"/>
  <c r="J68" i="321"/>
  <c r="I68" i="321"/>
  <c r="H68" i="321"/>
  <c r="G68" i="321"/>
  <c r="F68" i="321"/>
  <c r="E68" i="321"/>
  <c r="Q47" i="321"/>
  <c r="P47" i="321"/>
  <c r="O47" i="321"/>
  <c r="N47" i="321"/>
  <c r="M47" i="321"/>
  <c r="L47" i="321"/>
  <c r="K47" i="321"/>
  <c r="J47" i="321"/>
  <c r="I47" i="321"/>
  <c r="H47" i="321"/>
  <c r="G47" i="321"/>
  <c r="F47" i="321"/>
  <c r="E47" i="321"/>
  <c r="D47" i="321"/>
  <c r="C47" i="321"/>
  <c r="B47" i="321"/>
  <c r="Q46" i="321"/>
  <c r="P46" i="321"/>
  <c r="O46" i="321"/>
  <c r="N46" i="321"/>
  <c r="M46" i="321"/>
  <c r="L46" i="321"/>
  <c r="K46" i="321"/>
  <c r="J46" i="321"/>
  <c r="I46" i="321"/>
  <c r="H46" i="321"/>
  <c r="G46" i="321"/>
  <c r="F46" i="321"/>
  <c r="E46" i="321"/>
  <c r="D46" i="321"/>
  <c r="C46" i="321"/>
  <c r="B46" i="321"/>
  <c r="Q45" i="321"/>
  <c r="P45" i="321"/>
  <c r="O45" i="321"/>
  <c r="N45" i="321"/>
  <c r="M45" i="321"/>
  <c r="L45" i="321"/>
  <c r="K45" i="321"/>
  <c r="J45" i="321"/>
  <c r="I45" i="321"/>
  <c r="H45" i="321"/>
  <c r="G45" i="321"/>
  <c r="F45" i="321"/>
  <c r="E45" i="321"/>
  <c r="D45" i="321"/>
  <c r="C45" i="321"/>
  <c r="B45" i="321"/>
  <c r="Q44" i="321"/>
  <c r="P44" i="321"/>
  <c r="O44" i="321"/>
  <c r="N44" i="321"/>
  <c r="M44" i="321"/>
  <c r="L44" i="321"/>
  <c r="K44" i="321"/>
  <c r="J44" i="321"/>
  <c r="I44" i="321"/>
  <c r="H44" i="321"/>
  <c r="G44" i="321"/>
  <c r="F44" i="321"/>
  <c r="E44" i="321"/>
  <c r="D44" i="321"/>
  <c r="C44" i="321"/>
  <c r="B44" i="321"/>
  <c r="Q43" i="321"/>
  <c r="P43" i="321"/>
  <c r="O43" i="321"/>
  <c r="N43" i="321"/>
  <c r="M43" i="321"/>
  <c r="L43" i="321"/>
  <c r="K43" i="321"/>
  <c r="J43" i="321"/>
  <c r="I43" i="321"/>
  <c r="H43" i="321"/>
  <c r="G43" i="321"/>
  <c r="F43" i="321"/>
  <c r="E43" i="321"/>
  <c r="D43" i="321"/>
  <c r="C43" i="321"/>
  <c r="B43" i="321"/>
  <c r="Q42" i="321"/>
  <c r="P42" i="321"/>
  <c r="O42" i="321"/>
  <c r="N42" i="321"/>
  <c r="M42" i="321"/>
  <c r="L42" i="321"/>
  <c r="K42" i="321"/>
  <c r="J42" i="321"/>
  <c r="I42" i="321"/>
  <c r="H42" i="321"/>
  <c r="G42" i="321"/>
  <c r="F42" i="321"/>
  <c r="E42" i="321"/>
  <c r="D42" i="321"/>
  <c r="C42" i="321"/>
  <c r="B42" i="321"/>
  <c r="Q41" i="321"/>
  <c r="P41" i="321"/>
  <c r="O41" i="321"/>
  <c r="N41" i="321"/>
  <c r="M41" i="321"/>
  <c r="L41" i="321"/>
  <c r="K41" i="321"/>
  <c r="J41" i="321"/>
  <c r="I41" i="321"/>
  <c r="H41" i="321"/>
  <c r="G41" i="321"/>
  <c r="F41" i="321"/>
  <c r="E41" i="321"/>
  <c r="D41" i="321"/>
  <c r="C41" i="321"/>
  <c r="B41" i="321"/>
  <c r="Q40" i="321"/>
  <c r="P40" i="321"/>
  <c r="O40" i="321"/>
  <c r="N40" i="321"/>
  <c r="M40" i="321"/>
  <c r="L40" i="321"/>
  <c r="K40" i="321"/>
  <c r="J40" i="321"/>
  <c r="I40" i="321"/>
  <c r="H40" i="321"/>
  <c r="G40" i="321"/>
  <c r="F40" i="321"/>
  <c r="E40" i="321"/>
  <c r="D40" i="321"/>
  <c r="C40" i="321"/>
  <c r="B40" i="321"/>
  <c r="Q39" i="321"/>
  <c r="P39" i="321"/>
  <c r="O39" i="321"/>
  <c r="N39" i="321"/>
  <c r="M39" i="321"/>
  <c r="L39" i="321"/>
  <c r="K39" i="321"/>
  <c r="J39" i="321"/>
  <c r="I39" i="321"/>
  <c r="H39" i="321"/>
  <c r="G39" i="321"/>
  <c r="F39" i="321"/>
  <c r="E39" i="321"/>
  <c r="D39" i="321"/>
  <c r="C39" i="321"/>
  <c r="B39" i="321"/>
  <c r="Q38" i="321"/>
  <c r="P38" i="321"/>
  <c r="O38" i="321"/>
  <c r="N38" i="321"/>
  <c r="M38" i="321"/>
  <c r="L38" i="321"/>
  <c r="K38" i="321"/>
  <c r="J38" i="321"/>
  <c r="I38" i="321"/>
  <c r="H38" i="321"/>
  <c r="G38" i="321"/>
  <c r="F38" i="321"/>
  <c r="E38" i="321"/>
  <c r="D38" i="321"/>
  <c r="C38" i="321"/>
  <c r="B38" i="321"/>
  <c r="Q37" i="321"/>
  <c r="P37" i="321"/>
  <c r="O37" i="321"/>
  <c r="N37" i="321"/>
  <c r="M37" i="321"/>
  <c r="L37" i="321"/>
  <c r="K37" i="321"/>
  <c r="J37" i="321"/>
  <c r="I37" i="321"/>
  <c r="H37" i="321"/>
  <c r="G37" i="321"/>
  <c r="F37" i="321"/>
  <c r="E37" i="321"/>
  <c r="D37" i="321"/>
  <c r="C37" i="321"/>
  <c r="B37" i="321"/>
  <c r="Q36" i="321"/>
  <c r="P36" i="321"/>
  <c r="O36" i="321"/>
  <c r="N36" i="321"/>
  <c r="M36" i="321"/>
  <c r="L36" i="321"/>
  <c r="K36" i="321"/>
  <c r="J36" i="321"/>
  <c r="I36" i="321"/>
  <c r="H36" i="321"/>
  <c r="G36" i="321"/>
  <c r="F36" i="321"/>
  <c r="E36" i="321"/>
  <c r="D36" i="321"/>
  <c r="C36" i="321"/>
  <c r="B36" i="321"/>
  <c r="Q35" i="321"/>
  <c r="P35" i="321"/>
  <c r="O35" i="321"/>
  <c r="N35" i="321"/>
  <c r="M35" i="321"/>
  <c r="L35" i="321"/>
  <c r="K35" i="321"/>
  <c r="J35" i="321"/>
  <c r="I35" i="321"/>
  <c r="H35" i="321"/>
  <c r="G35" i="321"/>
  <c r="F35" i="321"/>
  <c r="E35" i="321"/>
  <c r="D35" i="321"/>
  <c r="C35" i="321"/>
  <c r="B35" i="321"/>
  <c r="Q34" i="321"/>
  <c r="P34" i="321"/>
  <c r="O34" i="321"/>
  <c r="N34" i="321"/>
  <c r="M34" i="321"/>
  <c r="L34" i="321"/>
  <c r="K34" i="321"/>
  <c r="J34" i="321"/>
  <c r="I34" i="321"/>
  <c r="H34" i="321"/>
  <c r="G34" i="321"/>
  <c r="F34" i="321"/>
  <c r="E34" i="321"/>
  <c r="D34" i="321"/>
  <c r="C34" i="321"/>
  <c r="B34" i="321"/>
  <c r="Q33" i="321"/>
  <c r="P33" i="321"/>
  <c r="O33" i="321"/>
  <c r="N33" i="321"/>
  <c r="M33" i="321"/>
  <c r="L33" i="321"/>
  <c r="K33" i="321"/>
  <c r="J33" i="321"/>
  <c r="I33" i="321"/>
  <c r="H33" i="321"/>
  <c r="G33" i="321"/>
  <c r="F33" i="321"/>
  <c r="E33" i="321"/>
  <c r="D33" i="321"/>
  <c r="C33" i="321"/>
  <c r="B33" i="321"/>
  <c r="Q32" i="321"/>
  <c r="P32" i="321"/>
  <c r="O32" i="321"/>
  <c r="N32" i="321"/>
  <c r="M32" i="321"/>
  <c r="L32" i="321"/>
  <c r="K32" i="321"/>
  <c r="J32" i="321"/>
  <c r="I32" i="321"/>
  <c r="H32" i="321"/>
  <c r="G32" i="321"/>
  <c r="F32" i="321"/>
  <c r="E32" i="321"/>
  <c r="D32" i="321"/>
  <c r="C32" i="321"/>
  <c r="B32" i="321"/>
  <c r="Q31" i="321"/>
  <c r="P31" i="321"/>
  <c r="O31" i="321"/>
  <c r="N31" i="321"/>
  <c r="M31" i="321"/>
  <c r="L31" i="321"/>
  <c r="K31" i="321"/>
  <c r="J31" i="321"/>
  <c r="I31" i="321"/>
  <c r="H31" i="321"/>
  <c r="G31" i="321"/>
  <c r="F31" i="321"/>
  <c r="E31" i="321"/>
  <c r="D31" i="321"/>
  <c r="C31" i="321"/>
  <c r="B31" i="321"/>
  <c r="Q20" i="321"/>
  <c r="P20" i="321"/>
  <c r="O20" i="321"/>
  <c r="N20" i="321"/>
  <c r="M20" i="321"/>
  <c r="L20" i="321"/>
  <c r="K20" i="321"/>
  <c r="J20" i="321"/>
  <c r="I20" i="321"/>
  <c r="H20" i="321"/>
  <c r="G20" i="321"/>
  <c r="F20" i="321"/>
  <c r="E20" i="321"/>
  <c r="D20" i="321"/>
  <c r="C20" i="321"/>
  <c r="B20" i="321"/>
  <c r="Q19" i="321"/>
  <c r="P19" i="321"/>
  <c r="O19" i="321"/>
  <c r="N19" i="321"/>
  <c r="M19" i="321"/>
  <c r="L19" i="321"/>
  <c r="K19" i="321"/>
  <c r="J19" i="321"/>
  <c r="I19" i="321"/>
  <c r="H19" i="321"/>
  <c r="G19" i="321"/>
  <c r="F19" i="321"/>
  <c r="E19" i="321"/>
  <c r="D19" i="321"/>
  <c r="C19" i="321"/>
  <c r="B19" i="321"/>
  <c r="Q18" i="321"/>
  <c r="P18" i="321"/>
  <c r="O18" i="321"/>
  <c r="N18" i="321"/>
  <c r="M18" i="321"/>
  <c r="L18" i="321"/>
  <c r="K18" i="321"/>
  <c r="J18" i="321"/>
  <c r="I18" i="321"/>
  <c r="H18" i="321"/>
  <c r="G18" i="321"/>
  <c r="F18" i="321"/>
  <c r="E18" i="321"/>
  <c r="D18" i="321"/>
  <c r="C18" i="321"/>
  <c r="B18" i="321"/>
  <c r="Q17" i="321"/>
  <c r="P17" i="321"/>
  <c r="O17" i="321"/>
  <c r="N17" i="321"/>
  <c r="M17" i="321"/>
  <c r="L17" i="321"/>
  <c r="K17" i="321"/>
  <c r="J17" i="321"/>
  <c r="I17" i="321"/>
  <c r="H17" i="321"/>
  <c r="G17" i="321"/>
  <c r="F17" i="321"/>
  <c r="E17" i="321"/>
  <c r="D17" i="321"/>
  <c r="C17" i="321"/>
  <c r="B17" i="321"/>
  <c r="Q16" i="321"/>
  <c r="P16" i="321"/>
  <c r="O16" i="321"/>
  <c r="N16" i="321"/>
  <c r="M16" i="321"/>
  <c r="L16" i="321"/>
  <c r="K16" i="321"/>
  <c r="J16" i="321"/>
  <c r="I16" i="321"/>
  <c r="H16" i="321"/>
  <c r="G16" i="321"/>
  <c r="F16" i="321"/>
  <c r="E16" i="321"/>
  <c r="D16" i="321"/>
  <c r="C16" i="321"/>
  <c r="B16" i="321"/>
  <c r="Q15" i="321"/>
  <c r="P15" i="321"/>
  <c r="O15" i="321"/>
  <c r="N15" i="321"/>
  <c r="M15" i="321"/>
  <c r="L15" i="321"/>
  <c r="K15" i="321"/>
  <c r="J15" i="321"/>
  <c r="I15" i="321"/>
  <c r="H15" i="321"/>
  <c r="G15" i="321"/>
  <c r="F15" i="321"/>
  <c r="E15" i="321"/>
  <c r="D15" i="321"/>
  <c r="C15" i="321"/>
  <c r="B15" i="321"/>
  <c r="Q14" i="321"/>
  <c r="P14" i="321"/>
  <c r="O14" i="321"/>
  <c r="N14" i="321"/>
  <c r="M14" i="321"/>
  <c r="L14" i="321"/>
  <c r="K14" i="321"/>
  <c r="J14" i="321"/>
  <c r="I14" i="321"/>
  <c r="H14" i="321"/>
  <c r="G14" i="321"/>
  <c r="F14" i="321"/>
  <c r="E14" i="321"/>
  <c r="D14" i="321"/>
  <c r="C14" i="321"/>
  <c r="B14" i="321"/>
  <c r="Q13" i="321"/>
  <c r="P13" i="321"/>
  <c r="O13" i="321"/>
  <c r="N13" i="321"/>
  <c r="M13" i="321"/>
  <c r="L13" i="321"/>
  <c r="K13" i="321"/>
  <c r="J13" i="321"/>
  <c r="I13" i="321"/>
  <c r="H13" i="321"/>
  <c r="G13" i="321"/>
  <c r="F13" i="321"/>
  <c r="E13" i="321"/>
  <c r="D13" i="321"/>
  <c r="C13" i="321"/>
  <c r="B13" i="321"/>
  <c r="Q12" i="321"/>
  <c r="P12" i="321"/>
  <c r="O12" i="321"/>
  <c r="N12" i="321"/>
  <c r="M12" i="321"/>
  <c r="L12" i="321"/>
  <c r="K12" i="321"/>
  <c r="J12" i="321"/>
  <c r="I12" i="321"/>
  <c r="H12" i="321"/>
  <c r="G12" i="321"/>
  <c r="F12" i="321"/>
  <c r="E12" i="321"/>
  <c r="D12" i="321"/>
  <c r="C12" i="321"/>
  <c r="B12" i="321"/>
  <c r="Q11" i="321"/>
  <c r="P11" i="321"/>
  <c r="O11" i="321"/>
  <c r="N11" i="321"/>
  <c r="M11" i="321"/>
  <c r="L11" i="321"/>
  <c r="K11" i="321"/>
  <c r="J11" i="321"/>
  <c r="I11" i="321"/>
  <c r="H11" i="321"/>
  <c r="G11" i="321"/>
  <c r="F11" i="321"/>
  <c r="E11" i="321"/>
  <c r="D11" i="321"/>
  <c r="C11" i="321"/>
  <c r="B11" i="321"/>
  <c r="Q10" i="321"/>
  <c r="P10" i="321"/>
  <c r="O10" i="321"/>
  <c r="N10" i="321"/>
  <c r="M10" i="321"/>
  <c r="L10" i="321"/>
  <c r="K10" i="321"/>
  <c r="J10" i="321"/>
  <c r="I10" i="321"/>
  <c r="H10" i="321"/>
  <c r="G10" i="321"/>
  <c r="F10" i="321"/>
  <c r="E10" i="321"/>
  <c r="D10" i="321"/>
  <c r="C10" i="321"/>
  <c r="B10" i="321"/>
  <c r="C109" i="320"/>
  <c r="B109" i="320"/>
  <c r="C108" i="320"/>
  <c r="B108" i="320"/>
  <c r="C107" i="320"/>
  <c r="B107" i="320"/>
  <c r="C106" i="320"/>
  <c r="B106" i="320"/>
  <c r="C105" i="320"/>
  <c r="B105" i="320"/>
  <c r="C104" i="320"/>
  <c r="B104" i="320"/>
  <c r="C103" i="320"/>
  <c r="B103" i="320"/>
  <c r="C102" i="320"/>
  <c r="B102" i="320"/>
  <c r="C101" i="320"/>
  <c r="B101" i="320"/>
  <c r="C100" i="320"/>
  <c r="B100" i="320"/>
  <c r="C99" i="320"/>
  <c r="B99" i="320"/>
  <c r="C98" i="320"/>
  <c r="B98" i="320"/>
  <c r="C97" i="320"/>
  <c r="B97" i="320"/>
  <c r="C96" i="320"/>
  <c r="B96" i="320"/>
  <c r="I89" i="320"/>
  <c r="H89" i="320"/>
  <c r="G89" i="320"/>
  <c r="F89" i="320"/>
  <c r="E89" i="320"/>
  <c r="D89" i="320"/>
  <c r="C89" i="320"/>
  <c r="B89" i="320"/>
  <c r="I88" i="320"/>
  <c r="H88" i="320"/>
  <c r="G88" i="320"/>
  <c r="F88" i="320"/>
  <c r="E88" i="320"/>
  <c r="E90" i="320" s="1"/>
  <c r="D88" i="320"/>
  <c r="C88" i="320"/>
  <c r="B88" i="320"/>
  <c r="H81" i="320"/>
  <c r="G81" i="320"/>
  <c r="F81" i="320"/>
  <c r="E81" i="320"/>
  <c r="D81" i="320"/>
  <c r="C81" i="320"/>
  <c r="B81" i="320"/>
  <c r="H80" i="320"/>
  <c r="G80" i="320"/>
  <c r="F80" i="320"/>
  <c r="E80" i="320"/>
  <c r="D80" i="320"/>
  <c r="C80" i="320"/>
  <c r="B80" i="320"/>
  <c r="H79" i="320"/>
  <c r="G79" i="320"/>
  <c r="F79" i="320"/>
  <c r="E79" i="320"/>
  <c r="D79" i="320"/>
  <c r="C79" i="320"/>
  <c r="B79" i="320"/>
  <c r="H78" i="320"/>
  <c r="G78" i="320"/>
  <c r="F78" i="320"/>
  <c r="E78" i="320"/>
  <c r="D78" i="320"/>
  <c r="C78" i="320"/>
  <c r="B78" i="320"/>
  <c r="H77" i="320"/>
  <c r="G77" i="320"/>
  <c r="F77" i="320"/>
  <c r="E77" i="320"/>
  <c r="D77" i="320"/>
  <c r="C77" i="320"/>
  <c r="B77" i="320"/>
  <c r="H75" i="320"/>
  <c r="G75" i="320"/>
  <c r="F75" i="320"/>
  <c r="E75" i="320"/>
  <c r="D75" i="320"/>
  <c r="C75" i="320"/>
  <c r="B75" i="320"/>
  <c r="H74" i="320"/>
  <c r="G74" i="320"/>
  <c r="F74" i="320"/>
  <c r="E74" i="320"/>
  <c r="D74" i="320"/>
  <c r="C74" i="320"/>
  <c r="B74" i="320"/>
  <c r="H73" i="320"/>
  <c r="H76" i="320" s="1"/>
  <c r="G73" i="320"/>
  <c r="F73" i="320"/>
  <c r="F76" i="320" s="1"/>
  <c r="E73" i="320"/>
  <c r="D73" i="320"/>
  <c r="C73" i="320"/>
  <c r="B73" i="320"/>
  <c r="I64" i="320"/>
  <c r="H64" i="320"/>
  <c r="G64" i="320"/>
  <c r="F64" i="320"/>
  <c r="E64" i="320"/>
  <c r="D64" i="320"/>
  <c r="C64" i="320"/>
  <c r="B64" i="320"/>
  <c r="D61" i="320"/>
  <c r="C61" i="320"/>
  <c r="B61" i="320"/>
  <c r="D60" i="320"/>
  <c r="C60" i="320"/>
  <c r="B60" i="320"/>
  <c r="D58" i="320"/>
  <c r="C58" i="320"/>
  <c r="B58" i="320"/>
  <c r="D57" i="320"/>
  <c r="C57" i="320"/>
  <c r="B57" i="320"/>
  <c r="D56" i="320"/>
  <c r="C56" i="320"/>
  <c r="B56" i="320"/>
  <c r="D54" i="320"/>
  <c r="C54" i="320"/>
  <c r="B54" i="320"/>
  <c r="D53" i="320"/>
  <c r="C53" i="320"/>
  <c r="B53" i="320"/>
  <c r="D51" i="320"/>
  <c r="C51" i="320"/>
  <c r="B51" i="320"/>
  <c r="D50" i="320"/>
  <c r="C50" i="320"/>
  <c r="B50" i="320"/>
  <c r="D49" i="320"/>
  <c r="C49" i="320"/>
  <c r="B49" i="320"/>
  <c r="D48" i="320"/>
  <c r="C48" i="320"/>
  <c r="B48" i="320"/>
  <c r="D47" i="320"/>
  <c r="C47" i="320"/>
  <c r="B47" i="320"/>
  <c r="D46" i="320"/>
  <c r="C46" i="320"/>
  <c r="B46" i="320"/>
  <c r="D45" i="320"/>
  <c r="C45" i="320"/>
  <c r="B45" i="320"/>
  <c r="D44" i="320"/>
  <c r="C44" i="320"/>
  <c r="B44" i="320"/>
  <c r="D43" i="320"/>
  <c r="C43" i="320"/>
  <c r="B43" i="320"/>
  <c r="D42" i="320"/>
  <c r="C42" i="320"/>
  <c r="B42" i="320"/>
  <c r="D41" i="320"/>
  <c r="C41" i="320"/>
  <c r="B41" i="320"/>
  <c r="D40" i="320"/>
  <c r="C40" i="320"/>
  <c r="B40" i="320"/>
  <c r="D38" i="320"/>
  <c r="C38" i="320"/>
  <c r="B38" i="320"/>
  <c r="D37" i="320"/>
  <c r="C37" i="320"/>
  <c r="B37" i="320"/>
  <c r="D36" i="320"/>
  <c r="C36" i="320"/>
  <c r="B36" i="320"/>
  <c r="D35" i="320"/>
  <c r="C35" i="320"/>
  <c r="B35" i="320"/>
  <c r="D34" i="320"/>
  <c r="C34" i="320"/>
  <c r="B34" i="320"/>
  <c r="D33" i="320"/>
  <c r="C33" i="320"/>
  <c r="B33" i="320"/>
  <c r="D31" i="320"/>
  <c r="C31" i="320"/>
  <c r="B31" i="320"/>
  <c r="D30" i="320"/>
  <c r="C30" i="320"/>
  <c r="B30" i="320"/>
  <c r="D29" i="320"/>
  <c r="C29" i="320"/>
  <c r="B29" i="320"/>
  <c r="D28" i="320"/>
  <c r="C28" i="320"/>
  <c r="B28" i="320"/>
  <c r="D27" i="320"/>
  <c r="C27" i="320"/>
  <c r="B27" i="320"/>
  <c r="D26" i="320"/>
  <c r="C26" i="320"/>
  <c r="B26" i="320"/>
  <c r="I21" i="320"/>
  <c r="H21" i="320"/>
  <c r="G21" i="320"/>
  <c r="F21" i="320"/>
  <c r="E21" i="320"/>
  <c r="D21" i="320"/>
  <c r="C21" i="320"/>
  <c r="B21" i="320"/>
  <c r="I20" i="320"/>
  <c r="H20" i="320"/>
  <c r="G20" i="320"/>
  <c r="F20" i="320"/>
  <c r="E20" i="320"/>
  <c r="D20" i="320"/>
  <c r="C20" i="320"/>
  <c r="B20" i="320"/>
  <c r="I19" i="320"/>
  <c r="H19" i="320"/>
  <c r="G19" i="320"/>
  <c r="F19" i="320"/>
  <c r="E19" i="320"/>
  <c r="D19" i="320"/>
  <c r="C19" i="320"/>
  <c r="B19" i="320"/>
  <c r="I18" i="320"/>
  <c r="H18" i="320"/>
  <c r="G18" i="320"/>
  <c r="F18" i="320"/>
  <c r="E18" i="320"/>
  <c r="D18" i="320"/>
  <c r="C18" i="320"/>
  <c r="B18" i="320"/>
  <c r="I17" i="320"/>
  <c r="H17" i="320"/>
  <c r="G17" i="320"/>
  <c r="F17" i="320"/>
  <c r="E17" i="320"/>
  <c r="D17" i="320"/>
  <c r="C17" i="320"/>
  <c r="B17" i="320"/>
  <c r="I16" i="320"/>
  <c r="H16" i="320"/>
  <c r="G16" i="320"/>
  <c r="F16" i="320"/>
  <c r="E16" i="320"/>
  <c r="D16" i="320"/>
  <c r="C16" i="320"/>
  <c r="B16" i="320"/>
  <c r="I15" i="320"/>
  <c r="H15" i="320"/>
  <c r="G15" i="320"/>
  <c r="F15" i="320"/>
  <c r="E15" i="320"/>
  <c r="D15" i="320"/>
  <c r="C15" i="320"/>
  <c r="B15" i="320"/>
  <c r="I14" i="320"/>
  <c r="H14" i="320"/>
  <c r="G14" i="320"/>
  <c r="F14" i="320"/>
  <c r="E14" i="320"/>
  <c r="D14" i="320"/>
  <c r="C14" i="320"/>
  <c r="B14" i="320"/>
  <c r="I13" i="320"/>
  <c r="H13" i="320"/>
  <c r="G13" i="320"/>
  <c r="F13" i="320"/>
  <c r="E13" i="320"/>
  <c r="D13" i="320"/>
  <c r="C13" i="320"/>
  <c r="B13" i="320"/>
  <c r="I12" i="320"/>
  <c r="H12" i="320"/>
  <c r="G12" i="320"/>
  <c r="F12" i="320"/>
  <c r="E12" i="320"/>
  <c r="D12" i="320"/>
  <c r="C12" i="320"/>
  <c r="B12" i="320"/>
  <c r="I11" i="320"/>
  <c r="H11" i="320"/>
  <c r="G11" i="320"/>
  <c r="F11" i="320"/>
  <c r="E11" i="320"/>
  <c r="D11" i="320"/>
  <c r="C11" i="320"/>
  <c r="B11" i="320"/>
  <c r="I10" i="320"/>
  <c r="H10" i="320"/>
  <c r="G10" i="320"/>
  <c r="F10" i="320"/>
  <c r="E10" i="320"/>
  <c r="D10" i="320"/>
  <c r="C10" i="320"/>
  <c r="B10" i="320"/>
  <c r="I9" i="320"/>
  <c r="H9" i="320"/>
  <c r="G9" i="320"/>
  <c r="F9" i="320"/>
  <c r="E9" i="320"/>
  <c r="D9" i="320"/>
  <c r="C9" i="320"/>
  <c r="B9" i="320"/>
  <c r="I8" i="320"/>
  <c r="H8" i="320"/>
  <c r="G8" i="320"/>
  <c r="F8" i="320"/>
  <c r="E8" i="320"/>
  <c r="D8" i="320"/>
  <c r="C8" i="320"/>
  <c r="B8" i="320"/>
  <c r="I7" i="320"/>
  <c r="H7" i="320"/>
  <c r="G7" i="320"/>
  <c r="F7" i="320"/>
  <c r="E7" i="320"/>
  <c r="D7" i="320"/>
  <c r="C7" i="320"/>
  <c r="B7" i="320"/>
  <c r="I5" i="320"/>
  <c r="I6" i="320" s="1"/>
  <c r="H5" i="320"/>
  <c r="H6" i="320" s="1"/>
  <c r="G5" i="320"/>
  <c r="G63" i="320" s="1"/>
  <c r="F5" i="320"/>
  <c r="F63" i="320" s="1"/>
  <c r="F65" i="320" s="1"/>
  <c r="E5" i="320"/>
  <c r="E6" i="320" s="1"/>
  <c r="D5" i="320"/>
  <c r="D63" i="320" s="1"/>
  <c r="C5" i="320"/>
  <c r="B5" i="320"/>
  <c r="K71" i="315"/>
  <c r="J71" i="315"/>
  <c r="I71" i="315"/>
  <c r="H71" i="315"/>
  <c r="G71" i="315"/>
  <c r="F71" i="315"/>
  <c r="E71" i="315"/>
  <c r="K70" i="315"/>
  <c r="J70" i="315"/>
  <c r="I70" i="315"/>
  <c r="H70" i="315"/>
  <c r="G70" i="315"/>
  <c r="F70" i="315"/>
  <c r="E70" i="315"/>
  <c r="K69" i="315"/>
  <c r="J69" i="315"/>
  <c r="I69" i="315"/>
  <c r="H69" i="315"/>
  <c r="G69" i="315"/>
  <c r="F69" i="315"/>
  <c r="E69" i="315"/>
  <c r="K68" i="315"/>
  <c r="J68" i="315"/>
  <c r="I68" i="315"/>
  <c r="H68" i="315"/>
  <c r="G68" i="315"/>
  <c r="F68" i="315"/>
  <c r="E68" i="315"/>
  <c r="K67" i="315"/>
  <c r="J67" i="315"/>
  <c r="I67" i="315"/>
  <c r="H67" i="315"/>
  <c r="G67" i="315"/>
  <c r="F67" i="315"/>
  <c r="E67" i="315"/>
  <c r="K66" i="315"/>
  <c r="J66" i="315"/>
  <c r="I66" i="315"/>
  <c r="H66" i="315"/>
  <c r="G66" i="315"/>
  <c r="F66" i="315"/>
  <c r="E66" i="315"/>
  <c r="K65" i="315"/>
  <c r="J65" i="315"/>
  <c r="I65" i="315"/>
  <c r="H65" i="315"/>
  <c r="G65" i="315"/>
  <c r="F65" i="315"/>
  <c r="E65" i="315"/>
  <c r="Q48" i="315"/>
  <c r="P48" i="315"/>
  <c r="O48" i="315"/>
  <c r="N48" i="315"/>
  <c r="M48" i="315"/>
  <c r="L48" i="315"/>
  <c r="K48" i="315"/>
  <c r="J48" i="315"/>
  <c r="I48" i="315"/>
  <c r="H48" i="315"/>
  <c r="G48" i="315"/>
  <c r="F48" i="315"/>
  <c r="E48" i="315"/>
  <c r="D48" i="315"/>
  <c r="C48" i="315"/>
  <c r="B48" i="315"/>
  <c r="Q47" i="315"/>
  <c r="P47" i="315"/>
  <c r="O47" i="315"/>
  <c r="N47" i="315"/>
  <c r="M47" i="315"/>
  <c r="L47" i="315"/>
  <c r="K47" i="315"/>
  <c r="J47" i="315"/>
  <c r="I47" i="315"/>
  <c r="H47" i="315"/>
  <c r="G47" i="315"/>
  <c r="F47" i="315"/>
  <c r="E47" i="315"/>
  <c r="D47" i="315"/>
  <c r="C47" i="315"/>
  <c r="B47" i="315"/>
  <c r="Q46" i="315"/>
  <c r="P46" i="315"/>
  <c r="O46" i="315"/>
  <c r="N46" i="315"/>
  <c r="M46" i="315"/>
  <c r="L46" i="315"/>
  <c r="K46" i="315"/>
  <c r="J46" i="315"/>
  <c r="I46" i="315"/>
  <c r="H46" i="315"/>
  <c r="G46" i="315"/>
  <c r="F46" i="315"/>
  <c r="E46" i="315"/>
  <c r="D46" i="315"/>
  <c r="C46" i="315"/>
  <c r="B46" i="315"/>
  <c r="Q45" i="315"/>
  <c r="P45" i="315"/>
  <c r="O45" i="315"/>
  <c r="N45" i="315"/>
  <c r="M45" i="315"/>
  <c r="L45" i="315"/>
  <c r="K45" i="315"/>
  <c r="J45" i="315"/>
  <c r="I45" i="315"/>
  <c r="H45" i="315"/>
  <c r="G45" i="315"/>
  <c r="F45" i="315"/>
  <c r="E45" i="315"/>
  <c r="D45" i="315"/>
  <c r="C45" i="315"/>
  <c r="B45" i="315"/>
  <c r="Q44" i="315"/>
  <c r="P44" i="315"/>
  <c r="O44" i="315"/>
  <c r="N44" i="315"/>
  <c r="M44" i="315"/>
  <c r="L44" i="315"/>
  <c r="K44" i="315"/>
  <c r="J44" i="315"/>
  <c r="I44" i="315"/>
  <c r="H44" i="315"/>
  <c r="G44" i="315"/>
  <c r="F44" i="315"/>
  <c r="E44" i="315"/>
  <c r="D44" i="315"/>
  <c r="C44" i="315"/>
  <c r="B44" i="315"/>
  <c r="Q43" i="315"/>
  <c r="P43" i="315"/>
  <c r="O43" i="315"/>
  <c r="N43" i="315"/>
  <c r="M43" i="315"/>
  <c r="L43" i="315"/>
  <c r="K43" i="315"/>
  <c r="J43" i="315"/>
  <c r="I43" i="315"/>
  <c r="H43" i="315"/>
  <c r="G43" i="315"/>
  <c r="F43" i="315"/>
  <c r="E43" i="315"/>
  <c r="D43" i="315"/>
  <c r="C43" i="315"/>
  <c r="B43" i="315"/>
  <c r="Q42" i="315"/>
  <c r="P42" i="315"/>
  <c r="O42" i="315"/>
  <c r="N42" i="315"/>
  <c r="M42" i="315"/>
  <c r="L42" i="315"/>
  <c r="K42" i="315"/>
  <c r="J42" i="315"/>
  <c r="I42" i="315"/>
  <c r="H42" i="315"/>
  <c r="G42" i="315"/>
  <c r="F42" i="315"/>
  <c r="E42" i="315"/>
  <c r="D42" i="315"/>
  <c r="C42" i="315"/>
  <c r="B42" i="315"/>
  <c r="Q41" i="315"/>
  <c r="P41" i="315"/>
  <c r="O41" i="315"/>
  <c r="N41" i="315"/>
  <c r="M41" i="315"/>
  <c r="L41" i="315"/>
  <c r="K41" i="315"/>
  <c r="J41" i="315"/>
  <c r="I41" i="315"/>
  <c r="H41" i="315"/>
  <c r="G41" i="315"/>
  <c r="F41" i="315"/>
  <c r="E41" i="315"/>
  <c r="D41" i="315"/>
  <c r="C41" i="315"/>
  <c r="B41" i="315"/>
  <c r="Q40" i="315"/>
  <c r="P40" i="315"/>
  <c r="O40" i="315"/>
  <c r="N40" i="315"/>
  <c r="M40" i="315"/>
  <c r="L40" i="315"/>
  <c r="K40" i="315"/>
  <c r="J40" i="315"/>
  <c r="I40" i="315"/>
  <c r="H40" i="315"/>
  <c r="G40" i="315"/>
  <c r="F40" i="315"/>
  <c r="E40" i="315"/>
  <c r="D40" i="315"/>
  <c r="C40" i="315"/>
  <c r="B40" i="315"/>
  <c r="Q39" i="315"/>
  <c r="P39" i="315"/>
  <c r="O39" i="315"/>
  <c r="N39" i="315"/>
  <c r="M39" i="315"/>
  <c r="L39" i="315"/>
  <c r="K39" i="315"/>
  <c r="J39" i="315"/>
  <c r="I39" i="315"/>
  <c r="H39" i="315"/>
  <c r="G39" i="315"/>
  <c r="F39" i="315"/>
  <c r="E39" i="315"/>
  <c r="D39" i="315"/>
  <c r="C39" i="315"/>
  <c r="B39" i="315"/>
  <c r="Q38" i="315"/>
  <c r="P38" i="315"/>
  <c r="O38" i="315"/>
  <c r="N38" i="315"/>
  <c r="M38" i="315"/>
  <c r="L38" i="315"/>
  <c r="K38" i="315"/>
  <c r="J38" i="315"/>
  <c r="I38" i="315"/>
  <c r="H38" i="315"/>
  <c r="G38" i="315"/>
  <c r="F38" i="315"/>
  <c r="E38" i="315"/>
  <c r="D38" i="315"/>
  <c r="C38" i="315"/>
  <c r="B38" i="315"/>
  <c r="Q37" i="315"/>
  <c r="P37" i="315"/>
  <c r="O37" i="315"/>
  <c r="N37" i="315"/>
  <c r="M37" i="315"/>
  <c r="L37" i="315"/>
  <c r="K37" i="315"/>
  <c r="J37" i="315"/>
  <c r="I37" i="315"/>
  <c r="H37" i="315"/>
  <c r="G37" i="315"/>
  <c r="F37" i="315"/>
  <c r="E37" i="315"/>
  <c r="D37" i="315"/>
  <c r="C37" i="315"/>
  <c r="B37" i="315"/>
  <c r="Q36" i="315"/>
  <c r="P36" i="315"/>
  <c r="O36" i="315"/>
  <c r="N36" i="315"/>
  <c r="M36" i="315"/>
  <c r="L36" i="315"/>
  <c r="K36" i="315"/>
  <c r="J36" i="315"/>
  <c r="I36" i="315"/>
  <c r="H36" i="315"/>
  <c r="G36" i="315"/>
  <c r="F36" i="315"/>
  <c r="E36" i="315"/>
  <c r="D36" i="315"/>
  <c r="C36" i="315"/>
  <c r="B36" i="315"/>
  <c r="Q35" i="315"/>
  <c r="P35" i="315"/>
  <c r="O35" i="315"/>
  <c r="N35" i="315"/>
  <c r="M35" i="315"/>
  <c r="L35" i="315"/>
  <c r="K35" i="315"/>
  <c r="J35" i="315"/>
  <c r="I35" i="315"/>
  <c r="H35" i="315"/>
  <c r="G35" i="315"/>
  <c r="F35" i="315"/>
  <c r="E35" i="315"/>
  <c r="D35" i="315"/>
  <c r="C35" i="315"/>
  <c r="B35" i="315"/>
  <c r="Q34" i="315"/>
  <c r="P34" i="315"/>
  <c r="O34" i="315"/>
  <c r="N34" i="315"/>
  <c r="M34" i="315"/>
  <c r="L34" i="315"/>
  <c r="K34" i="315"/>
  <c r="J34" i="315"/>
  <c r="I34" i="315"/>
  <c r="H34" i="315"/>
  <c r="G34" i="315"/>
  <c r="F34" i="315"/>
  <c r="E34" i="315"/>
  <c r="D34" i="315"/>
  <c r="C34" i="315"/>
  <c r="B34" i="315"/>
  <c r="Q33" i="315"/>
  <c r="P33" i="315"/>
  <c r="O33" i="315"/>
  <c r="N33" i="315"/>
  <c r="M33" i="315"/>
  <c r="L33" i="315"/>
  <c r="K33" i="315"/>
  <c r="J33" i="315"/>
  <c r="I33" i="315"/>
  <c r="H33" i="315"/>
  <c r="G33" i="315"/>
  <c r="F33" i="315"/>
  <c r="E33" i="315"/>
  <c r="D33" i="315"/>
  <c r="C33" i="315"/>
  <c r="B33" i="315"/>
  <c r="Q32" i="315"/>
  <c r="P32" i="315"/>
  <c r="O32" i="315"/>
  <c r="N32" i="315"/>
  <c r="M32" i="315"/>
  <c r="L32" i="315"/>
  <c r="K32" i="315"/>
  <c r="J32" i="315"/>
  <c r="I32" i="315"/>
  <c r="H32" i="315"/>
  <c r="G32" i="315"/>
  <c r="F32" i="315"/>
  <c r="E32" i="315"/>
  <c r="D32" i="315"/>
  <c r="C32" i="315"/>
  <c r="B32" i="315"/>
  <c r="Q21" i="315"/>
  <c r="P21" i="315"/>
  <c r="O21" i="315"/>
  <c r="N21" i="315"/>
  <c r="M21" i="315"/>
  <c r="L21" i="315"/>
  <c r="K21" i="315"/>
  <c r="J21" i="315"/>
  <c r="I21" i="315"/>
  <c r="H21" i="315"/>
  <c r="G21" i="315"/>
  <c r="F21" i="315"/>
  <c r="E21" i="315"/>
  <c r="D21" i="315"/>
  <c r="C21" i="315"/>
  <c r="B21" i="315"/>
  <c r="Q20" i="315"/>
  <c r="P20" i="315"/>
  <c r="O20" i="315"/>
  <c r="N20" i="315"/>
  <c r="M20" i="315"/>
  <c r="L20" i="315"/>
  <c r="K20" i="315"/>
  <c r="J20" i="315"/>
  <c r="I20" i="315"/>
  <c r="H20" i="315"/>
  <c r="G20" i="315"/>
  <c r="F20" i="315"/>
  <c r="E20" i="315"/>
  <c r="D20" i="315"/>
  <c r="C20" i="315"/>
  <c r="B20" i="315"/>
  <c r="Q19" i="315"/>
  <c r="P19" i="315"/>
  <c r="O19" i="315"/>
  <c r="N19" i="315"/>
  <c r="M19" i="315"/>
  <c r="L19" i="315"/>
  <c r="K19" i="315"/>
  <c r="J19" i="315"/>
  <c r="I19" i="315"/>
  <c r="H19" i="315"/>
  <c r="G19" i="315"/>
  <c r="F19" i="315"/>
  <c r="E19" i="315"/>
  <c r="D19" i="315"/>
  <c r="C19" i="315"/>
  <c r="B19" i="315"/>
  <c r="Q18" i="315"/>
  <c r="P18" i="315"/>
  <c r="O18" i="315"/>
  <c r="N18" i="315"/>
  <c r="M18" i="315"/>
  <c r="L18" i="315"/>
  <c r="K18" i="315"/>
  <c r="J18" i="315"/>
  <c r="I18" i="315"/>
  <c r="H18" i="315"/>
  <c r="G18" i="315"/>
  <c r="F18" i="315"/>
  <c r="E18" i="315"/>
  <c r="D18" i="315"/>
  <c r="C18" i="315"/>
  <c r="B18" i="315"/>
  <c r="Q17" i="315"/>
  <c r="P17" i="315"/>
  <c r="O17" i="315"/>
  <c r="N17" i="315"/>
  <c r="M17" i="315"/>
  <c r="L17" i="315"/>
  <c r="K17" i="315"/>
  <c r="J17" i="315"/>
  <c r="I17" i="315"/>
  <c r="H17" i="315"/>
  <c r="G17" i="315"/>
  <c r="F17" i="315"/>
  <c r="E17" i="315"/>
  <c r="D17" i="315"/>
  <c r="C17" i="315"/>
  <c r="B17" i="315"/>
  <c r="Q16" i="315"/>
  <c r="P16" i="315"/>
  <c r="O16" i="315"/>
  <c r="N16" i="315"/>
  <c r="M16" i="315"/>
  <c r="L16" i="315"/>
  <c r="K16" i="315"/>
  <c r="J16" i="315"/>
  <c r="I16" i="315"/>
  <c r="H16" i="315"/>
  <c r="G16" i="315"/>
  <c r="F16" i="315"/>
  <c r="E16" i="315"/>
  <c r="D16" i="315"/>
  <c r="C16" i="315"/>
  <c r="B16" i="315"/>
  <c r="Q15" i="315"/>
  <c r="P15" i="315"/>
  <c r="O15" i="315"/>
  <c r="N15" i="315"/>
  <c r="M15" i="315"/>
  <c r="L15" i="315"/>
  <c r="K15" i="315"/>
  <c r="J15" i="315"/>
  <c r="I15" i="315"/>
  <c r="H15" i="315"/>
  <c r="G15" i="315"/>
  <c r="F15" i="315"/>
  <c r="E15" i="315"/>
  <c r="D15" i="315"/>
  <c r="C15" i="315"/>
  <c r="B15" i="315"/>
  <c r="Q14" i="315"/>
  <c r="P14" i="315"/>
  <c r="O14" i="315"/>
  <c r="N14" i="315"/>
  <c r="M14" i="315"/>
  <c r="L14" i="315"/>
  <c r="K14" i="315"/>
  <c r="J14" i="315"/>
  <c r="I14" i="315"/>
  <c r="H14" i="315"/>
  <c r="G14" i="315"/>
  <c r="F14" i="315"/>
  <c r="E14" i="315"/>
  <c r="D14" i="315"/>
  <c r="C14" i="315"/>
  <c r="B14" i="315"/>
  <c r="Q13" i="315"/>
  <c r="P13" i="315"/>
  <c r="O13" i="315"/>
  <c r="N13" i="315"/>
  <c r="M13" i="315"/>
  <c r="L13" i="315"/>
  <c r="K13" i="315"/>
  <c r="J13" i="315"/>
  <c r="I13" i="315"/>
  <c r="H13" i="315"/>
  <c r="G13" i="315"/>
  <c r="F13" i="315"/>
  <c r="E13" i="315"/>
  <c r="D13" i="315"/>
  <c r="C13" i="315"/>
  <c r="B13" i="315"/>
  <c r="Q12" i="315"/>
  <c r="P12" i="315"/>
  <c r="O12" i="315"/>
  <c r="N12" i="315"/>
  <c r="M12" i="315"/>
  <c r="L12" i="315"/>
  <c r="K12" i="315"/>
  <c r="J12" i="315"/>
  <c r="I12" i="315"/>
  <c r="H12" i="315"/>
  <c r="G12" i="315"/>
  <c r="F12" i="315"/>
  <c r="E12" i="315"/>
  <c r="D12" i="315"/>
  <c r="C12" i="315"/>
  <c r="B12" i="315"/>
  <c r="Q11" i="315"/>
  <c r="P11" i="315"/>
  <c r="O11" i="315"/>
  <c r="N11" i="315"/>
  <c r="M11" i="315"/>
  <c r="L11" i="315"/>
  <c r="K11" i="315"/>
  <c r="J11" i="315"/>
  <c r="I11" i="315"/>
  <c r="H11" i="315"/>
  <c r="G11" i="315"/>
  <c r="F11" i="315"/>
  <c r="E11" i="315"/>
  <c r="D11" i="315"/>
  <c r="C11" i="315"/>
  <c r="B11" i="315"/>
  <c r="C85" i="314"/>
  <c r="B85" i="314"/>
  <c r="C84" i="314"/>
  <c r="B84" i="314"/>
  <c r="C83" i="314"/>
  <c r="B83" i="314"/>
  <c r="C82" i="314"/>
  <c r="B82" i="314"/>
  <c r="C81" i="314"/>
  <c r="B81" i="314"/>
  <c r="C80" i="314"/>
  <c r="B80" i="314"/>
  <c r="C79" i="314"/>
  <c r="B79" i="314"/>
  <c r="C78" i="314"/>
  <c r="B78" i="314"/>
  <c r="C77" i="314"/>
  <c r="B77" i="314"/>
  <c r="C76" i="314"/>
  <c r="B76" i="314"/>
  <c r="C75" i="314"/>
  <c r="B75" i="314"/>
  <c r="C74" i="314"/>
  <c r="B74" i="314"/>
  <c r="C73" i="314"/>
  <c r="B73" i="314"/>
  <c r="C72" i="314"/>
  <c r="B72" i="314"/>
  <c r="I63" i="314"/>
  <c r="H63" i="314"/>
  <c r="G63" i="314"/>
  <c r="F63" i="314"/>
  <c r="E63" i="314"/>
  <c r="D63" i="314"/>
  <c r="C63" i="314"/>
  <c r="B63" i="314"/>
  <c r="I62" i="314"/>
  <c r="H62" i="314"/>
  <c r="G62" i="314"/>
  <c r="F62" i="314"/>
  <c r="E62" i="314"/>
  <c r="D62" i="314"/>
  <c r="C62" i="314"/>
  <c r="B62" i="314"/>
  <c r="H56" i="314"/>
  <c r="G56" i="314"/>
  <c r="F56" i="314"/>
  <c r="E56" i="314"/>
  <c r="D56" i="314"/>
  <c r="C56" i="314"/>
  <c r="B56" i="314"/>
  <c r="H55" i="314"/>
  <c r="G55" i="314"/>
  <c r="F55" i="314"/>
  <c r="E55" i="314"/>
  <c r="D55" i="314"/>
  <c r="C55" i="314"/>
  <c r="B55" i="314"/>
  <c r="H54" i="314"/>
  <c r="G54" i="314"/>
  <c r="F54" i="314"/>
  <c r="E54" i="314"/>
  <c r="D54" i="314"/>
  <c r="C54" i="314"/>
  <c r="B54" i="314"/>
  <c r="H53" i="314"/>
  <c r="G53" i="314"/>
  <c r="F53" i="314"/>
  <c r="E53" i="314"/>
  <c r="D53" i="314"/>
  <c r="C53" i="314"/>
  <c r="B53" i="314"/>
  <c r="H52" i="314"/>
  <c r="G52" i="314"/>
  <c r="F52" i="314"/>
  <c r="E52" i="314"/>
  <c r="D52" i="314"/>
  <c r="C52" i="314"/>
  <c r="B52" i="314"/>
  <c r="H50" i="314"/>
  <c r="G50" i="314"/>
  <c r="F50" i="314"/>
  <c r="E50" i="314"/>
  <c r="D50" i="314"/>
  <c r="C50" i="314"/>
  <c r="B50" i="314"/>
  <c r="H49" i="314"/>
  <c r="G49" i="314"/>
  <c r="F49" i="314"/>
  <c r="E49" i="314"/>
  <c r="D49" i="314"/>
  <c r="C49" i="314"/>
  <c r="B49" i="314"/>
  <c r="H48" i="314"/>
  <c r="H51" i="314" s="1"/>
  <c r="G48" i="314"/>
  <c r="G51" i="314" s="1"/>
  <c r="F48" i="314"/>
  <c r="E48" i="314"/>
  <c r="D48" i="314"/>
  <c r="C48" i="314"/>
  <c r="C51" i="314" s="1"/>
  <c r="B48" i="314"/>
  <c r="D39" i="314"/>
  <c r="C39" i="314"/>
  <c r="B39" i="314"/>
  <c r="D36" i="314"/>
  <c r="C36" i="314"/>
  <c r="B36" i="314"/>
  <c r="D35" i="314"/>
  <c r="C35" i="314"/>
  <c r="B35" i="314"/>
  <c r="D34" i="314"/>
  <c r="C34" i="314"/>
  <c r="B34" i="314"/>
  <c r="D33" i="314"/>
  <c r="C33" i="314"/>
  <c r="B33" i="314"/>
  <c r="D31" i="314"/>
  <c r="C31" i="314"/>
  <c r="B31" i="314"/>
  <c r="D30" i="314"/>
  <c r="C30" i="314"/>
  <c r="B30" i="314"/>
  <c r="D29" i="314"/>
  <c r="C29" i="314"/>
  <c r="B29" i="314"/>
  <c r="D28" i="314"/>
  <c r="C28" i="314"/>
  <c r="B28" i="314"/>
  <c r="D27" i="314"/>
  <c r="C27" i="314"/>
  <c r="B27" i="314"/>
  <c r="D26" i="314"/>
  <c r="C26" i="314"/>
  <c r="B26" i="314"/>
  <c r="D25" i="314"/>
  <c r="C25" i="314"/>
  <c r="B25" i="314"/>
  <c r="D24" i="314"/>
  <c r="C24" i="314"/>
  <c r="B24" i="314"/>
  <c r="D23" i="314"/>
  <c r="C23" i="314"/>
  <c r="B23" i="314"/>
  <c r="D22" i="314"/>
  <c r="C22" i="314"/>
  <c r="B22" i="314"/>
  <c r="D21" i="314"/>
  <c r="C21" i="314"/>
  <c r="B21" i="314"/>
  <c r="D20" i="314"/>
  <c r="C20" i="314"/>
  <c r="B20" i="314"/>
  <c r="D19" i="314"/>
  <c r="C19" i="314"/>
  <c r="B19" i="314"/>
  <c r="D18" i="314"/>
  <c r="C18" i="314"/>
  <c r="B18" i="314"/>
  <c r="D17" i="314"/>
  <c r="C17" i="314"/>
  <c r="B17" i="314"/>
  <c r="D16" i="314"/>
  <c r="C16" i="314"/>
  <c r="B16" i="314"/>
  <c r="D15" i="314"/>
  <c r="C15" i="314"/>
  <c r="B15" i="314"/>
  <c r="D14" i="314"/>
  <c r="C14" i="314"/>
  <c r="B14" i="314"/>
  <c r="D10" i="314"/>
  <c r="C10" i="314"/>
  <c r="B10" i="314"/>
  <c r="D9" i="314"/>
  <c r="C9" i="314"/>
  <c r="B9" i="314"/>
  <c r="D8" i="314"/>
  <c r="C8" i="314"/>
  <c r="B8" i="314"/>
  <c r="D6" i="314"/>
  <c r="D38" i="314" s="1"/>
  <c r="C6" i="314"/>
  <c r="B6" i="314"/>
  <c r="B38" i="314" s="1"/>
  <c r="K70" i="308"/>
  <c r="J70" i="308"/>
  <c r="I70" i="308"/>
  <c r="H70" i="308"/>
  <c r="G70" i="308"/>
  <c r="F70" i="308"/>
  <c r="E70" i="308"/>
  <c r="K69" i="308"/>
  <c r="J69" i="308"/>
  <c r="I69" i="308"/>
  <c r="H69" i="308"/>
  <c r="G69" i="308"/>
  <c r="F69" i="308"/>
  <c r="E69" i="308"/>
  <c r="K68" i="308"/>
  <c r="J68" i="308"/>
  <c r="I68" i="308"/>
  <c r="H68" i="308"/>
  <c r="G68" i="308"/>
  <c r="F68" i="308"/>
  <c r="E68" i="308"/>
  <c r="K67" i="308"/>
  <c r="J67" i="308"/>
  <c r="I67" i="308"/>
  <c r="H67" i="308"/>
  <c r="G67" i="308"/>
  <c r="F67" i="308"/>
  <c r="E67" i="308"/>
  <c r="K66" i="308"/>
  <c r="J66" i="308"/>
  <c r="I66" i="308"/>
  <c r="H66" i="308"/>
  <c r="G66" i="308"/>
  <c r="F66" i="308"/>
  <c r="E66" i="308"/>
  <c r="K65" i="308"/>
  <c r="J65" i="308"/>
  <c r="I65" i="308"/>
  <c r="H65" i="308"/>
  <c r="G65" i="308"/>
  <c r="F65" i="308"/>
  <c r="E65" i="308"/>
  <c r="K64" i="308"/>
  <c r="J64" i="308"/>
  <c r="I64" i="308"/>
  <c r="H64" i="308"/>
  <c r="G64" i="308"/>
  <c r="F64" i="308"/>
  <c r="E64" i="308"/>
  <c r="Q47" i="308"/>
  <c r="P47" i="308"/>
  <c r="O47" i="308"/>
  <c r="N47" i="308"/>
  <c r="M47" i="308"/>
  <c r="L47" i="308"/>
  <c r="K47" i="308"/>
  <c r="J47" i="308"/>
  <c r="I47" i="308"/>
  <c r="H47" i="308"/>
  <c r="G47" i="308"/>
  <c r="F47" i="308"/>
  <c r="E47" i="308"/>
  <c r="D47" i="308"/>
  <c r="C47" i="308"/>
  <c r="B47" i="308"/>
  <c r="Q46" i="308"/>
  <c r="P46" i="308"/>
  <c r="O46" i="308"/>
  <c r="N46" i="308"/>
  <c r="M46" i="308"/>
  <c r="L46" i="308"/>
  <c r="K46" i="308"/>
  <c r="J46" i="308"/>
  <c r="I46" i="308"/>
  <c r="H46" i="308"/>
  <c r="G46" i="308"/>
  <c r="F46" i="308"/>
  <c r="E46" i="308"/>
  <c r="D46" i="308"/>
  <c r="C46" i="308"/>
  <c r="B46" i="308"/>
  <c r="Q45" i="308"/>
  <c r="P45" i="308"/>
  <c r="O45" i="308"/>
  <c r="N45" i="308"/>
  <c r="M45" i="308"/>
  <c r="L45" i="308"/>
  <c r="K45" i="308"/>
  <c r="J45" i="308"/>
  <c r="I45" i="308"/>
  <c r="H45" i="308"/>
  <c r="G45" i="308"/>
  <c r="F45" i="308"/>
  <c r="E45" i="308"/>
  <c r="D45" i="308"/>
  <c r="C45" i="308"/>
  <c r="B45" i="308"/>
  <c r="Q44" i="308"/>
  <c r="P44" i="308"/>
  <c r="O44" i="308"/>
  <c r="N44" i="308"/>
  <c r="M44" i="308"/>
  <c r="L44" i="308"/>
  <c r="K44" i="308"/>
  <c r="J44" i="308"/>
  <c r="I44" i="308"/>
  <c r="H44" i="308"/>
  <c r="G44" i="308"/>
  <c r="F44" i="308"/>
  <c r="E44" i="308"/>
  <c r="D44" i="308"/>
  <c r="C44" i="308"/>
  <c r="B44" i="308"/>
  <c r="Q43" i="308"/>
  <c r="P43" i="308"/>
  <c r="O43" i="308"/>
  <c r="N43" i="308"/>
  <c r="M43" i="308"/>
  <c r="L43" i="308"/>
  <c r="K43" i="308"/>
  <c r="J43" i="308"/>
  <c r="I43" i="308"/>
  <c r="H43" i="308"/>
  <c r="G43" i="308"/>
  <c r="F43" i="308"/>
  <c r="E43" i="308"/>
  <c r="D43" i="308"/>
  <c r="C43" i="308"/>
  <c r="B43" i="308"/>
  <c r="Q42" i="308"/>
  <c r="P42" i="308"/>
  <c r="O42" i="308"/>
  <c r="N42" i="308"/>
  <c r="M42" i="308"/>
  <c r="L42" i="308"/>
  <c r="K42" i="308"/>
  <c r="J42" i="308"/>
  <c r="I42" i="308"/>
  <c r="H42" i="308"/>
  <c r="G42" i="308"/>
  <c r="F42" i="308"/>
  <c r="E42" i="308"/>
  <c r="D42" i="308"/>
  <c r="C42" i="308"/>
  <c r="B42" i="308"/>
  <c r="Q41" i="308"/>
  <c r="P41" i="308"/>
  <c r="O41" i="308"/>
  <c r="N41" i="308"/>
  <c r="M41" i="308"/>
  <c r="L41" i="308"/>
  <c r="K41" i="308"/>
  <c r="J41" i="308"/>
  <c r="I41" i="308"/>
  <c r="H41" i="308"/>
  <c r="G41" i="308"/>
  <c r="F41" i="308"/>
  <c r="E41" i="308"/>
  <c r="D41" i="308"/>
  <c r="C41" i="308"/>
  <c r="B41" i="308"/>
  <c r="Q40" i="308"/>
  <c r="P40" i="308"/>
  <c r="O40" i="308"/>
  <c r="N40" i="308"/>
  <c r="M40" i="308"/>
  <c r="L40" i="308"/>
  <c r="K40" i="308"/>
  <c r="J40" i="308"/>
  <c r="I40" i="308"/>
  <c r="H40" i="308"/>
  <c r="G40" i="308"/>
  <c r="F40" i="308"/>
  <c r="E40" i="308"/>
  <c r="D40" i="308"/>
  <c r="C40" i="308"/>
  <c r="B40" i="308"/>
  <c r="Q39" i="308"/>
  <c r="P39" i="308"/>
  <c r="O39" i="308"/>
  <c r="N39" i="308"/>
  <c r="M39" i="308"/>
  <c r="L39" i="308"/>
  <c r="K39" i="308"/>
  <c r="J39" i="308"/>
  <c r="I39" i="308"/>
  <c r="H39" i="308"/>
  <c r="G39" i="308"/>
  <c r="F39" i="308"/>
  <c r="E39" i="308"/>
  <c r="D39" i="308"/>
  <c r="C39" i="308"/>
  <c r="B39" i="308"/>
  <c r="Q38" i="308"/>
  <c r="P38" i="308"/>
  <c r="O38" i="308"/>
  <c r="N38" i="308"/>
  <c r="M38" i="308"/>
  <c r="L38" i="308"/>
  <c r="K38" i="308"/>
  <c r="J38" i="308"/>
  <c r="I38" i="308"/>
  <c r="H38" i="308"/>
  <c r="G38" i="308"/>
  <c r="F38" i="308"/>
  <c r="E38" i="308"/>
  <c r="D38" i="308"/>
  <c r="C38" i="308"/>
  <c r="B38" i="308"/>
  <c r="Q37" i="308"/>
  <c r="P37" i="308"/>
  <c r="O37" i="308"/>
  <c r="N37" i="308"/>
  <c r="M37" i="308"/>
  <c r="L37" i="308"/>
  <c r="K37" i="308"/>
  <c r="J37" i="308"/>
  <c r="I37" i="308"/>
  <c r="H37" i="308"/>
  <c r="G37" i="308"/>
  <c r="F37" i="308"/>
  <c r="E37" i="308"/>
  <c r="D37" i="308"/>
  <c r="C37" i="308"/>
  <c r="B37" i="308"/>
  <c r="Q36" i="308"/>
  <c r="P36" i="308"/>
  <c r="O36" i="308"/>
  <c r="N36" i="308"/>
  <c r="M36" i="308"/>
  <c r="L36" i="308"/>
  <c r="K36" i="308"/>
  <c r="J36" i="308"/>
  <c r="I36" i="308"/>
  <c r="H36" i="308"/>
  <c r="G36" i="308"/>
  <c r="F36" i="308"/>
  <c r="E36" i="308"/>
  <c r="D36" i="308"/>
  <c r="C36" i="308"/>
  <c r="B36" i="308"/>
  <c r="Q35" i="308"/>
  <c r="P35" i="308"/>
  <c r="O35" i="308"/>
  <c r="N35" i="308"/>
  <c r="M35" i="308"/>
  <c r="L35" i="308"/>
  <c r="K35" i="308"/>
  <c r="J35" i="308"/>
  <c r="I35" i="308"/>
  <c r="H35" i="308"/>
  <c r="G35" i="308"/>
  <c r="F35" i="308"/>
  <c r="E35" i="308"/>
  <c r="D35" i="308"/>
  <c r="C35" i="308"/>
  <c r="B35" i="308"/>
  <c r="Q34" i="308"/>
  <c r="P34" i="308"/>
  <c r="O34" i="308"/>
  <c r="N34" i="308"/>
  <c r="M34" i="308"/>
  <c r="L34" i="308"/>
  <c r="K34" i="308"/>
  <c r="J34" i="308"/>
  <c r="I34" i="308"/>
  <c r="H34" i="308"/>
  <c r="G34" i="308"/>
  <c r="F34" i="308"/>
  <c r="E34" i="308"/>
  <c r="D34" i="308"/>
  <c r="C34" i="308"/>
  <c r="B34" i="308"/>
  <c r="Q33" i="308"/>
  <c r="P33" i="308"/>
  <c r="O33" i="308"/>
  <c r="N33" i="308"/>
  <c r="M33" i="308"/>
  <c r="L33" i="308"/>
  <c r="K33" i="308"/>
  <c r="J33" i="308"/>
  <c r="I33" i="308"/>
  <c r="H33" i="308"/>
  <c r="G33" i="308"/>
  <c r="F33" i="308"/>
  <c r="E33" i="308"/>
  <c r="D33" i="308"/>
  <c r="C33" i="308"/>
  <c r="B33" i="308"/>
  <c r="Q32" i="308"/>
  <c r="P32" i="308"/>
  <c r="O32" i="308"/>
  <c r="N32" i="308"/>
  <c r="M32" i="308"/>
  <c r="L32" i="308"/>
  <c r="K32" i="308"/>
  <c r="J32" i="308"/>
  <c r="I32" i="308"/>
  <c r="H32" i="308"/>
  <c r="G32" i="308"/>
  <c r="F32" i="308"/>
  <c r="E32" i="308"/>
  <c r="D32" i="308"/>
  <c r="C32" i="308"/>
  <c r="B32" i="308"/>
  <c r="Q31" i="308"/>
  <c r="P31" i="308"/>
  <c r="O31" i="308"/>
  <c r="N31" i="308"/>
  <c r="M31" i="308"/>
  <c r="L31" i="308"/>
  <c r="K31" i="308"/>
  <c r="J31" i="308"/>
  <c r="I31" i="308"/>
  <c r="H31" i="308"/>
  <c r="G31" i="308"/>
  <c r="F31" i="308"/>
  <c r="E31" i="308"/>
  <c r="D31" i="308"/>
  <c r="C31" i="308"/>
  <c r="B31" i="308"/>
  <c r="Q21" i="308"/>
  <c r="P21" i="308"/>
  <c r="O21" i="308"/>
  <c r="N21" i="308"/>
  <c r="M21" i="308"/>
  <c r="L21" i="308"/>
  <c r="K21" i="308"/>
  <c r="J21" i="308"/>
  <c r="I21" i="308"/>
  <c r="H21" i="308"/>
  <c r="G21" i="308"/>
  <c r="F21" i="308"/>
  <c r="E21" i="308"/>
  <c r="D21" i="308"/>
  <c r="C21" i="308"/>
  <c r="B21" i="308"/>
  <c r="Q20" i="308"/>
  <c r="P20" i="308"/>
  <c r="O20" i="308"/>
  <c r="N20" i="308"/>
  <c r="M20" i="308"/>
  <c r="L20" i="308"/>
  <c r="K20" i="308"/>
  <c r="J20" i="308"/>
  <c r="I20" i="308"/>
  <c r="H20" i="308"/>
  <c r="G20" i="308"/>
  <c r="F20" i="308"/>
  <c r="E20" i="308"/>
  <c r="D20" i="308"/>
  <c r="C20" i="308"/>
  <c r="B20" i="308"/>
  <c r="Q19" i="308"/>
  <c r="P19" i="308"/>
  <c r="O19" i="308"/>
  <c r="N19" i="308"/>
  <c r="M19" i="308"/>
  <c r="L19" i="308"/>
  <c r="K19" i="308"/>
  <c r="J19" i="308"/>
  <c r="I19" i="308"/>
  <c r="H19" i="308"/>
  <c r="G19" i="308"/>
  <c r="F19" i="308"/>
  <c r="E19" i="308"/>
  <c r="D19" i="308"/>
  <c r="C19" i="308"/>
  <c r="B19" i="308"/>
  <c r="Q18" i="308"/>
  <c r="P18" i="308"/>
  <c r="O18" i="308"/>
  <c r="N18" i="308"/>
  <c r="M18" i="308"/>
  <c r="L18" i="308"/>
  <c r="K18" i="308"/>
  <c r="J18" i="308"/>
  <c r="I18" i="308"/>
  <c r="H18" i="308"/>
  <c r="G18" i="308"/>
  <c r="F18" i="308"/>
  <c r="E18" i="308"/>
  <c r="D18" i="308"/>
  <c r="C18" i="308"/>
  <c r="B18" i="308"/>
  <c r="Q17" i="308"/>
  <c r="P17" i="308"/>
  <c r="O17" i="308"/>
  <c r="N17" i="308"/>
  <c r="M17" i="308"/>
  <c r="L17" i="308"/>
  <c r="K17" i="308"/>
  <c r="J17" i="308"/>
  <c r="I17" i="308"/>
  <c r="H17" i="308"/>
  <c r="G17" i="308"/>
  <c r="F17" i="308"/>
  <c r="E17" i="308"/>
  <c r="D17" i="308"/>
  <c r="C17" i="308"/>
  <c r="B17" i="308"/>
  <c r="Q16" i="308"/>
  <c r="P16" i="308"/>
  <c r="O16" i="308"/>
  <c r="N16" i="308"/>
  <c r="M16" i="308"/>
  <c r="L16" i="308"/>
  <c r="K16" i="308"/>
  <c r="J16" i="308"/>
  <c r="I16" i="308"/>
  <c r="H16" i="308"/>
  <c r="G16" i="308"/>
  <c r="F16" i="308"/>
  <c r="E16" i="308"/>
  <c r="D16" i="308"/>
  <c r="C16" i="308"/>
  <c r="B16" i="308"/>
  <c r="Q15" i="308"/>
  <c r="P15" i="308"/>
  <c r="O15" i="308"/>
  <c r="N15" i="308"/>
  <c r="M15" i="308"/>
  <c r="L15" i="308"/>
  <c r="K15" i="308"/>
  <c r="J15" i="308"/>
  <c r="I15" i="308"/>
  <c r="H15" i="308"/>
  <c r="G15" i="308"/>
  <c r="F15" i="308"/>
  <c r="E15" i="308"/>
  <c r="D15" i="308"/>
  <c r="C15" i="308"/>
  <c r="B15" i="308"/>
  <c r="Q14" i="308"/>
  <c r="P14" i="308"/>
  <c r="O14" i="308"/>
  <c r="N14" i="308"/>
  <c r="M14" i="308"/>
  <c r="L14" i="308"/>
  <c r="K14" i="308"/>
  <c r="J14" i="308"/>
  <c r="I14" i="308"/>
  <c r="H14" i="308"/>
  <c r="G14" i="308"/>
  <c r="F14" i="308"/>
  <c r="E14" i="308"/>
  <c r="D14" i="308"/>
  <c r="C14" i="308"/>
  <c r="B14" i="308"/>
  <c r="Q13" i="308"/>
  <c r="P13" i="308"/>
  <c r="O13" i="308"/>
  <c r="N13" i="308"/>
  <c r="M13" i="308"/>
  <c r="L13" i="308"/>
  <c r="K13" i="308"/>
  <c r="J13" i="308"/>
  <c r="I13" i="308"/>
  <c r="H13" i="308"/>
  <c r="G13" i="308"/>
  <c r="F13" i="308"/>
  <c r="E13" i="308"/>
  <c r="D13" i="308"/>
  <c r="C13" i="308"/>
  <c r="B13" i="308"/>
  <c r="Q12" i="308"/>
  <c r="P12" i="308"/>
  <c r="O12" i="308"/>
  <c r="N12" i="308"/>
  <c r="M12" i="308"/>
  <c r="L12" i="308"/>
  <c r="K12" i="308"/>
  <c r="J12" i="308"/>
  <c r="I12" i="308"/>
  <c r="H12" i="308"/>
  <c r="G12" i="308"/>
  <c r="F12" i="308"/>
  <c r="E12" i="308"/>
  <c r="D12" i="308"/>
  <c r="C12" i="308"/>
  <c r="B12" i="308"/>
  <c r="Q11" i="308"/>
  <c r="P11" i="308"/>
  <c r="O11" i="308"/>
  <c r="N11" i="308"/>
  <c r="M11" i="308"/>
  <c r="L11" i="308"/>
  <c r="K11" i="308"/>
  <c r="J11" i="308"/>
  <c r="I11" i="308"/>
  <c r="H11" i="308"/>
  <c r="G11" i="308"/>
  <c r="F11" i="308"/>
  <c r="E11" i="308"/>
  <c r="D11" i="308"/>
  <c r="C11" i="308"/>
  <c r="B11" i="308"/>
  <c r="C96" i="307"/>
  <c r="B96" i="307"/>
  <c r="C95" i="307"/>
  <c r="B95" i="307"/>
  <c r="C94" i="307"/>
  <c r="B94" i="307"/>
  <c r="C93" i="307"/>
  <c r="B93" i="307"/>
  <c r="C92" i="307"/>
  <c r="B92" i="307"/>
  <c r="C91" i="307"/>
  <c r="B91" i="307"/>
  <c r="C90" i="307"/>
  <c r="B90" i="307"/>
  <c r="C89" i="307"/>
  <c r="B89" i="307"/>
  <c r="C88" i="307"/>
  <c r="B88" i="307"/>
  <c r="C87" i="307"/>
  <c r="B87" i="307"/>
  <c r="C86" i="307"/>
  <c r="B86" i="307"/>
  <c r="C85" i="307"/>
  <c r="B85" i="307"/>
  <c r="C84" i="307"/>
  <c r="B84" i="307"/>
  <c r="C83" i="307"/>
  <c r="B83" i="307"/>
  <c r="I73" i="307"/>
  <c r="H73" i="307"/>
  <c r="G73" i="307"/>
  <c r="F73" i="307"/>
  <c r="E73" i="307"/>
  <c r="D73" i="307"/>
  <c r="C73" i="307"/>
  <c r="B73" i="307"/>
  <c r="I72" i="307"/>
  <c r="I74" i="307" s="1"/>
  <c r="H72" i="307"/>
  <c r="H74" i="307" s="1"/>
  <c r="G72" i="307"/>
  <c r="G74" i="307" s="1"/>
  <c r="F72" i="307"/>
  <c r="E72" i="307"/>
  <c r="E74" i="307" s="1"/>
  <c r="D72" i="307"/>
  <c r="C72" i="307"/>
  <c r="B72" i="307"/>
  <c r="I67" i="307"/>
  <c r="H66" i="307"/>
  <c r="G66" i="307"/>
  <c r="F66" i="307"/>
  <c r="E66" i="307"/>
  <c r="D66" i="307"/>
  <c r="C66" i="307"/>
  <c r="B66" i="307"/>
  <c r="H65" i="307"/>
  <c r="G65" i="307"/>
  <c r="F65" i="307"/>
  <c r="E65" i="307"/>
  <c r="D65" i="307"/>
  <c r="C65" i="307"/>
  <c r="B65" i="307"/>
  <c r="H64" i="307"/>
  <c r="G64" i="307"/>
  <c r="F64" i="307"/>
  <c r="E64" i="307"/>
  <c r="D64" i="307"/>
  <c r="C64" i="307"/>
  <c r="B64" i="307"/>
  <c r="H63" i="307"/>
  <c r="G63" i="307"/>
  <c r="F63" i="307"/>
  <c r="E63" i="307"/>
  <c r="D63" i="307"/>
  <c r="C63" i="307"/>
  <c r="B63" i="307"/>
  <c r="H62" i="307"/>
  <c r="G62" i="307"/>
  <c r="F62" i="307"/>
  <c r="E62" i="307"/>
  <c r="D62" i="307"/>
  <c r="C62" i="307"/>
  <c r="B62" i="307"/>
  <c r="H60" i="307"/>
  <c r="G60" i="307"/>
  <c r="F60" i="307"/>
  <c r="E60" i="307"/>
  <c r="D60" i="307"/>
  <c r="C60" i="307"/>
  <c r="B60" i="307"/>
  <c r="H59" i="307"/>
  <c r="G59" i="307"/>
  <c r="F59" i="307"/>
  <c r="E59" i="307"/>
  <c r="D59" i="307"/>
  <c r="C59" i="307"/>
  <c r="B59" i="307"/>
  <c r="H58" i="307"/>
  <c r="G58" i="307"/>
  <c r="F58" i="307"/>
  <c r="E58" i="307"/>
  <c r="D58" i="307"/>
  <c r="C58" i="307"/>
  <c r="B58" i="307"/>
  <c r="I49" i="307"/>
  <c r="H49" i="307"/>
  <c r="G49" i="307"/>
  <c r="F49" i="307"/>
  <c r="E49" i="307"/>
  <c r="D49" i="307"/>
  <c r="C49" i="307"/>
  <c r="B49" i="307"/>
  <c r="D46" i="307"/>
  <c r="C46" i="307"/>
  <c r="B46" i="307"/>
  <c r="D45" i="307"/>
  <c r="C45" i="307"/>
  <c r="B45" i="307"/>
  <c r="D44" i="307"/>
  <c r="C44" i="307"/>
  <c r="B44" i="307"/>
  <c r="D43" i="307"/>
  <c r="C43" i="307"/>
  <c r="B43" i="307"/>
  <c r="D42" i="307"/>
  <c r="C42" i="307"/>
  <c r="B42" i="307"/>
  <c r="D40" i="307"/>
  <c r="C40" i="307"/>
  <c r="B40" i="307"/>
  <c r="D39" i="307"/>
  <c r="C39" i="307"/>
  <c r="B39" i="307"/>
  <c r="D38" i="307"/>
  <c r="C38" i="307"/>
  <c r="B38" i="307"/>
  <c r="D37" i="307"/>
  <c r="C37" i="307"/>
  <c r="B37" i="307"/>
  <c r="D36" i="307"/>
  <c r="C36" i="307"/>
  <c r="B36" i="307"/>
  <c r="D35" i="307"/>
  <c r="C35" i="307"/>
  <c r="B35" i="307"/>
  <c r="D34" i="307"/>
  <c r="C34" i="307"/>
  <c r="B34" i="307"/>
  <c r="D33" i="307"/>
  <c r="C33" i="307"/>
  <c r="B33" i="307"/>
  <c r="D32" i="307"/>
  <c r="C32" i="307"/>
  <c r="B32" i="307"/>
  <c r="D31" i="307"/>
  <c r="C31" i="307"/>
  <c r="B31" i="307"/>
  <c r="D30" i="307"/>
  <c r="C30" i="307"/>
  <c r="B30" i="307"/>
  <c r="D29" i="307"/>
  <c r="C29" i="307"/>
  <c r="B29" i="307"/>
  <c r="D28" i="307"/>
  <c r="C28" i="307"/>
  <c r="B28" i="307"/>
  <c r="D27" i="307"/>
  <c r="C27" i="307"/>
  <c r="B27" i="307"/>
  <c r="D26" i="307"/>
  <c r="C26" i="307"/>
  <c r="B26" i="307"/>
  <c r="D25" i="307"/>
  <c r="C25" i="307"/>
  <c r="B25" i="307"/>
  <c r="D24" i="307"/>
  <c r="C24" i="307"/>
  <c r="B24" i="307"/>
  <c r="D23" i="307"/>
  <c r="C23" i="307"/>
  <c r="B23" i="307"/>
  <c r="I19" i="307"/>
  <c r="H19" i="307"/>
  <c r="G19" i="307"/>
  <c r="F19" i="307"/>
  <c r="E19" i="307"/>
  <c r="D19" i="307"/>
  <c r="C19" i="307"/>
  <c r="B19" i="307"/>
  <c r="I18" i="307"/>
  <c r="H18" i="307"/>
  <c r="G18" i="307"/>
  <c r="F18" i="307"/>
  <c r="E18" i="307"/>
  <c r="D18" i="307"/>
  <c r="C18" i="307"/>
  <c r="B18" i="307"/>
  <c r="I17" i="307"/>
  <c r="H17" i="307"/>
  <c r="G17" i="307"/>
  <c r="F17" i="307"/>
  <c r="E17" i="307"/>
  <c r="D17" i="307"/>
  <c r="C17" i="307"/>
  <c r="B17" i="307"/>
  <c r="I16" i="307"/>
  <c r="H16" i="307"/>
  <c r="G16" i="307"/>
  <c r="F16" i="307"/>
  <c r="E16" i="307"/>
  <c r="D16" i="307"/>
  <c r="C16" i="307"/>
  <c r="B16" i="307"/>
  <c r="I15" i="307"/>
  <c r="H15" i="307"/>
  <c r="G15" i="307"/>
  <c r="F15" i="307"/>
  <c r="E15" i="307"/>
  <c r="D15" i="307"/>
  <c r="C15" i="307"/>
  <c r="B15" i="307"/>
  <c r="I14" i="307"/>
  <c r="H14" i="307"/>
  <c r="G14" i="307"/>
  <c r="F14" i="307"/>
  <c r="E14" i="307"/>
  <c r="D14" i="307"/>
  <c r="C14" i="307"/>
  <c r="B14" i="307"/>
  <c r="I13" i="307"/>
  <c r="H13" i="307"/>
  <c r="G13" i="307"/>
  <c r="F13" i="307"/>
  <c r="E13" i="307"/>
  <c r="D13" i="307"/>
  <c r="C13" i="307"/>
  <c r="B13" i="307"/>
  <c r="I12" i="307"/>
  <c r="H12" i="307"/>
  <c r="G12" i="307"/>
  <c r="F12" i="307"/>
  <c r="E12" i="307"/>
  <c r="D12" i="307"/>
  <c r="C12" i="307"/>
  <c r="B12" i="307"/>
  <c r="I11" i="307"/>
  <c r="H11" i="307"/>
  <c r="G11" i="307"/>
  <c r="F11" i="307"/>
  <c r="E11" i="307"/>
  <c r="D11" i="307"/>
  <c r="C11" i="307"/>
  <c r="B11" i="307"/>
  <c r="I10" i="307"/>
  <c r="H10" i="307"/>
  <c r="G10" i="307"/>
  <c r="F10" i="307"/>
  <c r="E10" i="307"/>
  <c r="D10" i="307"/>
  <c r="C10" i="307"/>
  <c r="B10" i="307"/>
  <c r="I9" i="307"/>
  <c r="H9" i="307"/>
  <c r="G9" i="307"/>
  <c r="F9" i="307"/>
  <c r="E9" i="307"/>
  <c r="D9" i="307"/>
  <c r="C9" i="307"/>
  <c r="B9" i="307"/>
  <c r="I8" i="307"/>
  <c r="H8" i="307"/>
  <c r="G8" i="307"/>
  <c r="F8" i="307"/>
  <c r="E8" i="307"/>
  <c r="D8" i="307"/>
  <c r="C8" i="307"/>
  <c r="B8" i="307"/>
  <c r="I7" i="307"/>
  <c r="H7" i="307"/>
  <c r="G7" i="307"/>
  <c r="F7" i="307"/>
  <c r="E7" i="307"/>
  <c r="D7" i="307"/>
  <c r="C7" i="307"/>
  <c r="B7" i="307"/>
  <c r="I5" i="307"/>
  <c r="I6" i="307" s="1"/>
  <c r="H5" i="307"/>
  <c r="H6" i="307" s="1"/>
  <c r="G5" i="307"/>
  <c r="G6" i="307" s="1"/>
  <c r="F5" i="307"/>
  <c r="F48" i="307" s="1"/>
  <c r="E5" i="307"/>
  <c r="E48" i="307" s="1"/>
  <c r="D5" i="307"/>
  <c r="D48" i="307" s="1"/>
  <c r="C5" i="307"/>
  <c r="B5" i="307"/>
  <c r="B48" i="307" s="1"/>
  <c r="K77" i="306"/>
  <c r="J77" i="306"/>
  <c r="I77" i="306"/>
  <c r="H77" i="306"/>
  <c r="G77" i="306"/>
  <c r="F77" i="306"/>
  <c r="E77" i="306"/>
  <c r="K76" i="306"/>
  <c r="J76" i="306"/>
  <c r="I76" i="306"/>
  <c r="H76" i="306"/>
  <c r="G76" i="306"/>
  <c r="F76" i="306"/>
  <c r="E76" i="306"/>
  <c r="K75" i="306"/>
  <c r="J75" i="306"/>
  <c r="I75" i="306"/>
  <c r="H75" i="306"/>
  <c r="G75" i="306"/>
  <c r="F75" i="306"/>
  <c r="E75" i="306"/>
  <c r="K74" i="306"/>
  <c r="J74" i="306"/>
  <c r="I74" i="306"/>
  <c r="H74" i="306"/>
  <c r="G74" i="306"/>
  <c r="F74" i="306"/>
  <c r="E74" i="306"/>
  <c r="K73" i="306"/>
  <c r="J73" i="306"/>
  <c r="I73" i="306"/>
  <c r="H73" i="306"/>
  <c r="G73" i="306"/>
  <c r="F73" i="306"/>
  <c r="E73" i="306"/>
  <c r="K72" i="306"/>
  <c r="J72" i="306"/>
  <c r="I72" i="306"/>
  <c r="H72" i="306"/>
  <c r="G72" i="306"/>
  <c r="F72" i="306"/>
  <c r="E72" i="306"/>
  <c r="K71" i="306"/>
  <c r="J71" i="306"/>
  <c r="I71" i="306"/>
  <c r="H71" i="306"/>
  <c r="G71" i="306"/>
  <c r="F71" i="306"/>
  <c r="E71" i="306"/>
  <c r="Q46" i="306"/>
  <c r="P46" i="306"/>
  <c r="O46" i="306"/>
  <c r="N46" i="306"/>
  <c r="M46" i="306"/>
  <c r="L46" i="306"/>
  <c r="K46" i="306"/>
  <c r="J46" i="306"/>
  <c r="I46" i="306"/>
  <c r="H46" i="306"/>
  <c r="G46" i="306"/>
  <c r="F46" i="306"/>
  <c r="E46" i="306"/>
  <c r="D46" i="306"/>
  <c r="C46" i="306"/>
  <c r="B46" i="306"/>
  <c r="Q45" i="306"/>
  <c r="P45" i="306"/>
  <c r="O45" i="306"/>
  <c r="N45" i="306"/>
  <c r="M45" i="306"/>
  <c r="L45" i="306"/>
  <c r="K45" i="306"/>
  <c r="J45" i="306"/>
  <c r="I45" i="306"/>
  <c r="H45" i="306"/>
  <c r="G45" i="306"/>
  <c r="F45" i="306"/>
  <c r="E45" i="306"/>
  <c r="D45" i="306"/>
  <c r="C45" i="306"/>
  <c r="B45" i="306"/>
  <c r="Q44" i="306"/>
  <c r="P44" i="306"/>
  <c r="O44" i="306"/>
  <c r="N44" i="306"/>
  <c r="M44" i="306"/>
  <c r="L44" i="306"/>
  <c r="K44" i="306"/>
  <c r="J44" i="306"/>
  <c r="I44" i="306"/>
  <c r="H44" i="306"/>
  <c r="G44" i="306"/>
  <c r="F44" i="306"/>
  <c r="E44" i="306"/>
  <c r="D44" i="306"/>
  <c r="C44" i="306"/>
  <c r="B44" i="306"/>
  <c r="Q43" i="306"/>
  <c r="P43" i="306"/>
  <c r="O43" i="306"/>
  <c r="N43" i="306"/>
  <c r="M43" i="306"/>
  <c r="L43" i="306"/>
  <c r="K43" i="306"/>
  <c r="J43" i="306"/>
  <c r="I43" i="306"/>
  <c r="H43" i="306"/>
  <c r="G43" i="306"/>
  <c r="F43" i="306"/>
  <c r="E43" i="306"/>
  <c r="D43" i="306"/>
  <c r="C43" i="306"/>
  <c r="B43" i="306"/>
  <c r="Q42" i="306"/>
  <c r="P42" i="306"/>
  <c r="O42" i="306"/>
  <c r="N42" i="306"/>
  <c r="M42" i="306"/>
  <c r="L42" i="306"/>
  <c r="K42" i="306"/>
  <c r="J42" i="306"/>
  <c r="I42" i="306"/>
  <c r="H42" i="306"/>
  <c r="G42" i="306"/>
  <c r="F42" i="306"/>
  <c r="E42" i="306"/>
  <c r="D42" i="306"/>
  <c r="C42" i="306"/>
  <c r="B42" i="306"/>
  <c r="Q41" i="306"/>
  <c r="P41" i="306"/>
  <c r="O41" i="306"/>
  <c r="N41" i="306"/>
  <c r="M41" i="306"/>
  <c r="L41" i="306"/>
  <c r="K41" i="306"/>
  <c r="J41" i="306"/>
  <c r="I41" i="306"/>
  <c r="H41" i="306"/>
  <c r="G41" i="306"/>
  <c r="F41" i="306"/>
  <c r="E41" i="306"/>
  <c r="D41" i="306"/>
  <c r="C41" i="306"/>
  <c r="B41" i="306"/>
  <c r="Q40" i="306"/>
  <c r="P40" i="306"/>
  <c r="O40" i="306"/>
  <c r="N40" i="306"/>
  <c r="M40" i="306"/>
  <c r="L40" i="306"/>
  <c r="K40" i="306"/>
  <c r="J40" i="306"/>
  <c r="I40" i="306"/>
  <c r="H40" i="306"/>
  <c r="G40" i="306"/>
  <c r="F40" i="306"/>
  <c r="E40" i="306"/>
  <c r="D40" i="306"/>
  <c r="C40" i="306"/>
  <c r="B40" i="306"/>
  <c r="Q39" i="306"/>
  <c r="P39" i="306"/>
  <c r="O39" i="306"/>
  <c r="N39" i="306"/>
  <c r="M39" i="306"/>
  <c r="L39" i="306"/>
  <c r="K39" i="306"/>
  <c r="J39" i="306"/>
  <c r="I39" i="306"/>
  <c r="H39" i="306"/>
  <c r="G39" i="306"/>
  <c r="F39" i="306"/>
  <c r="E39" i="306"/>
  <c r="D39" i="306"/>
  <c r="C39" i="306"/>
  <c r="B39" i="306"/>
  <c r="Q38" i="306"/>
  <c r="P38" i="306"/>
  <c r="O38" i="306"/>
  <c r="N38" i="306"/>
  <c r="M38" i="306"/>
  <c r="L38" i="306"/>
  <c r="K38" i="306"/>
  <c r="J38" i="306"/>
  <c r="I38" i="306"/>
  <c r="H38" i="306"/>
  <c r="G38" i="306"/>
  <c r="F38" i="306"/>
  <c r="E38" i="306"/>
  <c r="D38" i="306"/>
  <c r="C38" i="306"/>
  <c r="B38" i="306"/>
  <c r="Q37" i="306"/>
  <c r="P37" i="306"/>
  <c r="O37" i="306"/>
  <c r="N37" i="306"/>
  <c r="M37" i="306"/>
  <c r="L37" i="306"/>
  <c r="K37" i="306"/>
  <c r="J37" i="306"/>
  <c r="I37" i="306"/>
  <c r="H37" i="306"/>
  <c r="G37" i="306"/>
  <c r="F37" i="306"/>
  <c r="E37" i="306"/>
  <c r="D37" i="306"/>
  <c r="C37" i="306"/>
  <c r="B37" i="306"/>
  <c r="Q36" i="306"/>
  <c r="P36" i="306"/>
  <c r="O36" i="306"/>
  <c r="N36" i="306"/>
  <c r="M36" i="306"/>
  <c r="L36" i="306"/>
  <c r="K36" i="306"/>
  <c r="J36" i="306"/>
  <c r="I36" i="306"/>
  <c r="H36" i="306"/>
  <c r="G36" i="306"/>
  <c r="F36" i="306"/>
  <c r="E36" i="306"/>
  <c r="D36" i="306"/>
  <c r="C36" i="306"/>
  <c r="B36" i="306"/>
  <c r="Q35" i="306"/>
  <c r="P35" i="306"/>
  <c r="O35" i="306"/>
  <c r="N35" i="306"/>
  <c r="M35" i="306"/>
  <c r="L35" i="306"/>
  <c r="K35" i="306"/>
  <c r="J35" i="306"/>
  <c r="I35" i="306"/>
  <c r="H35" i="306"/>
  <c r="G35" i="306"/>
  <c r="F35" i="306"/>
  <c r="E35" i="306"/>
  <c r="D35" i="306"/>
  <c r="C35" i="306"/>
  <c r="B35" i="306"/>
  <c r="Q34" i="306"/>
  <c r="P34" i="306"/>
  <c r="O34" i="306"/>
  <c r="N34" i="306"/>
  <c r="M34" i="306"/>
  <c r="L34" i="306"/>
  <c r="K34" i="306"/>
  <c r="J34" i="306"/>
  <c r="I34" i="306"/>
  <c r="H34" i="306"/>
  <c r="G34" i="306"/>
  <c r="F34" i="306"/>
  <c r="E34" i="306"/>
  <c r="D34" i="306"/>
  <c r="C34" i="306"/>
  <c r="B34" i="306"/>
  <c r="Q33" i="306"/>
  <c r="P33" i="306"/>
  <c r="O33" i="306"/>
  <c r="N33" i="306"/>
  <c r="M33" i="306"/>
  <c r="L33" i="306"/>
  <c r="K33" i="306"/>
  <c r="J33" i="306"/>
  <c r="I33" i="306"/>
  <c r="H33" i="306"/>
  <c r="G33" i="306"/>
  <c r="F33" i="306"/>
  <c r="E33" i="306"/>
  <c r="D33" i="306"/>
  <c r="C33" i="306"/>
  <c r="B33" i="306"/>
  <c r="Q32" i="306"/>
  <c r="P32" i="306"/>
  <c r="O32" i="306"/>
  <c r="N32" i="306"/>
  <c r="M32" i="306"/>
  <c r="L32" i="306"/>
  <c r="K32" i="306"/>
  <c r="J32" i="306"/>
  <c r="I32" i="306"/>
  <c r="H32" i="306"/>
  <c r="G32" i="306"/>
  <c r="F32" i="306"/>
  <c r="E32" i="306"/>
  <c r="D32" i="306"/>
  <c r="C32" i="306"/>
  <c r="B32" i="306"/>
  <c r="Q31" i="306"/>
  <c r="P31" i="306"/>
  <c r="O31" i="306"/>
  <c r="N31" i="306"/>
  <c r="M31" i="306"/>
  <c r="L31" i="306"/>
  <c r="K31" i="306"/>
  <c r="J31" i="306"/>
  <c r="I31" i="306"/>
  <c r="H31" i="306"/>
  <c r="G31" i="306"/>
  <c r="F31" i="306"/>
  <c r="E31" i="306"/>
  <c r="D31" i="306"/>
  <c r="C31" i="306"/>
  <c r="B31" i="306"/>
  <c r="Q30" i="306"/>
  <c r="P30" i="306"/>
  <c r="O30" i="306"/>
  <c r="N30" i="306"/>
  <c r="M30" i="306"/>
  <c r="L30" i="306"/>
  <c r="K30" i="306"/>
  <c r="J30" i="306"/>
  <c r="I30" i="306"/>
  <c r="H30" i="306"/>
  <c r="G30" i="306"/>
  <c r="F30" i="306"/>
  <c r="E30" i="306"/>
  <c r="D30" i="306"/>
  <c r="C30" i="306"/>
  <c r="B30" i="306"/>
  <c r="Q20" i="306"/>
  <c r="P20" i="306"/>
  <c r="O20" i="306"/>
  <c r="N20" i="306"/>
  <c r="M20" i="306"/>
  <c r="L20" i="306"/>
  <c r="K20" i="306"/>
  <c r="J20" i="306"/>
  <c r="I20" i="306"/>
  <c r="H20" i="306"/>
  <c r="G20" i="306"/>
  <c r="F20" i="306"/>
  <c r="E20" i="306"/>
  <c r="D20" i="306"/>
  <c r="C20" i="306"/>
  <c r="B20" i="306"/>
  <c r="Q19" i="306"/>
  <c r="P19" i="306"/>
  <c r="O19" i="306"/>
  <c r="N19" i="306"/>
  <c r="M19" i="306"/>
  <c r="L19" i="306"/>
  <c r="K19" i="306"/>
  <c r="J19" i="306"/>
  <c r="I19" i="306"/>
  <c r="H19" i="306"/>
  <c r="G19" i="306"/>
  <c r="F19" i="306"/>
  <c r="E19" i="306"/>
  <c r="D19" i="306"/>
  <c r="C19" i="306"/>
  <c r="B19" i="306"/>
  <c r="Q18" i="306"/>
  <c r="P18" i="306"/>
  <c r="O18" i="306"/>
  <c r="N18" i="306"/>
  <c r="M18" i="306"/>
  <c r="L18" i="306"/>
  <c r="K18" i="306"/>
  <c r="J18" i="306"/>
  <c r="I18" i="306"/>
  <c r="H18" i="306"/>
  <c r="G18" i="306"/>
  <c r="F18" i="306"/>
  <c r="E18" i="306"/>
  <c r="D18" i="306"/>
  <c r="C18" i="306"/>
  <c r="B18" i="306"/>
  <c r="Q17" i="306"/>
  <c r="P17" i="306"/>
  <c r="O17" i="306"/>
  <c r="N17" i="306"/>
  <c r="M17" i="306"/>
  <c r="L17" i="306"/>
  <c r="K17" i="306"/>
  <c r="J17" i="306"/>
  <c r="I17" i="306"/>
  <c r="H17" i="306"/>
  <c r="G17" i="306"/>
  <c r="F17" i="306"/>
  <c r="E17" i="306"/>
  <c r="D17" i="306"/>
  <c r="C17" i="306"/>
  <c r="B17" i="306"/>
  <c r="Q16" i="306"/>
  <c r="P16" i="306"/>
  <c r="O16" i="306"/>
  <c r="N16" i="306"/>
  <c r="M16" i="306"/>
  <c r="L16" i="306"/>
  <c r="K16" i="306"/>
  <c r="J16" i="306"/>
  <c r="I16" i="306"/>
  <c r="H16" i="306"/>
  <c r="G16" i="306"/>
  <c r="F16" i="306"/>
  <c r="E16" i="306"/>
  <c r="D16" i="306"/>
  <c r="C16" i="306"/>
  <c r="B16" i="306"/>
  <c r="Q15" i="306"/>
  <c r="P15" i="306"/>
  <c r="O15" i="306"/>
  <c r="N15" i="306"/>
  <c r="M15" i="306"/>
  <c r="L15" i="306"/>
  <c r="K15" i="306"/>
  <c r="J15" i="306"/>
  <c r="I15" i="306"/>
  <c r="H15" i="306"/>
  <c r="G15" i="306"/>
  <c r="F15" i="306"/>
  <c r="E15" i="306"/>
  <c r="D15" i="306"/>
  <c r="C15" i="306"/>
  <c r="B15" i="306"/>
  <c r="Q14" i="306"/>
  <c r="P14" i="306"/>
  <c r="O14" i="306"/>
  <c r="N14" i="306"/>
  <c r="M14" i="306"/>
  <c r="L14" i="306"/>
  <c r="K14" i="306"/>
  <c r="J14" i="306"/>
  <c r="I14" i="306"/>
  <c r="H14" i="306"/>
  <c r="G14" i="306"/>
  <c r="F14" i="306"/>
  <c r="E14" i="306"/>
  <c r="D14" i="306"/>
  <c r="C14" i="306"/>
  <c r="B14" i="306"/>
  <c r="Q13" i="306"/>
  <c r="P13" i="306"/>
  <c r="O13" i="306"/>
  <c r="N13" i="306"/>
  <c r="M13" i="306"/>
  <c r="L13" i="306"/>
  <c r="K13" i="306"/>
  <c r="J13" i="306"/>
  <c r="I13" i="306"/>
  <c r="H13" i="306"/>
  <c r="G13" i="306"/>
  <c r="F13" i="306"/>
  <c r="E13" i="306"/>
  <c r="D13" i="306"/>
  <c r="C13" i="306"/>
  <c r="B13" i="306"/>
  <c r="Q12" i="306"/>
  <c r="P12" i="306"/>
  <c r="O12" i="306"/>
  <c r="N12" i="306"/>
  <c r="M12" i="306"/>
  <c r="L12" i="306"/>
  <c r="K12" i="306"/>
  <c r="J12" i="306"/>
  <c r="I12" i="306"/>
  <c r="H12" i="306"/>
  <c r="G12" i="306"/>
  <c r="F12" i="306"/>
  <c r="E12" i="306"/>
  <c r="D12" i="306"/>
  <c r="C12" i="306"/>
  <c r="B12" i="306"/>
  <c r="Q11" i="306"/>
  <c r="P11" i="306"/>
  <c r="O11" i="306"/>
  <c r="N11" i="306"/>
  <c r="M11" i="306"/>
  <c r="L11" i="306"/>
  <c r="K11" i="306"/>
  <c r="J11" i="306"/>
  <c r="I11" i="306"/>
  <c r="H11" i="306"/>
  <c r="G11" i="306"/>
  <c r="F11" i="306"/>
  <c r="E11" i="306"/>
  <c r="D11" i="306"/>
  <c r="C11" i="306"/>
  <c r="B11" i="306"/>
  <c r="Q10" i="306"/>
  <c r="P10" i="306"/>
  <c r="O10" i="306"/>
  <c r="N10" i="306"/>
  <c r="M10" i="306"/>
  <c r="L10" i="306"/>
  <c r="K10" i="306"/>
  <c r="J10" i="306"/>
  <c r="I10" i="306"/>
  <c r="H10" i="306"/>
  <c r="G10" i="306"/>
  <c r="F10" i="306"/>
  <c r="E10" i="306"/>
  <c r="D10" i="306"/>
  <c r="C10" i="306"/>
  <c r="B10" i="306"/>
  <c r="C92" i="305"/>
  <c r="B92" i="305"/>
  <c r="C91" i="305"/>
  <c r="B91" i="305"/>
  <c r="C90" i="305"/>
  <c r="B90" i="305"/>
  <c r="C89" i="305"/>
  <c r="B89" i="305"/>
  <c r="C88" i="305"/>
  <c r="B88" i="305"/>
  <c r="C87" i="305"/>
  <c r="B87" i="305"/>
  <c r="C86" i="305"/>
  <c r="B86" i="305"/>
  <c r="C85" i="305"/>
  <c r="B85" i="305"/>
  <c r="C84" i="305"/>
  <c r="B84" i="305"/>
  <c r="C83" i="305"/>
  <c r="B83" i="305"/>
  <c r="C82" i="305"/>
  <c r="B82" i="305"/>
  <c r="C81" i="305"/>
  <c r="B81" i="305"/>
  <c r="C80" i="305"/>
  <c r="B80" i="305"/>
  <c r="C79" i="305"/>
  <c r="B79" i="305"/>
  <c r="I73" i="305"/>
  <c r="H73" i="305"/>
  <c r="G73" i="305"/>
  <c r="F73" i="305"/>
  <c r="E73" i="305"/>
  <c r="D73" i="305"/>
  <c r="C73" i="305"/>
  <c r="B73" i="305"/>
  <c r="I72" i="305"/>
  <c r="H72" i="305"/>
  <c r="G72" i="305"/>
  <c r="F72" i="305"/>
  <c r="F74" i="305" s="1"/>
  <c r="E72" i="305"/>
  <c r="E74" i="305" s="1"/>
  <c r="D72" i="305"/>
  <c r="D74" i="305" s="1"/>
  <c r="C72" i="305"/>
  <c r="B72" i="305"/>
  <c r="B74" i="305" s="1"/>
  <c r="I67" i="305"/>
  <c r="H66" i="305"/>
  <c r="G66" i="305"/>
  <c r="F66" i="305"/>
  <c r="E66" i="305"/>
  <c r="D66" i="305"/>
  <c r="C66" i="305"/>
  <c r="B66" i="305"/>
  <c r="H65" i="305"/>
  <c r="G65" i="305"/>
  <c r="F65" i="305"/>
  <c r="E65" i="305"/>
  <c r="D65" i="305"/>
  <c r="C65" i="305"/>
  <c r="B65" i="305"/>
  <c r="H64" i="305"/>
  <c r="G64" i="305"/>
  <c r="F64" i="305"/>
  <c r="E64" i="305"/>
  <c r="D64" i="305"/>
  <c r="C64" i="305"/>
  <c r="B64" i="305"/>
  <c r="H63" i="305"/>
  <c r="G63" i="305"/>
  <c r="F63" i="305"/>
  <c r="E63" i="305"/>
  <c r="D63" i="305"/>
  <c r="C63" i="305"/>
  <c r="B63" i="305"/>
  <c r="H62" i="305"/>
  <c r="G62" i="305"/>
  <c r="F62" i="305"/>
  <c r="E62" i="305"/>
  <c r="D62" i="305"/>
  <c r="C62" i="305"/>
  <c r="B62" i="305"/>
  <c r="H60" i="305"/>
  <c r="G60" i="305"/>
  <c r="F60" i="305"/>
  <c r="E60" i="305"/>
  <c r="D60" i="305"/>
  <c r="C60" i="305"/>
  <c r="B60" i="305"/>
  <c r="H59" i="305"/>
  <c r="G59" i="305"/>
  <c r="F59" i="305"/>
  <c r="E59" i="305"/>
  <c r="D59" i="305"/>
  <c r="C59" i="305"/>
  <c r="B59" i="305"/>
  <c r="H58" i="305"/>
  <c r="G58" i="305"/>
  <c r="F58" i="305"/>
  <c r="E58" i="305"/>
  <c r="D58" i="305"/>
  <c r="C58" i="305"/>
  <c r="B58" i="305"/>
  <c r="I50" i="305"/>
  <c r="H50" i="305"/>
  <c r="G50" i="305"/>
  <c r="F50" i="305"/>
  <c r="E50" i="305"/>
  <c r="D50" i="305"/>
  <c r="C50" i="305"/>
  <c r="B50" i="305"/>
  <c r="D47" i="305"/>
  <c r="C47" i="305"/>
  <c r="B47" i="305"/>
  <c r="D46" i="305"/>
  <c r="C46" i="305"/>
  <c r="B46" i="305"/>
  <c r="D45" i="305"/>
  <c r="C45" i="305"/>
  <c r="B45" i="305"/>
  <c r="D44" i="305"/>
  <c r="C44" i="305"/>
  <c r="B44" i="305"/>
  <c r="D43" i="305"/>
  <c r="C43" i="305"/>
  <c r="B43" i="305"/>
  <c r="D41" i="305"/>
  <c r="C41" i="305"/>
  <c r="B41" i="305"/>
  <c r="D40" i="305"/>
  <c r="C40" i="305"/>
  <c r="B40" i="305"/>
  <c r="D39" i="305"/>
  <c r="C39" i="305"/>
  <c r="B39" i="305"/>
  <c r="D38" i="305"/>
  <c r="C38" i="305"/>
  <c r="B38" i="305"/>
  <c r="D37" i="305"/>
  <c r="C37" i="305"/>
  <c r="B37" i="305"/>
  <c r="D36" i="305"/>
  <c r="C36" i="305"/>
  <c r="B36" i="305"/>
  <c r="D35" i="305"/>
  <c r="C35" i="305"/>
  <c r="B35" i="305"/>
  <c r="D34" i="305"/>
  <c r="C34" i="305"/>
  <c r="B34" i="305"/>
  <c r="D33" i="305"/>
  <c r="C33" i="305"/>
  <c r="B33" i="305"/>
  <c r="D32" i="305"/>
  <c r="C32" i="305"/>
  <c r="B32" i="305"/>
  <c r="D31" i="305"/>
  <c r="C31" i="305"/>
  <c r="B31" i="305"/>
  <c r="D30" i="305"/>
  <c r="C30" i="305"/>
  <c r="B30" i="305"/>
  <c r="D29" i="305"/>
  <c r="C29" i="305"/>
  <c r="B29" i="305"/>
  <c r="D28" i="305"/>
  <c r="C28" i="305"/>
  <c r="B28" i="305"/>
  <c r="D27" i="305"/>
  <c r="C27" i="305"/>
  <c r="B27" i="305"/>
  <c r="D26" i="305"/>
  <c r="C26" i="305"/>
  <c r="B26" i="305"/>
  <c r="D25" i="305"/>
  <c r="C25" i="305"/>
  <c r="B25" i="305"/>
  <c r="D24" i="305"/>
  <c r="C24" i="305"/>
  <c r="B24" i="305"/>
  <c r="I20" i="305"/>
  <c r="H20" i="305"/>
  <c r="G20" i="305"/>
  <c r="F20" i="305"/>
  <c r="E20" i="305"/>
  <c r="D20" i="305"/>
  <c r="C20" i="305"/>
  <c r="B20" i="305"/>
  <c r="I19" i="305"/>
  <c r="H19" i="305"/>
  <c r="G19" i="305"/>
  <c r="F19" i="305"/>
  <c r="E19" i="305"/>
  <c r="D19" i="305"/>
  <c r="C19" i="305"/>
  <c r="B19" i="305"/>
  <c r="I18" i="305"/>
  <c r="H18" i="305"/>
  <c r="G18" i="305"/>
  <c r="F18" i="305"/>
  <c r="E18" i="305"/>
  <c r="D18" i="305"/>
  <c r="C18" i="305"/>
  <c r="B18" i="305"/>
  <c r="I17" i="305"/>
  <c r="H17" i="305"/>
  <c r="G17" i="305"/>
  <c r="F17" i="305"/>
  <c r="E17" i="305"/>
  <c r="D17" i="305"/>
  <c r="C17" i="305"/>
  <c r="B17" i="305"/>
  <c r="I16" i="305"/>
  <c r="H16" i="305"/>
  <c r="G16" i="305"/>
  <c r="F16" i="305"/>
  <c r="E16" i="305"/>
  <c r="D16" i="305"/>
  <c r="C16" i="305"/>
  <c r="B16" i="305"/>
  <c r="I15" i="305"/>
  <c r="H15" i="305"/>
  <c r="G15" i="305"/>
  <c r="F15" i="305"/>
  <c r="E15" i="305"/>
  <c r="D15" i="305"/>
  <c r="C15" i="305"/>
  <c r="B15" i="305"/>
  <c r="I14" i="305"/>
  <c r="H14" i="305"/>
  <c r="G14" i="305"/>
  <c r="F14" i="305"/>
  <c r="E14" i="305"/>
  <c r="D14" i="305"/>
  <c r="C14" i="305"/>
  <c r="B14" i="305"/>
  <c r="I13" i="305"/>
  <c r="H13" i="305"/>
  <c r="G13" i="305"/>
  <c r="F13" i="305"/>
  <c r="E13" i="305"/>
  <c r="D13" i="305"/>
  <c r="C13" i="305"/>
  <c r="B13" i="305"/>
  <c r="I12" i="305"/>
  <c r="H12" i="305"/>
  <c r="G12" i="305"/>
  <c r="F12" i="305"/>
  <c r="E12" i="305"/>
  <c r="D12" i="305"/>
  <c r="C12" i="305"/>
  <c r="B12" i="305"/>
  <c r="I11" i="305"/>
  <c r="H11" i="305"/>
  <c r="G11" i="305"/>
  <c r="F11" i="305"/>
  <c r="E11" i="305"/>
  <c r="D11" i="305"/>
  <c r="C11" i="305"/>
  <c r="B11" i="305"/>
  <c r="I10" i="305"/>
  <c r="H10" i="305"/>
  <c r="G10" i="305"/>
  <c r="F10" i="305"/>
  <c r="E10" i="305"/>
  <c r="D10" i="305"/>
  <c r="C10" i="305"/>
  <c r="B10" i="305"/>
  <c r="I9" i="305"/>
  <c r="H9" i="305"/>
  <c r="G9" i="305"/>
  <c r="F9" i="305"/>
  <c r="E9" i="305"/>
  <c r="D9" i="305"/>
  <c r="C9" i="305"/>
  <c r="B9" i="305"/>
  <c r="I8" i="305"/>
  <c r="H8" i="305"/>
  <c r="G8" i="305"/>
  <c r="F8" i="305"/>
  <c r="E8" i="305"/>
  <c r="D8" i="305"/>
  <c r="C8" i="305"/>
  <c r="B8" i="305"/>
  <c r="I6" i="305"/>
  <c r="I7" i="305" s="1"/>
  <c r="H6" i="305"/>
  <c r="H7" i="305" s="1"/>
  <c r="H21" i="305" s="1"/>
  <c r="G6" i="305"/>
  <c r="G7" i="305" s="1"/>
  <c r="F6" i="305"/>
  <c r="F49" i="305" s="1"/>
  <c r="E6" i="305"/>
  <c r="E49" i="305" s="1"/>
  <c r="D6" i="305"/>
  <c r="D49" i="305" s="1"/>
  <c r="D51" i="305" s="1"/>
  <c r="C6" i="305"/>
  <c r="B6" i="305"/>
  <c r="B49" i="305" s="1"/>
  <c r="K73" i="304"/>
  <c r="J73" i="304"/>
  <c r="I73" i="304"/>
  <c r="H73" i="304"/>
  <c r="G73" i="304"/>
  <c r="F73" i="304"/>
  <c r="E73" i="304"/>
  <c r="K72" i="304"/>
  <c r="J72" i="304"/>
  <c r="I72" i="304"/>
  <c r="H72" i="304"/>
  <c r="G72" i="304"/>
  <c r="F72" i="304"/>
  <c r="E72" i="304"/>
  <c r="K71" i="304"/>
  <c r="J71" i="304"/>
  <c r="I71" i="304"/>
  <c r="H71" i="304"/>
  <c r="G71" i="304"/>
  <c r="F71" i="304"/>
  <c r="E71" i="304"/>
  <c r="K70" i="304"/>
  <c r="J70" i="304"/>
  <c r="I70" i="304"/>
  <c r="H70" i="304"/>
  <c r="G70" i="304"/>
  <c r="F70" i="304"/>
  <c r="E70" i="304"/>
  <c r="K69" i="304"/>
  <c r="J69" i="304"/>
  <c r="I69" i="304"/>
  <c r="H69" i="304"/>
  <c r="G69" i="304"/>
  <c r="F69" i="304"/>
  <c r="E69" i="304"/>
  <c r="K68" i="304"/>
  <c r="J68" i="304"/>
  <c r="I68" i="304"/>
  <c r="H68" i="304"/>
  <c r="G68" i="304"/>
  <c r="F68" i="304"/>
  <c r="E68" i="304"/>
  <c r="K67" i="304"/>
  <c r="J67" i="304"/>
  <c r="I67" i="304"/>
  <c r="H67" i="304"/>
  <c r="G67" i="304"/>
  <c r="F67" i="304"/>
  <c r="E67" i="304"/>
  <c r="Q48" i="304"/>
  <c r="P48" i="304"/>
  <c r="O48" i="304"/>
  <c r="N48" i="304"/>
  <c r="M48" i="304"/>
  <c r="L48" i="304"/>
  <c r="K48" i="304"/>
  <c r="J48" i="304"/>
  <c r="I48" i="304"/>
  <c r="H48" i="304"/>
  <c r="G48" i="304"/>
  <c r="F48" i="304"/>
  <c r="E48" i="304"/>
  <c r="D48" i="304"/>
  <c r="C48" i="304"/>
  <c r="B48" i="304"/>
  <c r="Q47" i="304"/>
  <c r="P47" i="304"/>
  <c r="O47" i="304"/>
  <c r="N47" i="304"/>
  <c r="M47" i="304"/>
  <c r="L47" i="304"/>
  <c r="K47" i="304"/>
  <c r="J47" i="304"/>
  <c r="I47" i="304"/>
  <c r="H47" i="304"/>
  <c r="G47" i="304"/>
  <c r="F47" i="304"/>
  <c r="E47" i="304"/>
  <c r="D47" i="304"/>
  <c r="C47" i="304"/>
  <c r="B47" i="304"/>
  <c r="Q46" i="304"/>
  <c r="P46" i="304"/>
  <c r="O46" i="304"/>
  <c r="N46" i="304"/>
  <c r="M46" i="304"/>
  <c r="L46" i="304"/>
  <c r="K46" i="304"/>
  <c r="J46" i="304"/>
  <c r="I46" i="304"/>
  <c r="H46" i="304"/>
  <c r="G46" i="304"/>
  <c r="F46" i="304"/>
  <c r="E46" i="304"/>
  <c r="D46" i="304"/>
  <c r="C46" i="304"/>
  <c r="B46" i="304"/>
  <c r="Q45" i="304"/>
  <c r="P45" i="304"/>
  <c r="O45" i="304"/>
  <c r="N45" i="304"/>
  <c r="M45" i="304"/>
  <c r="L45" i="304"/>
  <c r="K45" i="304"/>
  <c r="J45" i="304"/>
  <c r="I45" i="304"/>
  <c r="H45" i="304"/>
  <c r="G45" i="304"/>
  <c r="F45" i="304"/>
  <c r="E45" i="304"/>
  <c r="D45" i="304"/>
  <c r="C45" i="304"/>
  <c r="B45" i="304"/>
  <c r="Q44" i="304"/>
  <c r="P44" i="304"/>
  <c r="O44" i="304"/>
  <c r="N44" i="304"/>
  <c r="M44" i="304"/>
  <c r="L44" i="304"/>
  <c r="K44" i="304"/>
  <c r="J44" i="304"/>
  <c r="I44" i="304"/>
  <c r="H44" i="304"/>
  <c r="G44" i="304"/>
  <c r="F44" i="304"/>
  <c r="E44" i="304"/>
  <c r="D44" i="304"/>
  <c r="C44" i="304"/>
  <c r="B44" i="304"/>
  <c r="Q43" i="304"/>
  <c r="P43" i="304"/>
  <c r="O43" i="304"/>
  <c r="N43" i="304"/>
  <c r="M43" i="304"/>
  <c r="L43" i="304"/>
  <c r="K43" i="304"/>
  <c r="J43" i="304"/>
  <c r="I43" i="304"/>
  <c r="H43" i="304"/>
  <c r="G43" i="304"/>
  <c r="F43" i="304"/>
  <c r="E43" i="304"/>
  <c r="D43" i="304"/>
  <c r="C43" i="304"/>
  <c r="B43" i="304"/>
  <c r="Q42" i="304"/>
  <c r="P42" i="304"/>
  <c r="O42" i="304"/>
  <c r="N42" i="304"/>
  <c r="M42" i="304"/>
  <c r="L42" i="304"/>
  <c r="K42" i="304"/>
  <c r="J42" i="304"/>
  <c r="I42" i="304"/>
  <c r="H42" i="304"/>
  <c r="G42" i="304"/>
  <c r="F42" i="304"/>
  <c r="E42" i="304"/>
  <c r="D42" i="304"/>
  <c r="C42" i="304"/>
  <c r="B42" i="304"/>
  <c r="Q41" i="304"/>
  <c r="P41" i="304"/>
  <c r="O41" i="304"/>
  <c r="N41" i="304"/>
  <c r="M41" i="304"/>
  <c r="L41" i="304"/>
  <c r="K41" i="304"/>
  <c r="J41" i="304"/>
  <c r="I41" i="304"/>
  <c r="H41" i="304"/>
  <c r="G41" i="304"/>
  <c r="F41" i="304"/>
  <c r="E41" i="304"/>
  <c r="D41" i="304"/>
  <c r="C41" i="304"/>
  <c r="B41" i="304"/>
  <c r="Q40" i="304"/>
  <c r="P40" i="304"/>
  <c r="O40" i="304"/>
  <c r="N40" i="304"/>
  <c r="M40" i="304"/>
  <c r="L40" i="304"/>
  <c r="K40" i="304"/>
  <c r="J40" i="304"/>
  <c r="I40" i="304"/>
  <c r="H40" i="304"/>
  <c r="G40" i="304"/>
  <c r="F40" i="304"/>
  <c r="E40" i="304"/>
  <c r="D40" i="304"/>
  <c r="C40" i="304"/>
  <c r="B40" i="304"/>
  <c r="Q39" i="304"/>
  <c r="P39" i="304"/>
  <c r="O39" i="304"/>
  <c r="N39" i="304"/>
  <c r="M39" i="304"/>
  <c r="L39" i="304"/>
  <c r="K39" i="304"/>
  <c r="J39" i="304"/>
  <c r="I39" i="304"/>
  <c r="H39" i="304"/>
  <c r="G39" i="304"/>
  <c r="F39" i="304"/>
  <c r="E39" i="304"/>
  <c r="D39" i="304"/>
  <c r="C39" i="304"/>
  <c r="B39" i="304"/>
  <c r="Q38" i="304"/>
  <c r="P38" i="304"/>
  <c r="O38" i="304"/>
  <c r="N38" i="304"/>
  <c r="M38" i="304"/>
  <c r="L38" i="304"/>
  <c r="K38" i="304"/>
  <c r="J38" i="304"/>
  <c r="I38" i="304"/>
  <c r="H38" i="304"/>
  <c r="G38" i="304"/>
  <c r="F38" i="304"/>
  <c r="E38" i="304"/>
  <c r="D38" i="304"/>
  <c r="C38" i="304"/>
  <c r="B38" i="304"/>
  <c r="Q37" i="304"/>
  <c r="P37" i="304"/>
  <c r="O37" i="304"/>
  <c r="N37" i="304"/>
  <c r="M37" i="304"/>
  <c r="L37" i="304"/>
  <c r="K37" i="304"/>
  <c r="J37" i="304"/>
  <c r="I37" i="304"/>
  <c r="H37" i="304"/>
  <c r="G37" i="304"/>
  <c r="F37" i="304"/>
  <c r="E37" i="304"/>
  <c r="D37" i="304"/>
  <c r="C37" i="304"/>
  <c r="B37" i="304"/>
  <c r="Q36" i="304"/>
  <c r="P36" i="304"/>
  <c r="O36" i="304"/>
  <c r="N36" i="304"/>
  <c r="M36" i="304"/>
  <c r="L36" i="304"/>
  <c r="K36" i="304"/>
  <c r="J36" i="304"/>
  <c r="I36" i="304"/>
  <c r="H36" i="304"/>
  <c r="G36" i="304"/>
  <c r="F36" i="304"/>
  <c r="E36" i="304"/>
  <c r="D36" i="304"/>
  <c r="C36" i="304"/>
  <c r="B36" i="304"/>
  <c r="Q35" i="304"/>
  <c r="P35" i="304"/>
  <c r="O35" i="304"/>
  <c r="N35" i="304"/>
  <c r="M35" i="304"/>
  <c r="L35" i="304"/>
  <c r="K35" i="304"/>
  <c r="J35" i="304"/>
  <c r="I35" i="304"/>
  <c r="H35" i="304"/>
  <c r="G35" i="304"/>
  <c r="F35" i="304"/>
  <c r="E35" i="304"/>
  <c r="D35" i="304"/>
  <c r="C35" i="304"/>
  <c r="B35" i="304"/>
  <c r="Q34" i="304"/>
  <c r="P34" i="304"/>
  <c r="O34" i="304"/>
  <c r="N34" i="304"/>
  <c r="M34" i="304"/>
  <c r="L34" i="304"/>
  <c r="K34" i="304"/>
  <c r="J34" i="304"/>
  <c r="I34" i="304"/>
  <c r="H34" i="304"/>
  <c r="G34" i="304"/>
  <c r="F34" i="304"/>
  <c r="E34" i="304"/>
  <c r="D34" i="304"/>
  <c r="C34" i="304"/>
  <c r="B34" i="304"/>
  <c r="Q33" i="304"/>
  <c r="P33" i="304"/>
  <c r="O33" i="304"/>
  <c r="N33" i="304"/>
  <c r="M33" i="304"/>
  <c r="L33" i="304"/>
  <c r="K33" i="304"/>
  <c r="J33" i="304"/>
  <c r="I33" i="304"/>
  <c r="H33" i="304"/>
  <c r="G33" i="304"/>
  <c r="F33" i="304"/>
  <c r="E33" i="304"/>
  <c r="D33" i="304"/>
  <c r="C33" i="304"/>
  <c r="B33" i="304"/>
  <c r="Q32" i="304"/>
  <c r="P32" i="304"/>
  <c r="O32" i="304"/>
  <c r="N32" i="304"/>
  <c r="M32" i="304"/>
  <c r="L32" i="304"/>
  <c r="K32" i="304"/>
  <c r="J32" i="304"/>
  <c r="I32" i="304"/>
  <c r="H32" i="304"/>
  <c r="G32" i="304"/>
  <c r="F32" i="304"/>
  <c r="E32" i="304"/>
  <c r="D32" i="304"/>
  <c r="C32" i="304"/>
  <c r="B32" i="304"/>
  <c r="Q21" i="304"/>
  <c r="P21" i="304"/>
  <c r="O21" i="304"/>
  <c r="N21" i="304"/>
  <c r="M21" i="304"/>
  <c r="L21" i="304"/>
  <c r="K21" i="304"/>
  <c r="J21" i="304"/>
  <c r="I21" i="304"/>
  <c r="H21" i="304"/>
  <c r="G21" i="304"/>
  <c r="F21" i="304"/>
  <c r="E21" i="304"/>
  <c r="D21" i="304"/>
  <c r="C21" i="304"/>
  <c r="B21" i="304"/>
  <c r="Q20" i="304"/>
  <c r="P20" i="304"/>
  <c r="O20" i="304"/>
  <c r="N20" i="304"/>
  <c r="M20" i="304"/>
  <c r="L20" i="304"/>
  <c r="K20" i="304"/>
  <c r="J20" i="304"/>
  <c r="I20" i="304"/>
  <c r="H20" i="304"/>
  <c r="G20" i="304"/>
  <c r="F20" i="304"/>
  <c r="E20" i="304"/>
  <c r="D20" i="304"/>
  <c r="C20" i="304"/>
  <c r="B20" i="304"/>
  <c r="Q19" i="304"/>
  <c r="P19" i="304"/>
  <c r="O19" i="304"/>
  <c r="N19" i="304"/>
  <c r="M19" i="304"/>
  <c r="L19" i="304"/>
  <c r="K19" i="304"/>
  <c r="J19" i="304"/>
  <c r="I19" i="304"/>
  <c r="H19" i="304"/>
  <c r="G19" i="304"/>
  <c r="F19" i="304"/>
  <c r="E19" i="304"/>
  <c r="D19" i="304"/>
  <c r="C19" i="304"/>
  <c r="B19" i="304"/>
  <c r="Q18" i="304"/>
  <c r="P18" i="304"/>
  <c r="O18" i="304"/>
  <c r="N18" i="304"/>
  <c r="M18" i="304"/>
  <c r="L18" i="304"/>
  <c r="K18" i="304"/>
  <c r="J18" i="304"/>
  <c r="I18" i="304"/>
  <c r="H18" i="304"/>
  <c r="G18" i="304"/>
  <c r="F18" i="304"/>
  <c r="E18" i="304"/>
  <c r="D18" i="304"/>
  <c r="C18" i="304"/>
  <c r="B18" i="304"/>
  <c r="Q17" i="304"/>
  <c r="P17" i="304"/>
  <c r="O17" i="304"/>
  <c r="N17" i="304"/>
  <c r="M17" i="304"/>
  <c r="L17" i="304"/>
  <c r="K17" i="304"/>
  <c r="J17" i="304"/>
  <c r="I17" i="304"/>
  <c r="H17" i="304"/>
  <c r="G17" i="304"/>
  <c r="F17" i="304"/>
  <c r="E17" i="304"/>
  <c r="D17" i="304"/>
  <c r="C17" i="304"/>
  <c r="B17" i="304"/>
  <c r="Q16" i="304"/>
  <c r="P16" i="304"/>
  <c r="O16" i="304"/>
  <c r="N16" i="304"/>
  <c r="M16" i="304"/>
  <c r="L16" i="304"/>
  <c r="K16" i="304"/>
  <c r="J16" i="304"/>
  <c r="I16" i="304"/>
  <c r="H16" i="304"/>
  <c r="G16" i="304"/>
  <c r="F16" i="304"/>
  <c r="E16" i="304"/>
  <c r="D16" i="304"/>
  <c r="C16" i="304"/>
  <c r="B16" i="304"/>
  <c r="Q15" i="304"/>
  <c r="P15" i="304"/>
  <c r="O15" i="304"/>
  <c r="N15" i="304"/>
  <c r="M15" i="304"/>
  <c r="L15" i="304"/>
  <c r="K15" i="304"/>
  <c r="J15" i="304"/>
  <c r="I15" i="304"/>
  <c r="H15" i="304"/>
  <c r="G15" i="304"/>
  <c r="F15" i="304"/>
  <c r="E15" i="304"/>
  <c r="D15" i="304"/>
  <c r="C15" i="304"/>
  <c r="B15" i="304"/>
  <c r="Q14" i="304"/>
  <c r="P14" i="304"/>
  <c r="O14" i="304"/>
  <c r="N14" i="304"/>
  <c r="M14" i="304"/>
  <c r="L14" i="304"/>
  <c r="K14" i="304"/>
  <c r="J14" i="304"/>
  <c r="I14" i="304"/>
  <c r="H14" i="304"/>
  <c r="G14" i="304"/>
  <c r="F14" i="304"/>
  <c r="E14" i="304"/>
  <c r="D14" i="304"/>
  <c r="C14" i="304"/>
  <c r="B14" i="304"/>
  <c r="Q13" i="304"/>
  <c r="P13" i="304"/>
  <c r="O13" i="304"/>
  <c r="N13" i="304"/>
  <c r="M13" i="304"/>
  <c r="L13" i="304"/>
  <c r="K13" i="304"/>
  <c r="J13" i="304"/>
  <c r="I13" i="304"/>
  <c r="H13" i="304"/>
  <c r="G13" i="304"/>
  <c r="F13" i="304"/>
  <c r="E13" i="304"/>
  <c r="D13" i="304"/>
  <c r="C13" i="304"/>
  <c r="B13" i="304"/>
  <c r="Q12" i="304"/>
  <c r="P12" i="304"/>
  <c r="O12" i="304"/>
  <c r="N12" i="304"/>
  <c r="M12" i="304"/>
  <c r="L12" i="304"/>
  <c r="K12" i="304"/>
  <c r="J12" i="304"/>
  <c r="I12" i="304"/>
  <c r="H12" i="304"/>
  <c r="G12" i="304"/>
  <c r="F12" i="304"/>
  <c r="E12" i="304"/>
  <c r="D12" i="304"/>
  <c r="C12" i="304"/>
  <c r="B12" i="304"/>
  <c r="Q11" i="304"/>
  <c r="P11" i="304"/>
  <c r="O11" i="304"/>
  <c r="N11" i="304"/>
  <c r="M11" i="304"/>
  <c r="L11" i="304"/>
  <c r="K11" i="304"/>
  <c r="J11" i="304"/>
  <c r="I11" i="304"/>
  <c r="H11" i="304"/>
  <c r="G11" i="304"/>
  <c r="F11" i="304"/>
  <c r="E11" i="304"/>
  <c r="D11" i="304"/>
  <c r="C11" i="304"/>
  <c r="B11" i="304"/>
  <c r="C94" i="303"/>
  <c r="B94" i="303"/>
  <c r="C93" i="303"/>
  <c r="B93" i="303"/>
  <c r="C92" i="303"/>
  <c r="B92" i="303"/>
  <c r="C91" i="303"/>
  <c r="B91" i="303"/>
  <c r="C90" i="303"/>
  <c r="B90" i="303"/>
  <c r="C89" i="303"/>
  <c r="B89" i="303"/>
  <c r="C88" i="303"/>
  <c r="B88" i="303"/>
  <c r="C87" i="303"/>
  <c r="B87" i="303"/>
  <c r="C86" i="303"/>
  <c r="B86" i="303"/>
  <c r="C85" i="303"/>
  <c r="B85" i="303"/>
  <c r="C84" i="303"/>
  <c r="B84" i="303"/>
  <c r="C83" i="303"/>
  <c r="B83" i="303"/>
  <c r="C82" i="303"/>
  <c r="B82" i="303"/>
  <c r="C81" i="303"/>
  <c r="B81" i="303"/>
  <c r="I74" i="303"/>
  <c r="H74" i="303"/>
  <c r="G74" i="303"/>
  <c r="F74" i="303"/>
  <c r="E74" i="303"/>
  <c r="D74" i="303"/>
  <c r="C74" i="303"/>
  <c r="B74" i="303"/>
  <c r="I73" i="303"/>
  <c r="H73" i="303"/>
  <c r="G73" i="303"/>
  <c r="F73" i="303"/>
  <c r="E73" i="303"/>
  <c r="D73" i="303"/>
  <c r="C73" i="303"/>
  <c r="B73" i="303"/>
  <c r="I67" i="303"/>
  <c r="H66" i="303"/>
  <c r="G66" i="303"/>
  <c r="F66" i="303"/>
  <c r="E66" i="303"/>
  <c r="D66" i="303"/>
  <c r="C66" i="303"/>
  <c r="B66" i="303"/>
  <c r="H65" i="303"/>
  <c r="G65" i="303"/>
  <c r="F65" i="303"/>
  <c r="E65" i="303"/>
  <c r="D65" i="303"/>
  <c r="C65" i="303"/>
  <c r="B65" i="303"/>
  <c r="H64" i="303"/>
  <c r="G64" i="303"/>
  <c r="F64" i="303"/>
  <c r="E64" i="303"/>
  <c r="D64" i="303"/>
  <c r="C64" i="303"/>
  <c r="B64" i="303"/>
  <c r="H63" i="303"/>
  <c r="G63" i="303"/>
  <c r="F63" i="303"/>
  <c r="E63" i="303"/>
  <c r="D63" i="303"/>
  <c r="C63" i="303"/>
  <c r="B63" i="303"/>
  <c r="H62" i="303"/>
  <c r="G62" i="303"/>
  <c r="F62" i="303"/>
  <c r="E62" i="303"/>
  <c r="D62" i="303"/>
  <c r="C62" i="303"/>
  <c r="B62" i="303"/>
  <c r="H60" i="303"/>
  <c r="G60" i="303"/>
  <c r="F60" i="303"/>
  <c r="E60" i="303"/>
  <c r="D60" i="303"/>
  <c r="C60" i="303"/>
  <c r="B60" i="303"/>
  <c r="H59" i="303"/>
  <c r="G59" i="303"/>
  <c r="F59" i="303"/>
  <c r="E59" i="303"/>
  <c r="D59" i="303"/>
  <c r="C59" i="303"/>
  <c r="B59" i="303"/>
  <c r="H58" i="303"/>
  <c r="G58" i="303"/>
  <c r="F58" i="303"/>
  <c r="E58" i="303"/>
  <c r="D58" i="303"/>
  <c r="C58" i="303"/>
  <c r="B58" i="303"/>
  <c r="I50" i="303"/>
  <c r="H50" i="303"/>
  <c r="G50" i="303"/>
  <c r="F50" i="303"/>
  <c r="E50" i="303"/>
  <c r="D50" i="303"/>
  <c r="C50" i="303"/>
  <c r="B50" i="303"/>
  <c r="D47" i="303"/>
  <c r="C47" i="303"/>
  <c r="B47" i="303"/>
  <c r="D46" i="303"/>
  <c r="C46" i="303"/>
  <c r="B46" i="303"/>
  <c r="D45" i="303"/>
  <c r="C45" i="303"/>
  <c r="B45" i="303"/>
  <c r="D44" i="303"/>
  <c r="C44" i="303"/>
  <c r="B44" i="303"/>
  <c r="D43" i="303"/>
  <c r="C43" i="303"/>
  <c r="B43" i="303"/>
  <c r="D41" i="303"/>
  <c r="C41" i="303"/>
  <c r="B41" i="303"/>
  <c r="D40" i="303"/>
  <c r="C40" i="303"/>
  <c r="B40" i="303"/>
  <c r="D39" i="303"/>
  <c r="C39" i="303"/>
  <c r="B39" i="303"/>
  <c r="D38" i="303"/>
  <c r="C38" i="303"/>
  <c r="B38" i="303"/>
  <c r="D37" i="303"/>
  <c r="C37" i="303"/>
  <c r="B37" i="303"/>
  <c r="D36" i="303"/>
  <c r="C36" i="303"/>
  <c r="B36" i="303"/>
  <c r="D35" i="303"/>
  <c r="C35" i="303"/>
  <c r="B35" i="303"/>
  <c r="D34" i="303"/>
  <c r="C34" i="303"/>
  <c r="B34" i="303"/>
  <c r="D33" i="303"/>
  <c r="C33" i="303"/>
  <c r="B33" i="303"/>
  <c r="D32" i="303"/>
  <c r="C32" i="303"/>
  <c r="B32" i="303"/>
  <c r="D31" i="303"/>
  <c r="C31" i="303"/>
  <c r="B31" i="303"/>
  <c r="D30" i="303"/>
  <c r="C30" i="303"/>
  <c r="B30" i="303"/>
  <c r="D29" i="303"/>
  <c r="C29" i="303"/>
  <c r="B29" i="303"/>
  <c r="D28" i="303"/>
  <c r="C28" i="303"/>
  <c r="B28" i="303"/>
  <c r="D27" i="303"/>
  <c r="C27" i="303"/>
  <c r="B27" i="303"/>
  <c r="D26" i="303"/>
  <c r="C26" i="303"/>
  <c r="B26" i="303"/>
  <c r="D25" i="303"/>
  <c r="C25" i="303"/>
  <c r="B25" i="303"/>
  <c r="D24" i="303"/>
  <c r="C24" i="303"/>
  <c r="B24" i="303"/>
  <c r="I20" i="303"/>
  <c r="H20" i="303"/>
  <c r="G20" i="303"/>
  <c r="F20" i="303"/>
  <c r="E20" i="303"/>
  <c r="D20" i="303"/>
  <c r="C20" i="303"/>
  <c r="B20" i="303"/>
  <c r="I19" i="303"/>
  <c r="H19" i="303"/>
  <c r="G19" i="303"/>
  <c r="F19" i="303"/>
  <c r="E19" i="303"/>
  <c r="D19" i="303"/>
  <c r="C19" i="303"/>
  <c r="B19" i="303"/>
  <c r="I18" i="303"/>
  <c r="H18" i="303"/>
  <c r="G18" i="303"/>
  <c r="F18" i="303"/>
  <c r="E18" i="303"/>
  <c r="D18" i="303"/>
  <c r="C18" i="303"/>
  <c r="B18" i="303"/>
  <c r="I17" i="303"/>
  <c r="H17" i="303"/>
  <c r="G17" i="303"/>
  <c r="F17" i="303"/>
  <c r="E17" i="303"/>
  <c r="D17" i="303"/>
  <c r="C17" i="303"/>
  <c r="B17" i="303"/>
  <c r="I16" i="303"/>
  <c r="H16" i="303"/>
  <c r="G16" i="303"/>
  <c r="F16" i="303"/>
  <c r="E16" i="303"/>
  <c r="D16" i="303"/>
  <c r="C16" i="303"/>
  <c r="B16" i="303"/>
  <c r="I15" i="303"/>
  <c r="H15" i="303"/>
  <c r="G15" i="303"/>
  <c r="F15" i="303"/>
  <c r="E15" i="303"/>
  <c r="D15" i="303"/>
  <c r="C15" i="303"/>
  <c r="B15" i="303"/>
  <c r="I14" i="303"/>
  <c r="H14" i="303"/>
  <c r="G14" i="303"/>
  <c r="F14" i="303"/>
  <c r="E14" i="303"/>
  <c r="D14" i="303"/>
  <c r="C14" i="303"/>
  <c r="B14" i="303"/>
  <c r="I13" i="303"/>
  <c r="H13" i="303"/>
  <c r="G13" i="303"/>
  <c r="F13" i="303"/>
  <c r="E13" i="303"/>
  <c r="D13" i="303"/>
  <c r="C13" i="303"/>
  <c r="B13" i="303"/>
  <c r="I12" i="303"/>
  <c r="H12" i="303"/>
  <c r="G12" i="303"/>
  <c r="F12" i="303"/>
  <c r="E12" i="303"/>
  <c r="D12" i="303"/>
  <c r="C12" i="303"/>
  <c r="B12" i="303"/>
  <c r="I11" i="303"/>
  <c r="H11" i="303"/>
  <c r="G11" i="303"/>
  <c r="F11" i="303"/>
  <c r="E11" i="303"/>
  <c r="D11" i="303"/>
  <c r="C11" i="303"/>
  <c r="B11" i="303"/>
  <c r="I10" i="303"/>
  <c r="H10" i="303"/>
  <c r="G10" i="303"/>
  <c r="F10" i="303"/>
  <c r="E10" i="303"/>
  <c r="D10" i="303"/>
  <c r="C10" i="303"/>
  <c r="B10" i="303"/>
  <c r="I9" i="303"/>
  <c r="H9" i="303"/>
  <c r="G9" i="303"/>
  <c r="F9" i="303"/>
  <c r="E9" i="303"/>
  <c r="D9" i="303"/>
  <c r="C9" i="303"/>
  <c r="B9" i="303"/>
  <c r="I8" i="303"/>
  <c r="H8" i="303"/>
  <c r="G8" i="303"/>
  <c r="F8" i="303"/>
  <c r="E8" i="303"/>
  <c r="D8" i="303"/>
  <c r="C8" i="303"/>
  <c r="B8" i="303"/>
  <c r="I6" i="303"/>
  <c r="I7" i="303" s="1"/>
  <c r="H6" i="303"/>
  <c r="H49" i="303" s="1"/>
  <c r="H51" i="303" s="1"/>
  <c r="G6" i="303"/>
  <c r="G49" i="303" s="1"/>
  <c r="F6" i="303"/>
  <c r="F7" i="303" s="1"/>
  <c r="E6" i="303"/>
  <c r="E7" i="303" s="1"/>
  <c r="D6" i="303"/>
  <c r="D49" i="303" s="1"/>
  <c r="C6" i="303"/>
  <c r="B6" i="303"/>
  <c r="B68" i="303" s="1"/>
  <c r="K64" i="302"/>
  <c r="J64" i="302"/>
  <c r="I64" i="302"/>
  <c r="H64" i="302"/>
  <c r="G64" i="302"/>
  <c r="F64" i="302"/>
  <c r="E64" i="302"/>
  <c r="K63" i="302"/>
  <c r="J63" i="302"/>
  <c r="I63" i="302"/>
  <c r="H63" i="302"/>
  <c r="G63" i="302"/>
  <c r="F63" i="302"/>
  <c r="E63" i="302"/>
  <c r="K62" i="302"/>
  <c r="J62" i="302"/>
  <c r="I62" i="302"/>
  <c r="H62" i="302"/>
  <c r="G62" i="302"/>
  <c r="F62" i="302"/>
  <c r="E62" i="302"/>
  <c r="K61" i="302"/>
  <c r="J61" i="302"/>
  <c r="I61" i="302"/>
  <c r="H61" i="302"/>
  <c r="G61" i="302"/>
  <c r="F61" i="302"/>
  <c r="E61" i="302"/>
  <c r="K60" i="302"/>
  <c r="J60" i="302"/>
  <c r="I60" i="302"/>
  <c r="H60" i="302"/>
  <c r="G60" i="302"/>
  <c r="F60" i="302"/>
  <c r="E60" i="302"/>
  <c r="K59" i="302"/>
  <c r="J59" i="302"/>
  <c r="I59" i="302"/>
  <c r="H59" i="302"/>
  <c r="G59" i="302"/>
  <c r="F59" i="302"/>
  <c r="E59" i="302"/>
  <c r="K58" i="302"/>
  <c r="J58" i="302"/>
  <c r="I58" i="302"/>
  <c r="H58" i="302"/>
  <c r="G58" i="302"/>
  <c r="F58" i="302"/>
  <c r="E58" i="302"/>
  <c r="Q47" i="302"/>
  <c r="P47" i="302"/>
  <c r="O47" i="302"/>
  <c r="N47" i="302"/>
  <c r="M47" i="302"/>
  <c r="L47" i="302"/>
  <c r="K47" i="302"/>
  <c r="J47" i="302"/>
  <c r="I47" i="302"/>
  <c r="H47" i="302"/>
  <c r="G47" i="302"/>
  <c r="F47" i="302"/>
  <c r="E47" i="302"/>
  <c r="D47" i="302"/>
  <c r="C47" i="302"/>
  <c r="B47" i="302"/>
  <c r="Q46" i="302"/>
  <c r="P46" i="302"/>
  <c r="O46" i="302"/>
  <c r="N46" i="302"/>
  <c r="M46" i="302"/>
  <c r="L46" i="302"/>
  <c r="K46" i="302"/>
  <c r="J46" i="302"/>
  <c r="I46" i="302"/>
  <c r="H46" i="302"/>
  <c r="G46" i="302"/>
  <c r="F46" i="302"/>
  <c r="E46" i="302"/>
  <c r="D46" i="302"/>
  <c r="C46" i="302"/>
  <c r="B46" i="302"/>
  <c r="Q45" i="302"/>
  <c r="P45" i="302"/>
  <c r="O45" i="302"/>
  <c r="N45" i="302"/>
  <c r="M45" i="302"/>
  <c r="L45" i="302"/>
  <c r="K45" i="302"/>
  <c r="J45" i="302"/>
  <c r="I45" i="302"/>
  <c r="H45" i="302"/>
  <c r="G45" i="302"/>
  <c r="F45" i="302"/>
  <c r="E45" i="302"/>
  <c r="D45" i="302"/>
  <c r="C45" i="302"/>
  <c r="B45" i="302"/>
  <c r="Q44" i="302"/>
  <c r="P44" i="302"/>
  <c r="O44" i="302"/>
  <c r="N44" i="302"/>
  <c r="M44" i="302"/>
  <c r="L44" i="302"/>
  <c r="K44" i="302"/>
  <c r="J44" i="302"/>
  <c r="I44" i="302"/>
  <c r="H44" i="302"/>
  <c r="G44" i="302"/>
  <c r="F44" i="302"/>
  <c r="E44" i="302"/>
  <c r="D44" i="302"/>
  <c r="C44" i="302"/>
  <c r="B44" i="302"/>
  <c r="Q43" i="302"/>
  <c r="P43" i="302"/>
  <c r="O43" i="302"/>
  <c r="N43" i="302"/>
  <c r="M43" i="302"/>
  <c r="L43" i="302"/>
  <c r="K43" i="302"/>
  <c r="J43" i="302"/>
  <c r="I43" i="302"/>
  <c r="H43" i="302"/>
  <c r="G43" i="302"/>
  <c r="F43" i="302"/>
  <c r="E43" i="302"/>
  <c r="D43" i="302"/>
  <c r="C43" i="302"/>
  <c r="B43" i="302"/>
  <c r="Q42" i="302"/>
  <c r="P42" i="302"/>
  <c r="O42" i="302"/>
  <c r="N42" i="302"/>
  <c r="M42" i="302"/>
  <c r="L42" i="302"/>
  <c r="K42" i="302"/>
  <c r="J42" i="302"/>
  <c r="I42" i="302"/>
  <c r="H42" i="302"/>
  <c r="G42" i="302"/>
  <c r="F42" i="302"/>
  <c r="E42" i="302"/>
  <c r="D42" i="302"/>
  <c r="C42" i="302"/>
  <c r="B42" i="302"/>
  <c r="Q41" i="302"/>
  <c r="P41" i="302"/>
  <c r="O41" i="302"/>
  <c r="N41" i="302"/>
  <c r="M41" i="302"/>
  <c r="L41" i="302"/>
  <c r="K41" i="302"/>
  <c r="J41" i="302"/>
  <c r="I41" i="302"/>
  <c r="H41" i="302"/>
  <c r="G41" i="302"/>
  <c r="F41" i="302"/>
  <c r="E41" i="302"/>
  <c r="D41" i="302"/>
  <c r="C41" i="302"/>
  <c r="B41" i="302"/>
  <c r="Q40" i="302"/>
  <c r="P40" i="302"/>
  <c r="O40" i="302"/>
  <c r="N40" i="302"/>
  <c r="M40" i="302"/>
  <c r="L40" i="302"/>
  <c r="K40" i="302"/>
  <c r="J40" i="302"/>
  <c r="I40" i="302"/>
  <c r="H40" i="302"/>
  <c r="G40" i="302"/>
  <c r="F40" i="302"/>
  <c r="E40" i="302"/>
  <c r="D40" i="302"/>
  <c r="C40" i="302"/>
  <c r="B40" i="302"/>
  <c r="Q39" i="302"/>
  <c r="P39" i="302"/>
  <c r="O39" i="302"/>
  <c r="N39" i="302"/>
  <c r="M39" i="302"/>
  <c r="L39" i="302"/>
  <c r="K39" i="302"/>
  <c r="J39" i="302"/>
  <c r="I39" i="302"/>
  <c r="H39" i="302"/>
  <c r="G39" i="302"/>
  <c r="F39" i="302"/>
  <c r="E39" i="302"/>
  <c r="D39" i="302"/>
  <c r="C39" i="302"/>
  <c r="B39" i="302"/>
  <c r="Q38" i="302"/>
  <c r="P38" i="302"/>
  <c r="O38" i="302"/>
  <c r="N38" i="302"/>
  <c r="M38" i="302"/>
  <c r="L38" i="302"/>
  <c r="K38" i="302"/>
  <c r="J38" i="302"/>
  <c r="I38" i="302"/>
  <c r="H38" i="302"/>
  <c r="G38" i="302"/>
  <c r="F38" i="302"/>
  <c r="E38" i="302"/>
  <c r="D38" i="302"/>
  <c r="C38" i="302"/>
  <c r="B38" i="302"/>
  <c r="Q37" i="302"/>
  <c r="P37" i="302"/>
  <c r="O37" i="302"/>
  <c r="N37" i="302"/>
  <c r="M37" i="302"/>
  <c r="L37" i="302"/>
  <c r="K37" i="302"/>
  <c r="J37" i="302"/>
  <c r="I37" i="302"/>
  <c r="H37" i="302"/>
  <c r="G37" i="302"/>
  <c r="F37" i="302"/>
  <c r="E37" i="302"/>
  <c r="D37" i="302"/>
  <c r="C37" i="302"/>
  <c r="B37" i="302"/>
  <c r="Q36" i="302"/>
  <c r="P36" i="302"/>
  <c r="O36" i="302"/>
  <c r="N36" i="302"/>
  <c r="M36" i="302"/>
  <c r="L36" i="302"/>
  <c r="K36" i="302"/>
  <c r="J36" i="302"/>
  <c r="I36" i="302"/>
  <c r="H36" i="302"/>
  <c r="G36" i="302"/>
  <c r="F36" i="302"/>
  <c r="E36" i="302"/>
  <c r="D36" i="302"/>
  <c r="C36" i="302"/>
  <c r="B36" i="302"/>
  <c r="Q35" i="302"/>
  <c r="P35" i="302"/>
  <c r="O35" i="302"/>
  <c r="N35" i="302"/>
  <c r="M35" i="302"/>
  <c r="L35" i="302"/>
  <c r="K35" i="302"/>
  <c r="J35" i="302"/>
  <c r="I35" i="302"/>
  <c r="H35" i="302"/>
  <c r="G35" i="302"/>
  <c r="F35" i="302"/>
  <c r="E35" i="302"/>
  <c r="D35" i="302"/>
  <c r="C35" i="302"/>
  <c r="B35" i="302"/>
  <c r="Q34" i="302"/>
  <c r="P34" i="302"/>
  <c r="O34" i="302"/>
  <c r="N34" i="302"/>
  <c r="M34" i="302"/>
  <c r="L34" i="302"/>
  <c r="K34" i="302"/>
  <c r="J34" i="302"/>
  <c r="I34" i="302"/>
  <c r="H34" i="302"/>
  <c r="G34" i="302"/>
  <c r="F34" i="302"/>
  <c r="E34" i="302"/>
  <c r="D34" i="302"/>
  <c r="C34" i="302"/>
  <c r="B34" i="302"/>
  <c r="Q33" i="302"/>
  <c r="P33" i="302"/>
  <c r="O33" i="302"/>
  <c r="N33" i="302"/>
  <c r="M33" i="302"/>
  <c r="L33" i="302"/>
  <c r="K33" i="302"/>
  <c r="J33" i="302"/>
  <c r="I33" i="302"/>
  <c r="H33" i="302"/>
  <c r="G33" i="302"/>
  <c r="F33" i="302"/>
  <c r="E33" i="302"/>
  <c r="D33" i="302"/>
  <c r="C33" i="302"/>
  <c r="B33" i="302"/>
  <c r="Q32" i="302"/>
  <c r="P32" i="302"/>
  <c r="O32" i="302"/>
  <c r="N32" i="302"/>
  <c r="M32" i="302"/>
  <c r="L32" i="302"/>
  <c r="K32" i="302"/>
  <c r="J32" i="302"/>
  <c r="I32" i="302"/>
  <c r="H32" i="302"/>
  <c r="G32" i="302"/>
  <c r="F32" i="302"/>
  <c r="E32" i="302"/>
  <c r="D32" i="302"/>
  <c r="C32" i="302"/>
  <c r="B32" i="302"/>
  <c r="Q31" i="302"/>
  <c r="P31" i="302"/>
  <c r="O31" i="302"/>
  <c r="N31" i="302"/>
  <c r="M31" i="302"/>
  <c r="L31" i="302"/>
  <c r="K31" i="302"/>
  <c r="J31" i="302"/>
  <c r="I31" i="302"/>
  <c r="H31" i="302"/>
  <c r="G31" i="302"/>
  <c r="F31" i="302"/>
  <c r="E31" i="302"/>
  <c r="D31" i="302"/>
  <c r="C31" i="302"/>
  <c r="B31" i="302"/>
  <c r="Q21" i="302"/>
  <c r="P21" i="302"/>
  <c r="O21" i="302"/>
  <c r="N21" i="302"/>
  <c r="M21" i="302"/>
  <c r="L21" i="302"/>
  <c r="K21" i="302"/>
  <c r="J21" i="302"/>
  <c r="I21" i="302"/>
  <c r="H21" i="302"/>
  <c r="G21" i="302"/>
  <c r="F21" i="302"/>
  <c r="E21" i="302"/>
  <c r="D21" i="302"/>
  <c r="C21" i="302"/>
  <c r="B21" i="302"/>
  <c r="Q20" i="302"/>
  <c r="P20" i="302"/>
  <c r="O20" i="302"/>
  <c r="N20" i="302"/>
  <c r="M20" i="302"/>
  <c r="L20" i="302"/>
  <c r="K20" i="302"/>
  <c r="J20" i="302"/>
  <c r="I20" i="302"/>
  <c r="H20" i="302"/>
  <c r="G20" i="302"/>
  <c r="F20" i="302"/>
  <c r="E20" i="302"/>
  <c r="D20" i="302"/>
  <c r="C20" i="302"/>
  <c r="B20" i="302"/>
  <c r="Q19" i="302"/>
  <c r="P19" i="302"/>
  <c r="O19" i="302"/>
  <c r="N19" i="302"/>
  <c r="M19" i="302"/>
  <c r="L19" i="302"/>
  <c r="K19" i="302"/>
  <c r="J19" i="302"/>
  <c r="I19" i="302"/>
  <c r="H19" i="302"/>
  <c r="G19" i="302"/>
  <c r="F19" i="302"/>
  <c r="E19" i="302"/>
  <c r="D19" i="302"/>
  <c r="C19" i="302"/>
  <c r="B19" i="302"/>
  <c r="Q18" i="302"/>
  <c r="P18" i="302"/>
  <c r="O18" i="302"/>
  <c r="N18" i="302"/>
  <c r="M18" i="302"/>
  <c r="L18" i="302"/>
  <c r="K18" i="302"/>
  <c r="J18" i="302"/>
  <c r="I18" i="302"/>
  <c r="H18" i="302"/>
  <c r="G18" i="302"/>
  <c r="F18" i="302"/>
  <c r="E18" i="302"/>
  <c r="D18" i="302"/>
  <c r="C18" i="302"/>
  <c r="B18" i="302"/>
  <c r="Q17" i="302"/>
  <c r="P17" i="302"/>
  <c r="O17" i="302"/>
  <c r="N17" i="302"/>
  <c r="M17" i="302"/>
  <c r="L17" i="302"/>
  <c r="K17" i="302"/>
  <c r="J17" i="302"/>
  <c r="I17" i="302"/>
  <c r="H17" i="302"/>
  <c r="G17" i="302"/>
  <c r="F17" i="302"/>
  <c r="E17" i="302"/>
  <c r="D17" i="302"/>
  <c r="C17" i="302"/>
  <c r="B17" i="302"/>
  <c r="Q16" i="302"/>
  <c r="P16" i="302"/>
  <c r="O16" i="302"/>
  <c r="N16" i="302"/>
  <c r="M16" i="302"/>
  <c r="L16" i="302"/>
  <c r="K16" i="302"/>
  <c r="J16" i="302"/>
  <c r="I16" i="302"/>
  <c r="H16" i="302"/>
  <c r="G16" i="302"/>
  <c r="F16" i="302"/>
  <c r="E16" i="302"/>
  <c r="D16" i="302"/>
  <c r="C16" i="302"/>
  <c r="B16" i="302"/>
  <c r="Q15" i="302"/>
  <c r="P15" i="302"/>
  <c r="O15" i="302"/>
  <c r="N15" i="302"/>
  <c r="M15" i="302"/>
  <c r="L15" i="302"/>
  <c r="K15" i="302"/>
  <c r="J15" i="302"/>
  <c r="I15" i="302"/>
  <c r="H15" i="302"/>
  <c r="G15" i="302"/>
  <c r="F15" i="302"/>
  <c r="E15" i="302"/>
  <c r="D15" i="302"/>
  <c r="C15" i="302"/>
  <c r="B15" i="302"/>
  <c r="Q14" i="302"/>
  <c r="P14" i="302"/>
  <c r="O14" i="302"/>
  <c r="N14" i="302"/>
  <c r="M14" i="302"/>
  <c r="L14" i="302"/>
  <c r="K14" i="302"/>
  <c r="J14" i="302"/>
  <c r="I14" i="302"/>
  <c r="H14" i="302"/>
  <c r="G14" i="302"/>
  <c r="F14" i="302"/>
  <c r="E14" i="302"/>
  <c r="D14" i="302"/>
  <c r="C14" i="302"/>
  <c r="B14" i="302"/>
  <c r="Q13" i="302"/>
  <c r="P13" i="302"/>
  <c r="O13" i="302"/>
  <c r="N13" i="302"/>
  <c r="M13" i="302"/>
  <c r="L13" i="302"/>
  <c r="K13" i="302"/>
  <c r="J13" i="302"/>
  <c r="I13" i="302"/>
  <c r="H13" i="302"/>
  <c r="G13" i="302"/>
  <c r="F13" i="302"/>
  <c r="E13" i="302"/>
  <c r="D13" i="302"/>
  <c r="C13" i="302"/>
  <c r="B13" i="302"/>
  <c r="Q12" i="302"/>
  <c r="P12" i="302"/>
  <c r="O12" i="302"/>
  <c r="N12" i="302"/>
  <c r="M12" i="302"/>
  <c r="L12" i="302"/>
  <c r="K12" i="302"/>
  <c r="J12" i="302"/>
  <c r="I12" i="302"/>
  <c r="H12" i="302"/>
  <c r="G12" i="302"/>
  <c r="F12" i="302"/>
  <c r="E12" i="302"/>
  <c r="D12" i="302"/>
  <c r="C12" i="302"/>
  <c r="B12" i="302"/>
  <c r="Q11" i="302"/>
  <c r="P11" i="302"/>
  <c r="O11" i="302"/>
  <c r="N11" i="302"/>
  <c r="M11" i="302"/>
  <c r="L11" i="302"/>
  <c r="K11" i="302"/>
  <c r="J11" i="302"/>
  <c r="I11" i="302"/>
  <c r="H11" i="302"/>
  <c r="G11" i="302"/>
  <c r="F11" i="302"/>
  <c r="E11" i="302"/>
  <c r="D11" i="302"/>
  <c r="C11" i="302"/>
  <c r="B11" i="302"/>
  <c r="D91" i="301"/>
  <c r="D92" i="301"/>
  <c r="D93" i="301"/>
  <c r="D94" i="301"/>
  <c r="D90" i="301"/>
  <c r="D82" i="301"/>
  <c r="D83" i="301"/>
  <c r="D84" i="301"/>
  <c r="D85" i="301"/>
  <c r="D86" i="301"/>
  <c r="D87" i="301"/>
  <c r="D88" i="301"/>
  <c r="D89" i="301"/>
  <c r="D81" i="301"/>
  <c r="K66" i="297"/>
  <c r="J66" i="297"/>
  <c r="I66" i="297"/>
  <c r="H66" i="297"/>
  <c r="G66" i="297"/>
  <c r="F66" i="297"/>
  <c r="E66" i="297"/>
  <c r="K65" i="297"/>
  <c r="J65" i="297"/>
  <c r="I65" i="297"/>
  <c r="H65" i="297"/>
  <c r="G65" i="297"/>
  <c r="F65" i="297"/>
  <c r="E65" i="297"/>
  <c r="K64" i="297"/>
  <c r="J64" i="297"/>
  <c r="I64" i="297"/>
  <c r="H64" i="297"/>
  <c r="G64" i="297"/>
  <c r="F64" i="297"/>
  <c r="E64" i="297"/>
  <c r="K63" i="297"/>
  <c r="J63" i="297"/>
  <c r="I63" i="297"/>
  <c r="H63" i="297"/>
  <c r="G63" i="297"/>
  <c r="F63" i="297"/>
  <c r="E63" i="297"/>
  <c r="K62" i="297"/>
  <c r="J62" i="297"/>
  <c r="I62" i="297"/>
  <c r="H62" i="297"/>
  <c r="G62" i="297"/>
  <c r="F62" i="297"/>
  <c r="E62" i="297"/>
  <c r="K61" i="297"/>
  <c r="J61" i="297"/>
  <c r="I61" i="297"/>
  <c r="H61" i="297"/>
  <c r="G61" i="297"/>
  <c r="F61" i="297"/>
  <c r="E61" i="297"/>
  <c r="K60" i="297"/>
  <c r="J60" i="297"/>
  <c r="I60" i="297"/>
  <c r="H60" i="297"/>
  <c r="G60" i="297"/>
  <c r="F60" i="297"/>
  <c r="E60" i="297"/>
  <c r="Q49" i="297"/>
  <c r="P49" i="297"/>
  <c r="O49" i="297"/>
  <c r="N49" i="297"/>
  <c r="M49" i="297"/>
  <c r="L49" i="297"/>
  <c r="K49" i="297"/>
  <c r="J49" i="297"/>
  <c r="I49" i="297"/>
  <c r="H49" i="297"/>
  <c r="G49" i="297"/>
  <c r="F49" i="297"/>
  <c r="E49" i="297"/>
  <c r="D49" i="297"/>
  <c r="C49" i="297"/>
  <c r="B49" i="297"/>
  <c r="Q48" i="297"/>
  <c r="P48" i="297"/>
  <c r="O48" i="297"/>
  <c r="N48" i="297"/>
  <c r="M48" i="297"/>
  <c r="L48" i="297"/>
  <c r="K48" i="297"/>
  <c r="J48" i="297"/>
  <c r="I48" i="297"/>
  <c r="H48" i="297"/>
  <c r="G48" i="297"/>
  <c r="F48" i="297"/>
  <c r="E48" i="297"/>
  <c r="D48" i="297"/>
  <c r="C48" i="297"/>
  <c r="B48" i="297"/>
  <c r="Q47" i="297"/>
  <c r="P47" i="297"/>
  <c r="O47" i="297"/>
  <c r="N47" i="297"/>
  <c r="M47" i="297"/>
  <c r="L47" i="297"/>
  <c r="K47" i="297"/>
  <c r="J47" i="297"/>
  <c r="I47" i="297"/>
  <c r="H47" i="297"/>
  <c r="G47" i="297"/>
  <c r="F47" i="297"/>
  <c r="E47" i="297"/>
  <c r="D47" i="297"/>
  <c r="C47" i="297"/>
  <c r="B47" i="297"/>
  <c r="Q46" i="297"/>
  <c r="P46" i="297"/>
  <c r="O46" i="297"/>
  <c r="N46" i="297"/>
  <c r="M46" i="297"/>
  <c r="L46" i="297"/>
  <c r="K46" i="297"/>
  <c r="J46" i="297"/>
  <c r="I46" i="297"/>
  <c r="H46" i="297"/>
  <c r="G46" i="297"/>
  <c r="F46" i="297"/>
  <c r="E46" i="297"/>
  <c r="D46" i="297"/>
  <c r="C46" i="297"/>
  <c r="B46" i="297"/>
  <c r="Q45" i="297"/>
  <c r="P45" i="297"/>
  <c r="O45" i="297"/>
  <c r="N45" i="297"/>
  <c r="M45" i="297"/>
  <c r="L45" i="297"/>
  <c r="K45" i="297"/>
  <c r="J45" i="297"/>
  <c r="I45" i="297"/>
  <c r="H45" i="297"/>
  <c r="G45" i="297"/>
  <c r="F45" i="297"/>
  <c r="E45" i="297"/>
  <c r="D45" i="297"/>
  <c r="C45" i="297"/>
  <c r="B45" i="297"/>
  <c r="Q44" i="297"/>
  <c r="P44" i="297"/>
  <c r="O44" i="297"/>
  <c r="N44" i="297"/>
  <c r="M44" i="297"/>
  <c r="L44" i="297"/>
  <c r="K44" i="297"/>
  <c r="J44" i="297"/>
  <c r="I44" i="297"/>
  <c r="H44" i="297"/>
  <c r="G44" i="297"/>
  <c r="F44" i="297"/>
  <c r="E44" i="297"/>
  <c r="D44" i="297"/>
  <c r="C44" i="297"/>
  <c r="B44" i="297"/>
  <c r="Q43" i="297"/>
  <c r="P43" i="297"/>
  <c r="O43" i="297"/>
  <c r="N43" i="297"/>
  <c r="M43" i="297"/>
  <c r="L43" i="297"/>
  <c r="K43" i="297"/>
  <c r="J43" i="297"/>
  <c r="I43" i="297"/>
  <c r="H43" i="297"/>
  <c r="G43" i="297"/>
  <c r="F43" i="297"/>
  <c r="E43" i="297"/>
  <c r="D43" i="297"/>
  <c r="C43" i="297"/>
  <c r="B43" i="297"/>
  <c r="Q42" i="297"/>
  <c r="P42" i="297"/>
  <c r="O42" i="297"/>
  <c r="N42" i="297"/>
  <c r="M42" i="297"/>
  <c r="L42" i="297"/>
  <c r="K42" i="297"/>
  <c r="J42" i="297"/>
  <c r="I42" i="297"/>
  <c r="H42" i="297"/>
  <c r="G42" i="297"/>
  <c r="F42" i="297"/>
  <c r="E42" i="297"/>
  <c r="D42" i="297"/>
  <c r="C42" i="297"/>
  <c r="B42" i="297"/>
  <c r="Q41" i="297"/>
  <c r="P41" i="297"/>
  <c r="O41" i="297"/>
  <c r="N41" i="297"/>
  <c r="M41" i="297"/>
  <c r="L41" i="297"/>
  <c r="K41" i="297"/>
  <c r="J41" i="297"/>
  <c r="I41" i="297"/>
  <c r="H41" i="297"/>
  <c r="G41" i="297"/>
  <c r="F41" i="297"/>
  <c r="E41" i="297"/>
  <c r="D41" i="297"/>
  <c r="C41" i="297"/>
  <c r="B41" i="297"/>
  <c r="Q40" i="297"/>
  <c r="P40" i="297"/>
  <c r="O40" i="297"/>
  <c r="N40" i="297"/>
  <c r="M40" i="297"/>
  <c r="L40" i="297"/>
  <c r="K40" i="297"/>
  <c r="J40" i="297"/>
  <c r="I40" i="297"/>
  <c r="H40" i="297"/>
  <c r="G40" i="297"/>
  <c r="F40" i="297"/>
  <c r="E40" i="297"/>
  <c r="D40" i="297"/>
  <c r="C40" i="297"/>
  <c r="B40" i="297"/>
  <c r="Q39" i="297"/>
  <c r="P39" i="297"/>
  <c r="O39" i="297"/>
  <c r="N39" i="297"/>
  <c r="M39" i="297"/>
  <c r="L39" i="297"/>
  <c r="K39" i="297"/>
  <c r="J39" i="297"/>
  <c r="I39" i="297"/>
  <c r="H39" i="297"/>
  <c r="G39" i="297"/>
  <c r="F39" i="297"/>
  <c r="E39" i="297"/>
  <c r="D39" i="297"/>
  <c r="C39" i="297"/>
  <c r="B39" i="297"/>
  <c r="Q38" i="297"/>
  <c r="P38" i="297"/>
  <c r="O38" i="297"/>
  <c r="N38" i="297"/>
  <c r="M38" i="297"/>
  <c r="L38" i="297"/>
  <c r="K38" i="297"/>
  <c r="J38" i="297"/>
  <c r="I38" i="297"/>
  <c r="H38" i="297"/>
  <c r="G38" i="297"/>
  <c r="F38" i="297"/>
  <c r="E38" i="297"/>
  <c r="D38" i="297"/>
  <c r="C38" i="297"/>
  <c r="B38" i="297"/>
  <c r="Q37" i="297"/>
  <c r="P37" i="297"/>
  <c r="O37" i="297"/>
  <c r="N37" i="297"/>
  <c r="M37" i="297"/>
  <c r="L37" i="297"/>
  <c r="K37" i="297"/>
  <c r="J37" i="297"/>
  <c r="I37" i="297"/>
  <c r="H37" i="297"/>
  <c r="G37" i="297"/>
  <c r="F37" i="297"/>
  <c r="E37" i="297"/>
  <c r="D37" i="297"/>
  <c r="C37" i="297"/>
  <c r="B37" i="297"/>
  <c r="Q36" i="297"/>
  <c r="P36" i="297"/>
  <c r="O36" i="297"/>
  <c r="N36" i="297"/>
  <c r="M36" i="297"/>
  <c r="L36" i="297"/>
  <c r="K36" i="297"/>
  <c r="J36" i="297"/>
  <c r="I36" i="297"/>
  <c r="H36" i="297"/>
  <c r="G36" i="297"/>
  <c r="F36" i="297"/>
  <c r="E36" i="297"/>
  <c r="D36" i="297"/>
  <c r="C36" i="297"/>
  <c r="B36" i="297"/>
  <c r="Q35" i="297"/>
  <c r="P35" i="297"/>
  <c r="O35" i="297"/>
  <c r="N35" i="297"/>
  <c r="M35" i="297"/>
  <c r="L35" i="297"/>
  <c r="K35" i="297"/>
  <c r="J35" i="297"/>
  <c r="I35" i="297"/>
  <c r="H35" i="297"/>
  <c r="G35" i="297"/>
  <c r="F35" i="297"/>
  <c r="E35" i="297"/>
  <c r="D35" i="297"/>
  <c r="C35" i="297"/>
  <c r="B35" i="297"/>
  <c r="Q34" i="297"/>
  <c r="P34" i="297"/>
  <c r="O34" i="297"/>
  <c r="N34" i="297"/>
  <c r="M34" i="297"/>
  <c r="L34" i="297"/>
  <c r="K34" i="297"/>
  <c r="J34" i="297"/>
  <c r="I34" i="297"/>
  <c r="H34" i="297"/>
  <c r="G34" i="297"/>
  <c r="F34" i="297"/>
  <c r="E34" i="297"/>
  <c r="D34" i="297"/>
  <c r="C34" i="297"/>
  <c r="B34" i="297"/>
  <c r="Q33" i="297"/>
  <c r="P33" i="297"/>
  <c r="O33" i="297"/>
  <c r="N33" i="297"/>
  <c r="M33" i="297"/>
  <c r="L33" i="297"/>
  <c r="K33" i="297"/>
  <c r="J33" i="297"/>
  <c r="I33" i="297"/>
  <c r="H33" i="297"/>
  <c r="G33" i="297"/>
  <c r="F33" i="297"/>
  <c r="E33" i="297"/>
  <c r="D33" i="297"/>
  <c r="C33" i="297"/>
  <c r="B33" i="297"/>
  <c r="Q22" i="297"/>
  <c r="P22" i="297"/>
  <c r="O22" i="297"/>
  <c r="N22" i="297"/>
  <c r="M22" i="297"/>
  <c r="L22" i="297"/>
  <c r="K22" i="297"/>
  <c r="J22" i="297"/>
  <c r="I22" i="297"/>
  <c r="H22" i="297"/>
  <c r="G22" i="297"/>
  <c r="F22" i="297"/>
  <c r="E22" i="297"/>
  <c r="D22" i="297"/>
  <c r="C22" i="297"/>
  <c r="B22" i="297"/>
  <c r="Q21" i="297"/>
  <c r="P21" i="297"/>
  <c r="O21" i="297"/>
  <c r="N21" i="297"/>
  <c r="M21" i="297"/>
  <c r="L21" i="297"/>
  <c r="K21" i="297"/>
  <c r="J21" i="297"/>
  <c r="I21" i="297"/>
  <c r="H21" i="297"/>
  <c r="G21" i="297"/>
  <c r="F21" i="297"/>
  <c r="E21" i="297"/>
  <c r="D21" i="297"/>
  <c r="C21" i="297"/>
  <c r="B21" i="297"/>
  <c r="Q20" i="297"/>
  <c r="P20" i="297"/>
  <c r="O20" i="297"/>
  <c r="N20" i="297"/>
  <c r="M20" i="297"/>
  <c r="L20" i="297"/>
  <c r="K20" i="297"/>
  <c r="J20" i="297"/>
  <c r="I20" i="297"/>
  <c r="H20" i="297"/>
  <c r="G20" i="297"/>
  <c r="F20" i="297"/>
  <c r="E20" i="297"/>
  <c r="D20" i="297"/>
  <c r="C20" i="297"/>
  <c r="B20" i="297"/>
  <c r="Q19" i="297"/>
  <c r="P19" i="297"/>
  <c r="O19" i="297"/>
  <c r="N19" i="297"/>
  <c r="M19" i="297"/>
  <c r="L19" i="297"/>
  <c r="K19" i="297"/>
  <c r="J19" i="297"/>
  <c r="I19" i="297"/>
  <c r="H19" i="297"/>
  <c r="G19" i="297"/>
  <c r="F19" i="297"/>
  <c r="E19" i="297"/>
  <c r="D19" i="297"/>
  <c r="C19" i="297"/>
  <c r="B19" i="297"/>
  <c r="Q18" i="297"/>
  <c r="P18" i="297"/>
  <c r="O18" i="297"/>
  <c r="N18" i="297"/>
  <c r="M18" i="297"/>
  <c r="L18" i="297"/>
  <c r="K18" i="297"/>
  <c r="J18" i="297"/>
  <c r="I18" i="297"/>
  <c r="H18" i="297"/>
  <c r="G18" i="297"/>
  <c r="F18" i="297"/>
  <c r="E18" i="297"/>
  <c r="D18" i="297"/>
  <c r="C18" i="297"/>
  <c r="B18" i="297"/>
  <c r="Q17" i="297"/>
  <c r="P17" i="297"/>
  <c r="O17" i="297"/>
  <c r="N17" i="297"/>
  <c r="M17" i="297"/>
  <c r="L17" i="297"/>
  <c r="K17" i="297"/>
  <c r="J17" i="297"/>
  <c r="I17" i="297"/>
  <c r="H17" i="297"/>
  <c r="G17" i="297"/>
  <c r="F17" i="297"/>
  <c r="E17" i="297"/>
  <c r="D17" i="297"/>
  <c r="C17" i="297"/>
  <c r="B17" i="297"/>
  <c r="Q16" i="297"/>
  <c r="P16" i="297"/>
  <c r="O16" i="297"/>
  <c r="N16" i="297"/>
  <c r="M16" i="297"/>
  <c r="L16" i="297"/>
  <c r="K16" i="297"/>
  <c r="J16" i="297"/>
  <c r="I16" i="297"/>
  <c r="H16" i="297"/>
  <c r="G16" i="297"/>
  <c r="F16" i="297"/>
  <c r="E16" i="297"/>
  <c r="D16" i="297"/>
  <c r="C16" i="297"/>
  <c r="B16" i="297"/>
  <c r="Q15" i="297"/>
  <c r="P15" i="297"/>
  <c r="O15" i="297"/>
  <c r="N15" i="297"/>
  <c r="M15" i="297"/>
  <c r="L15" i="297"/>
  <c r="K15" i="297"/>
  <c r="J15" i="297"/>
  <c r="I15" i="297"/>
  <c r="H15" i="297"/>
  <c r="G15" i="297"/>
  <c r="F15" i="297"/>
  <c r="E15" i="297"/>
  <c r="D15" i="297"/>
  <c r="C15" i="297"/>
  <c r="B15" i="297"/>
  <c r="Q14" i="297"/>
  <c r="P14" i="297"/>
  <c r="O14" i="297"/>
  <c r="N14" i="297"/>
  <c r="M14" i="297"/>
  <c r="L14" i="297"/>
  <c r="K14" i="297"/>
  <c r="J14" i="297"/>
  <c r="I14" i="297"/>
  <c r="H14" i="297"/>
  <c r="G14" i="297"/>
  <c r="F14" i="297"/>
  <c r="E14" i="297"/>
  <c r="D14" i="297"/>
  <c r="C14" i="297"/>
  <c r="B14" i="297"/>
  <c r="Q13" i="297"/>
  <c r="P13" i="297"/>
  <c r="O13" i="297"/>
  <c r="N13" i="297"/>
  <c r="M13" i="297"/>
  <c r="L13" i="297"/>
  <c r="K13" i="297"/>
  <c r="J13" i="297"/>
  <c r="I13" i="297"/>
  <c r="H13" i="297"/>
  <c r="G13" i="297"/>
  <c r="F13" i="297"/>
  <c r="E13" i="297"/>
  <c r="D13" i="297"/>
  <c r="C13" i="297"/>
  <c r="B13" i="297"/>
  <c r="Q12" i="297"/>
  <c r="P12" i="297"/>
  <c r="O12" i="297"/>
  <c r="N12" i="297"/>
  <c r="M12" i="297"/>
  <c r="L12" i="297"/>
  <c r="K12" i="297"/>
  <c r="J12" i="297"/>
  <c r="I12" i="297"/>
  <c r="H12" i="297"/>
  <c r="G12" i="297"/>
  <c r="F12" i="297"/>
  <c r="E12" i="297"/>
  <c r="D12" i="297"/>
  <c r="C12" i="297"/>
  <c r="B12" i="297"/>
  <c r="E47" i="334" l="1"/>
  <c r="F47" i="334"/>
  <c r="F53" i="334" s="1"/>
  <c r="E67" i="334"/>
  <c r="C53" i="334"/>
  <c r="G53" i="334"/>
  <c r="F49" i="332"/>
  <c r="D49" i="332"/>
  <c r="D55" i="332" s="1"/>
  <c r="C76" i="320"/>
  <c r="E51" i="314"/>
  <c r="D58" i="314"/>
  <c r="F51" i="314"/>
  <c r="F57" i="314" s="1"/>
  <c r="C57" i="314"/>
  <c r="E51" i="326"/>
  <c r="E65" i="326"/>
  <c r="F51" i="326"/>
  <c r="F57" i="326" s="1"/>
  <c r="F65" i="326"/>
  <c r="D57" i="326"/>
  <c r="B58" i="326"/>
  <c r="C51" i="326"/>
  <c r="C65" i="326"/>
  <c r="F50" i="307"/>
  <c r="F61" i="307"/>
  <c r="D53" i="334"/>
  <c r="H53" i="334"/>
  <c r="D14" i="334"/>
  <c r="D13" i="334" s="1"/>
  <c r="D7" i="334" s="1"/>
  <c r="D12" i="334" s="1"/>
  <c r="E53" i="334"/>
  <c r="C14" i="334"/>
  <c r="C13" i="334" s="1"/>
  <c r="C7" i="334" s="1"/>
  <c r="C12" i="334" s="1"/>
  <c r="C34" i="334"/>
  <c r="C36" i="334" s="1"/>
  <c r="B14" i="334"/>
  <c r="B13" i="334" s="1"/>
  <c r="B47" i="334"/>
  <c r="B36" i="334"/>
  <c r="D34" i="334"/>
  <c r="D36" i="334" s="1"/>
  <c r="B54" i="334"/>
  <c r="D54" i="334"/>
  <c r="H49" i="332"/>
  <c r="G49" i="332"/>
  <c r="G55" i="332" s="1"/>
  <c r="C49" i="332"/>
  <c r="C55" i="332" s="1"/>
  <c r="H55" i="332"/>
  <c r="D56" i="332"/>
  <c r="B49" i="332"/>
  <c r="C38" i="332"/>
  <c r="C14" i="332"/>
  <c r="C13" i="332" s="1"/>
  <c r="C7" i="332" s="1"/>
  <c r="C12" i="332" s="1"/>
  <c r="E55" i="332"/>
  <c r="D14" i="332"/>
  <c r="D13" i="332" s="1"/>
  <c r="D7" i="332" s="1"/>
  <c r="D12" i="332" s="1"/>
  <c r="F55" i="332"/>
  <c r="B38" i="332"/>
  <c r="D36" i="332"/>
  <c r="D38" i="332" s="1"/>
  <c r="B56" i="332"/>
  <c r="B14" i="332"/>
  <c r="B12" i="326"/>
  <c r="B11" i="326" s="1"/>
  <c r="D12" i="326"/>
  <c r="D11" i="326" s="1"/>
  <c r="D58" i="326"/>
  <c r="D40" i="326"/>
  <c r="G57" i="326"/>
  <c r="D65" i="326"/>
  <c r="D31" i="326"/>
  <c r="C57" i="326"/>
  <c r="E57" i="326"/>
  <c r="B51" i="326"/>
  <c r="G65" i="326"/>
  <c r="H51" i="326"/>
  <c r="H57" i="326" s="1"/>
  <c r="B65" i="326"/>
  <c r="C31" i="326"/>
  <c r="B38" i="326"/>
  <c r="C12" i="326"/>
  <c r="C11" i="326" s="1"/>
  <c r="C38" i="326"/>
  <c r="C40" i="326" s="1"/>
  <c r="D59" i="326" s="1"/>
  <c r="B31" i="326"/>
  <c r="D83" i="320"/>
  <c r="D76" i="320"/>
  <c r="D82" i="320" s="1"/>
  <c r="C39" i="320"/>
  <c r="G76" i="320"/>
  <c r="G82" i="320" s="1"/>
  <c r="D90" i="320"/>
  <c r="G65" i="320"/>
  <c r="D59" i="320"/>
  <c r="G90" i="320"/>
  <c r="C55" i="320"/>
  <c r="C82" i="320"/>
  <c r="C32" i="320"/>
  <c r="D32" i="320"/>
  <c r="I90" i="320"/>
  <c r="F6" i="320"/>
  <c r="F22" i="320" s="1"/>
  <c r="D25" i="320"/>
  <c r="D65" i="320"/>
  <c r="C25" i="320"/>
  <c r="C59" i="320"/>
  <c r="C52" i="320" s="1"/>
  <c r="E22" i="320"/>
  <c r="F82" i="320"/>
  <c r="B76" i="320"/>
  <c r="D39" i="320"/>
  <c r="B39" i="320"/>
  <c r="E76" i="320"/>
  <c r="E82" i="320" s="1"/>
  <c r="H90" i="320"/>
  <c r="F90" i="320"/>
  <c r="H22" i="320"/>
  <c r="B90" i="320"/>
  <c r="I22" i="320"/>
  <c r="B32" i="320"/>
  <c r="D55" i="320"/>
  <c r="B55" i="320"/>
  <c r="H82" i="320"/>
  <c r="C90" i="320"/>
  <c r="G6" i="320"/>
  <c r="G22" i="320" s="1"/>
  <c r="B25" i="320"/>
  <c r="I63" i="320"/>
  <c r="I65" i="320" s="1"/>
  <c r="H63" i="320"/>
  <c r="H65" i="320" s="1"/>
  <c r="B63" i="320"/>
  <c r="B59" i="320"/>
  <c r="C63" i="320"/>
  <c r="C65" i="320" s="1"/>
  <c r="D84" i="320" s="1"/>
  <c r="B83" i="320"/>
  <c r="E63" i="320"/>
  <c r="E65" i="320" s="1"/>
  <c r="G57" i="314"/>
  <c r="F64" i="314"/>
  <c r="I64" i="314"/>
  <c r="D40" i="314"/>
  <c r="B64" i="314"/>
  <c r="C64" i="314"/>
  <c r="D32" i="314"/>
  <c r="H64" i="314"/>
  <c r="C13" i="314"/>
  <c r="C12" i="314" s="1"/>
  <c r="D64" i="314"/>
  <c r="H57" i="314"/>
  <c r="B32" i="314"/>
  <c r="B51" i="314"/>
  <c r="E64" i="314"/>
  <c r="B13" i="314"/>
  <c r="B12" i="314" s="1"/>
  <c r="D51" i="314"/>
  <c r="D57" i="314" s="1"/>
  <c r="G64" i="314"/>
  <c r="E57" i="314"/>
  <c r="D13" i="314"/>
  <c r="D12" i="314" s="1"/>
  <c r="B40" i="314"/>
  <c r="C38" i="314"/>
  <c r="C40" i="314" s="1"/>
  <c r="B58" i="314"/>
  <c r="C32" i="314"/>
  <c r="B74" i="307"/>
  <c r="D61" i="307"/>
  <c r="D67" i="307" s="1"/>
  <c r="F67" i="307"/>
  <c r="G61" i="307"/>
  <c r="G67" i="307" s="1"/>
  <c r="D68" i="307"/>
  <c r="E61" i="307"/>
  <c r="E67" i="307" s="1"/>
  <c r="D74" i="307"/>
  <c r="D50" i="307"/>
  <c r="D22" i="307"/>
  <c r="D21" i="307" s="1"/>
  <c r="H61" i="307"/>
  <c r="H67" i="307" s="1"/>
  <c r="G48" i="307"/>
  <c r="G50" i="307" s="1"/>
  <c r="C61" i="307"/>
  <c r="C67" i="307" s="1"/>
  <c r="G20" i="307"/>
  <c r="H20" i="307"/>
  <c r="I20" i="307"/>
  <c r="D41" i="307"/>
  <c r="E50" i="307"/>
  <c r="C74" i="307"/>
  <c r="F74" i="307"/>
  <c r="E6" i="307"/>
  <c r="E20" i="307" s="1"/>
  <c r="C22" i="307"/>
  <c r="C21" i="307" s="1"/>
  <c r="F6" i="307"/>
  <c r="F20" i="307" s="1"/>
  <c r="C41" i="307"/>
  <c r="B50" i="307"/>
  <c r="C48" i="307"/>
  <c r="C50" i="307" s="1"/>
  <c r="B41" i="307"/>
  <c r="B61" i="307"/>
  <c r="B68" i="307"/>
  <c r="B22" i="307"/>
  <c r="H48" i="307"/>
  <c r="H50" i="307" s="1"/>
  <c r="I48" i="307"/>
  <c r="I50" i="307" s="1"/>
  <c r="D61" i="305"/>
  <c r="D67" i="305" s="1"/>
  <c r="E61" i="305"/>
  <c r="E67" i="305" s="1"/>
  <c r="H61" i="305"/>
  <c r="H67" i="305" s="1"/>
  <c r="F51" i="305"/>
  <c r="I49" i="305"/>
  <c r="I51" i="305" s="1"/>
  <c r="F7" i="305"/>
  <c r="F21" i="305" s="1"/>
  <c r="F61" i="305"/>
  <c r="F67" i="305" s="1"/>
  <c r="C61" i="305"/>
  <c r="C67" i="305" s="1"/>
  <c r="C74" i="305"/>
  <c r="B23" i="305"/>
  <c r="B22" i="305" s="1"/>
  <c r="G21" i="305"/>
  <c r="D23" i="305"/>
  <c r="D22" i="305" s="1"/>
  <c r="H74" i="305"/>
  <c r="G49" i="305"/>
  <c r="G51" i="305" s="1"/>
  <c r="I21" i="305"/>
  <c r="D42" i="305"/>
  <c r="G61" i="305"/>
  <c r="G67" i="305" s="1"/>
  <c r="I74" i="305"/>
  <c r="G74" i="305"/>
  <c r="D68" i="305"/>
  <c r="E7" i="305"/>
  <c r="E21" i="305" s="1"/>
  <c r="C42" i="305"/>
  <c r="E51" i="305"/>
  <c r="B51" i="305"/>
  <c r="C49" i="305"/>
  <c r="C51" i="305" s="1"/>
  <c r="B42" i="305"/>
  <c r="B61" i="305"/>
  <c r="B68" i="305"/>
  <c r="C23" i="305"/>
  <c r="H49" i="305"/>
  <c r="H51" i="305" s="1"/>
  <c r="D61" i="303"/>
  <c r="D67" i="303" s="1"/>
  <c r="G61" i="303"/>
  <c r="C61" i="303"/>
  <c r="C67" i="303" s="1"/>
  <c r="E61" i="303"/>
  <c r="E67" i="303" s="1"/>
  <c r="D51" i="303"/>
  <c r="F61" i="303"/>
  <c r="F67" i="303" s="1"/>
  <c r="E75" i="303"/>
  <c r="H61" i="303"/>
  <c r="H67" i="303" s="1"/>
  <c r="G51" i="303"/>
  <c r="B49" i="303"/>
  <c r="B51" i="303" s="1"/>
  <c r="I75" i="303"/>
  <c r="G67" i="303"/>
  <c r="I21" i="303"/>
  <c r="H7" i="303"/>
  <c r="H21" i="303" s="1"/>
  <c r="G75" i="303"/>
  <c r="H75" i="303"/>
  <c r="G7" i="303"/>
  <c r="G21" i="303" s="1"/>
  <c r="E21" i="303"/>
  <c r="C49" i="303"/>
  <c r="C51" i="303" s="1"/>
  <c r="B61" i="303"/>
  <c r="B67" i="303" s="1"/>
  <c r="C75" i="303"/>
  <c r="F21" i="303"/>
  <c r="F49" i="303"/>
  <c r="F51" i="303" s="1"/>
  <c r="D75" i="303"/>
  <c r="C23" i="303"/>
  <c r="C22" i="303" s="1"/>
  <c r="C42" i="303"/>
  <c r="B75" i="303"/>
  <c r="D23" i="303"/>
  <c r="D22" i="303" s="1"/>
  <c r="D42" i="303"/>
  <c r="F75" i="303"/>
  <c r="B23" i="303"/>
  <c r="E49" i="303"/>
  <c r="E51" i="303" s="1"/>
  <c r="D68" i="303"/>
  <c r="B42" i="303"/>
  <c r="I49" i="303"/>
  <c r="I51" i="303" s="1"/>
  <c r="G15" i="348"/>
  <c r="H7" i="348" s="1"/>
  <c r="F15" i="348"/>
  <c r="G24" i="350"/>
  <c r="F24" i="350"/>
  <c r="E24" i="350"/>
  <c r="D24" i="350"/>
  <c r="H24" i="350" s="1"/>
  <c r="C24" i="350"/>
  <c r="H23" i="350"/>
  <c r="H22" i="350"/>
  <c r="H21" i="350"/>
  <c r="H20" i="350"/>
  <c r="H19" i="350"/>
  <c r="H18" i="350"/>
  <c r="H17" i="350"/>
  <c r="H16" i="350"/>
  <c r="H15" i="350"/>
  <c r="H14" i="350"/>
  <c r="H13" i="350"/>
  <c r="H12" i="350"/>
  <c r="H11" i="350"/>
  <c r="H10" i="350"/>
  <c r="H9" i="350"/>
  <c r="H8" i="350"/>
  <c r="G16" i="345"/>
  <c r="H15" i="345" s="1"/>
  <c r="F16" i="345"/>
  <c r="H16" i="345" s="1"/>
  <c r="H8" i="345"/>
  <c r="H74" i="347"/>
  <c r="G74" i="347"/>
  <c r="F74" i="347"/>
  <c r="E74" i="347"/>
  <c r="D74" i="347"/>
  <c r="I73" i="347"/>
  <c r="I72" i="347"/>
  <c r="I71" i="347"/>
  <c r="I70" i="347"/>
  <c r="I69" i="347"/>
  <c r="I68" i="347"/>
  <c r="I67" i="347"/>
  <c r="I66" i="347"/>
  <c r="I65" i="347"/>
  <c r="I64" i="347"/>
  <c r="I63" i="347"/>
  <c r="I62" i="347"/>
  <c r="I61" i="347"/>
  <c r="I60" i="347"/>
  <c r="I59" i="347"/>
  <c r="I58" i="347"/>
  <c r="I57" i="347"/>
  <c r="I56" i="347"/>
  <c r="I55" i="347"/>
  <c r="I54" i="347"/>
  <c r="I53" i="347"/>
  <c r="I52" i="347"/>
  <c r="I51" i="347"/>
  <c r="I50" i="347"/>
  <c r="I49" i="347"/>
  <c r="I48" i="347"/>
  <c r="I47" i="347"/>
  <c r="I46" i="347"/>
  <c r="I45" i="347"/>
  <c r="I44" i="347"/>
  <c r="I43" i="347"/>
  <c r="I42" i="347"/>
  <c r="I41" i="347"/>
  <c r="I40" i="347"/>
  <c r="I39" i="347"/>
  <c r="I38" i="347"/>
  <c r="I37" i="347"/>
  <c r="I36" i="347"/>
  <c r="I35" i="347"/>
  <c r="I34" i="347"/>
  <c r="I33" i="347"/>
  <c r="I32" i="347"/>
  <c r="I31" i="347"/>
  <c r="I30" i="347"/>
  <c r="I29" i="347"/>
  <c r="I28" i="347"/>
  <c r="I27" i="347"/>
  <c r="I26" i="347"/>
  <c r="I25" i="347"/>
  <c r="I24" i="347"/>
  <c r="I23" i="347"/>
  <c r="I22" i="347"/>
  <c r="I21" i="347"/>
  <c r="I20" i="347"/>
  <c r="I19" i="347"/>
  <c r="I18" i="347"/>
  <c r="I17" i="347"/>
  <c r="I16" i="347"/>
  <c r="I15" i="347"/>
  <c r="I14" i="347"/>
  <c r="I13" i="347"/>
  <c r="I12" i="347"/>
  <c r="I11" i="347"/>
  <c r="I10" i="347"/>
  <c r="I9" i="347"/>
  <c r="I8" i="347"/>
  <c r="G15" i="342"/>
  <c r="F15" i="342"/>
  <c r="H15" i="342" s="1"/>
  <c r="H14" i="342"/>
  <c r="H13" i="342"/>
  <c r="H12" i="342"/>
  <c r="H11" i="342"/>
  <c r="H10" i="342"/>
  <c r="H9" i="342"/>
  <c r="H8" i="342"/>
  <c r="H7" i="342"/>
  <c r="H6" i="342"/>
  <c r="H322" i="344"/>
  <c r="G322" i="344"/>
  <c r="F322" i="344"/>
  <c r="E322" i="344"/>
  <c r="I322" i="344" s="1"/>
  <c r="D322" i="344"/>
  <c r="I321" i="344"/>
  <c r="I320" i="344"/>
  <c r="I319" i="344"/>
  <c r="I318" i="344"/>
  <c r="I317" i="344"/>
  <c r="I316" i="344"/>
  <c r="I315" i="344"/>
  <c r="I314" i="344"/>
  <c r="I313" i="344"/>
  <c r="I312" i="344"/>
  <c r="I311" i="344"/>
  <c r="I310" i="344"/>
  <c r="I309" i="344"/>
  <c r="I308" i="344"/>
  <c r="I307" i="344"/>
  <c r="I306" i="344"/>
  <c r="I305" i="344"/>
  <c r="I304" i="344"/>
  <c r="I303" i="344"/>
  <c r="I302" i="344"/>
  <c r="I301" i="344"/>
  <c r="I300" i="344"/>
  <c r="I299" i="344"/>
  <c r="I298" i="344"/>
  <c r="I297" i="344"/>
  <c r="I296" i="344"/>
  <c r="I295" i="344"/>
  <c r="I294" i="344"/>
  <c r="I293" i="344"/>
  <c r="I292" i="344"/>
  <c r="I291" i="344"/>
  <c r="I290" i="344"/>
  <c r="I289" i="344"/>
  <c r="I288" i="344"/>
  <c r="I287" i="344"/>
  <c r="I286" i="344"/>
  <c r="I285" i="344"/>
  <c r="I284" i="344"/>
  <c r="I283" i="344"/>
  <c r="I282" i="344"/>
  <c r="I281" i="344"/>
  <c r="I280" i="344"/>
  <c r="I279" i="344"/>
  <c r="I278" i="344"/>
  <c r="I277" i="344"/>
  <c r="I276" i="344"/>
  <c r="I275" i="344"/>
  <c r="I274" i="344"/>
  <c r="I273" i="344"/>
  <c r="I272" i="344"/>
  <c r="I271" i="344"/>
  <c r="I270" i="344"/>
  <c r="I269" i="344"/>
  <c r="I268" i="344"/>
  <c r="I267" i="344"/>
  <c r="I266" i="344"/>
  <c r="I265" i="344"/>
  <c r="I264" i="344"/>
  <c r="I263" i="344"/>
  <c r="I262" i="344"/>
  <c r="I261" i="344"/>
  <c r="I260" i="344"/>
  <c r="I259" i="344"/>
  <c r="I258" i="344"/>
  <c r="I257" i="344"/>
  <c r="I256" i="344"/>
  <c r="I255" i="344"/>
  <c r="I254" i="344"/>
  <c r="I253" i="344"/>
  <c r="I252" i="344"/>
  <c r="I251" i="344"/>
  <c r="I250" i="344"/>
  <c r="I249" i="344"/>
  <c r="I248" i="344"/>
  <c r="I247" i="344"/>
  <c r="I246" i="344"/>
  <c r="I245" i="344"/>
  <c r="I244" i="344"/>
  <c r="I243" i="344"/>
  <c r="I242" i="344"/>
  <c r="I241" i="344"/>
  <c r="I240" i="344"/>
  <c r="I239" i="344"/>
  <c r="I238" i="344"/>
  <c r="I237" i="344"/>
  <c r="I236" i="344"/>
  <c r="I235" i="344"/>
  <c r="I234" i="344"/>
  <c r="I233" i="344"/>
  <c r="I232" i="344"/>
  <c r="I231" i="344"/>
  <c r="I230" i="344"/>
  <c r="I229" i="344"/>
  <c r="I228" i="344"/>
  <c r="I227" i="344"/>
  <c r="I226" i="344"/>
  <c r="I225" i="344"/>
  <c r="I224" i="344"/>
  <c r="I223" i="344"/>
  <c r="I222" i="344"/>
  <c r="I221" i="344"/>
  <c r="I220" i="344"/>
  <c r="I219" i="344"/>
  <c r="I218" i="344"/>
  <c r="I217" i="344"/>
  <c r="I216" i="344"/>
  <c r="I215" i="344"/>
  <c r="I214" i="344"/>
  <c r="I213" i="344"/>
  <c r="I212" i="344"/>
  <c r="I211" i="344"/>
  <c r="I210" i="344"/>
  <c r="I209" i="344"/>
  <c r="I208" i="344"/>
  <c r="I207" i="344"/>
  <c r="I206" i="344"/>
  <c r="I205" i="344"/>
  <c r="I204" i="344"/>
  <c r="I203" i="344"/>
  <c r="I202" i="344"/>
  <c r="I201" i="344"/>
  <c r="I200" i="344"/>
  <c r="I199" i="344"/>
  <c r="I198" i="344"/>
  <c r="I197" i="344"/>
  <c r="I196" i="344"/>
  <c r="I195" i="344"/>
  <c r="I194" i="344"/>
  <c r="I193" i="344"/>
  <c r="I192" i="344"/>
  <c r="I191" i="344"/>
  <c r="I190" i="344"/>
  <c r="I189" i="344"/>
  <c r="I188" i="344"/>
  <c r="I187" i="344"/>
  <c r="I186" i="344"/>
  <c r="I185" i="344"/>
  <c r="I184" i="344"/>
  <c r="I183" i="344"/>
  <c r="I182" i="344"/>
  <c r="I181" i="344"/>
  <c r="I180" i="344"/>
  <c r="I179" i="344"/>
  <c r="I178" i="344"/>
  <c r="I177" i="344"/>
  <c r="I176" i="344"/>
  <c r="I175" i="344"/>
  <c r="I174" i="344"/>
  <c r="I173" i="344"/>
  <c r="I172" i="344"/>
  <c r="I171" i="344"/>
  <c r="I170" i="344"/>
  <c r="I169" i="344"/>
  <c r="I168" i="344"/>
  <c r="I167" i="344"/>
  <c r="I166" i="344"/>
  <c r="I165" i="344"/>
  <c r="I164" i="344"/>
  <c r="I163" i="344"/>
  <c r="I162" i="344"/>
  <c r="I161" i="344"/>
  <c r="I160" i="344"/>
  <c r="I159" i="344"/>
  <c r="I158" i="344"/>
  <c r="I157" i="344"/>
  <c r="I156" i="344"/>
  <c r="I155" i="344"/>
  <c r="I154" i="344"/>
  <c r="I153" i="344"/>
  <c r="I152" i="344"/>
  <c r="I151" i="344"/>
  <c r="I150" i="344"/>
  <c r="I149" i="344"/>
  <c r="I148" i="344"/>
  <c r="I147" i="344"/>
  <c r="I146" i="344"/>
  <c r="I145" i="344"/>
  <c r="I144" i="344"/>
  <c r="I143" i="344"/>
  <c r="I142" i="344"/>
  <c r="I141" i="344"/>
  <c r="I140" i="344"/>
  <c r="I139" i="344"/>
  <c r="I138" i="344"/>
  <c r="I137" i="344"/>
  <c r="I136" i="344"/>
  <c r="I135" i="344"/>
  <c r="I134" i="344"/>
  <c r="I133" i="344"/>
  <c r="I132" i="344"/>
  <c r="I131" i="344"/>
  <c r="I130" i="344"/>
  <c r="I129" i="344"/>
  <c r="I128" i="344"/>
  <c r="I127" i="344"/>
  <c r="I126" i="344"/>
  <c r="I125" i="344"/>
  <c r="I124" i="344"/>
  <c r="I123" i="344"/>
  <c r="I122" i="344"/>
  <c r="I121" i="344"/>
  <c r="I120" i="344"/>
  <c r="I119" i="344"/>
  <c r="I118" i="344"/>
  <c r="I117" i="344"/>
  <c r="I116" i="344"/>
  <c r="I115" i="344"/>
  <c r="I114" i="344"/>
  <c r="I113" i="344"/>
  <c r="I112" i="344"/>
  <c r="I111" i="344"/>
  <c r="I110" i="344"/>
  <c r="I109" i="344"/>
  <c r="I108" i="344"/>
  <c r="I107" i="344"/>
  <c r="I106" i="344"/>
  <c r="I105" i="344"/>
  <c r="I104" i="344"/>
  <c r="I103" i="344"/>
  <c r="I102" i="344"/>
  <c r="I101" i="344"/>
  <c r="I100" i="344"/>
  <c r="I99" i="344"/>
  <c r="I98" i="344"/>
  <c r="I97" i="344"/>
  <c r="I96" i="344"/>
  <c r="I95" i="344"/>
  <c r="I94" i="344"/>
  <c r="I93" i="344"/>
  <c r="I92" i="344"/>
  <c r="I91" i="344"/>
  <c r="I90" i="344"/>
  <c r="I89" i="344"/>
  <c r="I88" i="344"/>
  <c r="I87" i="344"/>
  <c r="I86" i="344"/>
  <c r="I85" i="344"/>
  <c r="I84" i="344"/>
  <c r="I83" i="344"/>
  <c r="I82" i="344"/>
  <c r="I81" i="344"/>
  <c r="I80" i="344"/>
  <c r="I79" i="344"/>
  <c r="I78" i="344"/>
  <c r="I77" i="344"/>
  <c r="I76" i="344"/>
  <c r="I75" i="344"/>
  <c r="I74" i="344"/>
  <c r="I73" i="344"/>
  <c r="I72" i="344"/>
  <c r="I71" i="344"/>
  <c r="I70" i="344"/>
  <c r="I69" i="344"/>
  <c r="I68" i="344"/>
  <c r="I67" i="344"/>
  <c r="I66" i="344"/>
  <c r="I65" i="344"/>
  <c r="I64" i="344"/>
  <c r="I63" i="344"/>
  <c r="I62" i="344"/>
  <c r="I61" i="344"/>
  <c r="I60" i="344"/>
  <c r="I59" i="344"/>
  <c r="I58" i="344"/>
  <c r="I57" i="344"/>
  <c r="I56" i="344"/>
  <c r="I55" i="344"/>
  <c r="I54" i="344"/>
  <c r="I53" i="344"/>
  <c r="I52" i="344"/>
  <c r="I51" i="344"/>
  <c r="I50" i="344"/>
  <c r="I49" i="344"/>
  <c r="I48" i="344"/>
  <c r="I47" i="344"/>
  <c r="I46" i="344"/>
  <c r="I45" i="344"/>
  <c r="I44" i="344"/>
  <c r="I43" i="344"/>
  <c r="I42" i="344"/>
  <c r="I41" i="344"/>
  <c r="I40" i="344"/>
  <c r="I39" i="344"/>
  <c r="I38" i="344"/>
  <c r="I37" i="344"/>
  <c r="I36" i="344"/>
  <c r="I35" i="344"/>
  <c r="I34" i="344"/>
  <c r="I33" i="344"/>
  <c r="I32" i="344"/>
  <c r="I31" i="344"/>
  <c r="I30" i="344"/>
  <c r="I29" i="344"/>
  <c r="I28" i="344"/>
  <c r="I27" i="344"/>
  <c r="I26" i="344"/>
  <c r="I25" i="344"/>
  <c r="I24" i="344"/>
  <c r="I23" i="344"/>
  <c r="I22" i="344"/>
  <c r="I21" i="344"/>
  <c r="I20" i="344"/>
  <c r="I19" i="344"/>
  <c r="I18" i="344"/>
  <c r="I17" i="344"/>
  <c r="I16" i="344"/>
  <c r="I15" i="344"/>
  <c r="I14" i="344"/>
  <c r="I13" i="344"/>
  <c r="I12" i="344"/>
  <c r="I11" i="344"/>
  <c r="I10" i="344"/>
  <c r="I9" i="344"/>
  <c r="I8" i="344"/>
  <c r="G15" i="339"/>
  <c r="F15" i="339"/>
  <c r="E15" i="339"/>
  <c r="D15" i="339"/>
  <c r="C14" i="339"/>
  <c r="C13" i="339"/>
  <c r="C12" i="339"/>
  <c r="C11" i="339"/>
  <c r="C10" i="339"/>
  <c r="C9" i="339"/>
  <c r="C8" i="339"/>
  <c r="C7" i="339"/>
  <c r="C6" i="339"/>
  <c r="H6" i="339" s="1"/>
  <c r="G23" i="341"/>
  <c r="F23" i="341"/>
  <c r="E23" i="341"/>
  <c r="D23" i="341"/>
  <c r="C23" i="341"/>
  <c r="H22" i="341"/>
  <c r="H21" i="341"/>
  <c r="H20" i="341"/>
  <c r="H19" i="341"/>
  <c r="H18" i="341"/>
  <c r="H17" i="341"/>
  <c r="H16" i="341"/>
  <c r="H15" i="341"/>
  <c r="H14" i="341"/>
  <c r="H13" i="341"/>
  <c r="H12" i="341"/>
  <c r="H11" i="341"/>
  <c r="H10" i="341"/>
  <c r="H9" i="341"/>
  <c r="H8" i="341"/>
  <c r="H7" i="341"/>
  <c r="D69" i="307" l="1"/>
  <c r="D69" i="303"/>
  <c r="B53" i="334"/>
  <c r="B7" i="334"/>
  <c r="B12" i="334" s="1"/>
  <c r="B55" i="332"/>
  <c r="B13" i="332"/>
  <c r="B57" i="326"/>
  <c r="D6" i="326"/>
  <c r="D10" i="326" s="1"/>
  <c r="C6" i="326"/>
  <c r="C10" i="326" s="1"/>
  <c r="B40" i="326"/>
  <c r="B6" i="326"/>
  <c r="D24" i="320"/>
  <c r="D23" i="320" s="1"/>
  <c r="D52" i="320"/>
  <c r="D6" i="320" s="1"/>
  <c r="D22" i="320" s="1"/>
  <c r="C24" i="320"/>
  <c r="C23" i="320" s="1"/>
  <c r="C6" i="320" s="1"/>
  <c r="C22" i="320" s="1"/>
  <c r="B82" i="320"/>
  <c r="B24" i="320"/>
  <c r="B52" i="320"/>
  <c r="B65" i="320"/>
  <c r="D7" i="314"/>
  <c r="D11" i="314" s="1"/>
  <c r="D59" i="314"/>
  <c r="C7" i="314"/>
  <c r="C11" i="314" s="1"/>
  <c r="B57" i="314"/>
  <c r="B7" i="314"/>
  <c r="B59" i="314"/>
  <c r="D6" i="307"/>
  <c r="D20" i="307" s="1"/>
  <c r="C6" i="307"/>
  <c r="C20" i="307" s="1"/>
  <c r="B69" i="307"/>
  <c r="B21" i="307"/>
  <c r="B67" i="307"/>
  <c r="D69" i="305"/>
  <c r="D7" i="305"/>
  <c r="D21" i="305" s="1"/>
  <c r="B69" i="305"/>
  <c r="B67" i="305"/>
  <c r="B7" i="305"/>
  <c r="C22" i="305"/>
  <c r="D7" i="303"/>
  <c r="D21" i="303" s="1"/>
  <c r="B69" i="303"/>
  <c r="C7" i="303"/>
  <c r="C21" i="303" s="1"/>
  <c r="B22" i="303"/>
  <c r="H11" i="348"/>
  <c r="H15" i="348"/>
  <c r="H10" i="348"/>
  <c r="H12" i="348"/>
  <c r="H13" i="348"/>
  <c r="H8" i="348"/>
  <c r="H9" i="348"/>
  <c r="H6" i="348"/>
  <c r="H14" i="348"/>
  <c r="H11" i="345"/>
  <c r="H12" i="345"/>
  <c r="H13" i="345"/>
  <c r="H9" i="345"/>
  <c r="H10" i="345"/>
  <c r="H14" i="345"/>
  <c r="H7" i="345"/>
  <c r="I74" i="347"/>
  <c r="C15" i="339"/>
  <c r="H15" i="339" s="1"/>
  <c r="H23" i="341"/>
  <c r="B7" i="332" l="1"/>
  <c r="B59" i="326"/>
  <c r="B10" i="326"/>
  <c r="B84" i="320"/>
  <c r="B23" i="320"/>
  <c r="B11" i="314"/>
  <c r="B6" i="307"/>
  <c r="C7" i="305"/>
  <c r="C21" i="305" s="1"/>
  <c r="B21" i="305"/>
  <c r="B7" i="303"/>
  <c r="E27" i="292"/>
  <c r="G27" i="292"/>
  <c r="B12" i="332" l="1"/>
  <c r="B6" i="320"/>
  <c r="B20" i="307"/>
  <c r="B21" i="303"/>
  <c r="E6" i="355"/>
  <c r="F6" i="355" s="1"/>
  <c r="D6" i="355"/>
  <c r="C6" i="355"/>
  <c r="F5" i="355"/>
  <c r="D35" i="354"/>
  <c r="G33" i="354"/>
  <c r="F31" i="354"/>
  <c r="G31" i="354" s="1"/>
  <c r="E31" i="354"/>
  <c r="D31" i="354"/>
  <c r="G30" i="354"/>
  <c r="G29" i="354"/>
  <c r="G28" i="354"/>
  <c r="G27" i="354"/>
  <c r="G26" i="354"/>
  <c r="G25" i="354"/>
  <c r="G24" i="354"/>
  <c r="G23" i="354"/>
  <c r="G22" i="354"/>
  <c r="D21" i="354"/>
  <c r="G21" i="354" s="1"/>
  <c r="G20" i="354"/>
  <c r="F19" i="354"/>
  <c r="G19" i="354" s="1"/>
  <c r="E19" i="354"/>
  <c r="D19" i="354"/>
  <c r="G18" i="354"/>
  <c r="G17" i="354"/>
  <c r="G16" i="354"/>
  <c r="G15" i="354"/>
  <c r="F14" i="354"/>
  <c r="G14" i="354" s="1"/>
  <c r="E14" i="354"/>
  <c r="E35" i="354" s="1"/>
  <c r="D14" i="354"/>
  <c r="G13" i="354"/>
  <c r="F12" i="354"/>
  <c r="G12" i="354" s="1"/>
  <c r="E12" i="354"/>
  <c r="D12" i="354"/>
  <c r="G11" i="354"/>
  <c r="G10" i="354"/>
  <c r="G9" i="354"/>
  <c r="G8" i="354"/>
  <c r="G7" i="354"/>
  <c r="G6" i="354"/>
  <c r="G5" i="354"/>
  <c r="F26" i="353"/>
  <c r="E26" i="353"/>
  <c r="D26" i="353"/>
  <c r="G25" i="353"/>
  <c r="G24" i="353"/>
  <c r="G23" i="353"/>
  <c r="G22" i="353"/>
  <c r="G21" i="353"/>
  <c r="G20" i="353"/>
  <c r="G19" i="353"/>
  <c r="G18" i="353"/>
  <c r="G17" i="353"/>
  <c r="G16" i="353"/>
  <c r="G15" i="353"/>
  <c r="G14" i="353"/>
  <c r="G13" i="353"/>
  <c r="G12" i="353"/>
  <c r="G11" i="353"/>
  <c r="G10" i="353"/>
  <c r="G9" i="353"/>
  <c r="G8" i="353"/>
  <c r="G7" i="353"/>
  <c r="G6" i="353"/>
  <c r="G5" i="353"/>
  <c r="H103" i="352"/>
  <c r="G103" i="352"/>
  <c r="F103" i="352"/>
  <c r="I102" i="352"/>
  <c r="I100" i="352"/>
  <c r="I99" i="352"/>
  <c r="I98" i="352"/>
  <c r="I96" i="352"/>
  <c r="I95" i="352"/>
  <c r="I93" i="352"/>
  <c r="I92" i="352"/>
  <c r="I91" i="352"/>
  <c r="I90" i="352"/>
  <c r="I89" i="352"/>
  <c r="I88" i="352"/>
  <c r="I87" i="352"/>
  <c r="I86" i="352"/>
  <c r="I85" i="352"/>
  <c r="I84" i="352"/>
  <c r="I83" i="352"/>
  <c r="I82" i="352"/>
  <c r="I81" i="352"/>
  <c r="I79" i="352"/>
  <c r="I78" i="352"/>
  <c r="I77" i="352"/>
  <c r="I75" i="352"/>
  <c r="I73" i="352"/>
  <c r="I70" i="352"/>
  <c r="I68" i="352"/>
  <c r="I66" i="352"/>
  <c r="I65" i="352"/>
  <c r="I64" i="352"/>
  <c r="I62" i="352"/>
  <c r="I61" i="352"/>
  <c r="I58" i="352"/>
  <c r="I57" i="352"/>
  <c r="I56" i="352"/>
  <c r="I55" i="352"/>
  <c r="I54" i="352"/>
  <c r="I53" i="352"/>
  <c r="I52" i="352"/>
  <c r="I51" i="352"/>
  <c r="I50" i="352"/>
  <c r="I49" i="352"/>
  <c r="I48" i="352"/>
  <c r="I47" i="352"/>
  <c r="I46" i="352"/>
  <c r="I45" i="352"/>
  <c r="I44" i="352"/>
  <c r="I43" i="352"/>
  <c r="I42" i="352"/>
  <c r="I40" i="352"/>
  <c r="I39" i="352"/>
  <c r="I37" i="352"/>
  <c r="I36" i="352"/>
  <c r="I35" i="352"/>
  <c r="I34" i="352"/>
  <c r="I33" i="352"/>
  <c r="I31" i="352"/>
  <c r="I30" i="352"/>
  <c r="I29" i="352"/>
  <c r="I28" i="352"/>
  <c r="I26" i="352"/>
  <c r="I25" i="352"/>
  <c r="I24" i="352"/>
  <c r="I23" i="352"/>
  <c r="I22" i="352"/>
  <c r="I21" i="352"/>
  <c r="I18" i="352"/>
  <c r="I17" i="352"/>
  <c r="I16" i="352"/>
  <c r="I15" i="352"/>
  <c r="I14" i="352"/>
  <c r="I13" i="352"/>
  <c r="I12" i="352"/>
  <c r="I11" i="352"/>
  <c r="I10" i="352"/>
  <c r="I9" i="352"/>
  <c r="I8" i="352"/>
  <c r="I7" i="352"/>
  <c r="I6" i="352"/>
  <c r="B22" i="320" l="1"/>
  <c r="F35" i="354"/>
  <c r="L7" i="318"/>
  <c r="J7" i="318"/>
  <c r="I7" i="318"/>
  <c r="F7" i="318"/>
  <c r="E7" i="318"/>
  <c r="G7" i="318"/>
  <c r="H7" i="318"/>
  <c r="K7" i="318"/>
  <c r="D7" i="318"/>
  <c r="D48" i="338" l="1"/>
  <c r="D28" i="338"/>
  <c r="D30" i="338"/>
  <c r="D39" i="338"/>
  <c r="D51" i="338"/>
  <c r="D52" i="338"/>
  <c r="D53" i="338"/>
  <c r="D54" i="338"/>
  <c r="D38" i="337" l="1"/>
  <c r="D37" i="337"/>
  <c r="D36" i="337"/>
  <c r="D35" i="337"/>
  <c r="D31" i="337"/>
  <c r="D30" i="337"/>
  <c r="D29" i="337"/>
  <c r="D25" i="337"/>
  <c r="D24" i="337"/>
  <c r="D23" i="337"/>
  <c r="D22" i="337"/>
  <c r="D21" i="337"/>
  <c r="D18" i="337"/>
  <c r="D17" i="337"/>
  <c r="D16" i="337"/>
  <c r="D15" i="337"/>
  <c r="D14" i="337"/>
  <c r="E39" i="337"/>
  <c r="E10" i="337"/>
  <c r="E30" i="337"/>
  <c r="E8" i="337"/>
  <c r="E28" i="337"/>
  <c r="E16" i="337" l="1"/>
  <c r="E35" i="337"/>
  <c r="E14" i="337"/>
  <c r="E24" i="337"/>
  <c r="E18" i="337"/>
  <c r="E22" i="337"/>
  <c r="E37" i="337"/>
  <c r="E29" i="337"/>
  <c r="E31" i="337"/>
  <c r="D7" i="337"/>
  <c r="D8" i="337"/>
  <c r="D9" i="337"/>
  <c r="D10" i="337"/>
  <c r="E11" i="337"/>
  <c r="E15" i="337"/>
  <c r="E17" i="337"/>
  <c r="E21" i="337"/>
  <c r="E23" i="337"/>
  <c r="E25" i="337"/>
  <c r="E32" i="337"/>
  <c r="E36" i="337"/>
  <c r="E38" i="337"/>
  <c r="E7" i="337"/>
  <c r="E9" i="337"/>
  <c r="D57" i="338" l="1"/>
  <c r="D56" i="338"/>
  <c r="D45" i="338"/>
  <c r="D44" i="338"/>
  <c r="D43" i="338"/>
  <c r="D42" i="338"/>
  <c r="D37" i="338"/>
  <c r="D36" i="338"/>
  <c r="D35" i="338"/>
  <c r="D34" i="338"/>
  <c r="D33" i="338"/>
  <c r="D27" i="338"/>
  <c r="D26" i="338"/>
  <c r="D25" i="338"/>
  <c r="D24" i="338"/>
  <c r="D21" i="338"/>
  <c r="D20" i="338"/>
  <c r="D18" i="338"/>
  <c r="D17" i="338"/>
  <c r="D16" i="338"/>
  <c r="D15" i="338"/>
  <c r="E57" i="338"/>
  <c r="E56" i="338"/>
  <c r="E28" i="338"/>
  <c r="E55" i="338"/>
  <c r="E17" i="338"/>
  <c r="E43" i="338"/>
  <c r="E15" i="338"/>
  <c r="D9" i="338" l="1"/>
  <c r="E16" i="338"/>
  <c r="E26" i="338"/>
  <c r="E35" i="338"/>
  <c r="D8" i="338"/>
  <c r="E12" i="338"/>
  <c r="E24" i="338"/>
  <c r="E33" i="338"/>
  <c r="E46" i="338"/>
  <c r="D7" i="338"/>
  <c r="E11" i="338"/>
  <c r="E20" i="338"/>
  <c r="E29" i="338"/>
  <c r="D6" i="338"/>
  <c r="D10" i="338"/>
  <c r="E18" i="338"/>
  <c r="E37" i="338"/>
  <c r="E51" i="338"/>
  <c r="E53" i="338"/>
  <c r="E6" i="338"/>
  <c r="E7" i="338"/>
  <c r="E8" i="338"/>
  <c r="E9" i="338"/>
  <c r="E10" i="338"/>
  <c r="E38" i="338"/>
  <c r="E42" i="338"/>
  <c r="E44" i="338"/>
  <c r="E47" i="338"/>
  <c r="E19" i="338"/>
  <c r="E21" i="338"/>
  <c r="E25" i="338"/>
  <c r="E27" i="338"/>
  <c r="E30" i="338"/>
  <c r="E34" i="338"/>
  <c r="E36" i="338"/>
  <c r="E48" i="338"/>
  <c r="E52" i="338"/>
  <c r="E54" i="338"/>
  <c r="D12" i="338"/>
  <c r="E39" i="338"/>
  <c r="E45" i="338"/>
</calcChain>
</file>

<file path=xl/comments1.xml><?xml version="1.0" encoding="utf-8"?>
<comments xmlns="http://schemas.openxmlformats.org/spreadsheetml/2006/main">
  <authors>
    <author>Michał Chmielewski</author>
  </authors>
  <commentList>
    <comment ref="H5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10.xml><?xml version="1.0" encoding="utf-8"?>
<comments xmlns="http://schemas.openxmlformats.org/spreadsheetml/2006/main">
  <authors>
    <author>Michał Chmielewski</author>
  </authors>
  <commentList>
    <comment ref="H4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2.xml><?xml version="1.0" encoding="utf-8"?>
<comments xmlns="http://schemas.openxmlformats.org/spreadsheetml/2006/main">
  <authors>
    <author>Michał Chmielewski</author>
  </authors>
  <commentList>
    <comment ref="H5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3.xml><?xml version="1.0" encoding="utf-8"?>
<comments xmlns="http://schemas.openxmlformats.org/spreadsheetml/2006/main">
  <authors>
    <author>Michał Chmielewski</author>
  </authors>
  <commentList>
    <comment ref="H5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4.xml><?xml version="1.0" encoding="utf-8"?>
<comments xmlns="http://schemas.openxmlformats.org/spreadsheetml/2006/main">
  <authors>
    <author>Michał Chmielewski</author>
  </authors>
  <commentList>
    <comment ref="H5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5.xml><?xml version="1.0" encoding="utf-8"?>
<comments xmlns="http://schemas.openxmlformats.org/spreadsheetml/2006/main">
  <authors>
    <author>Michał Chmielewski</author>
  </authors>
  <commentList>
    <comment ref="H5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6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6.xml><?xml version="1.0" encoding="utf-8"?>
<comments xmlns="http://schemas.openxmlformats.org/spreadsheetml/2006/main">
  <authors>
    <author>Michał Chmielewski</author>
  </authors>
  <commentList>
    <comment ref="H4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7.xml><?xml version="1.0" encoding="utf-8"?>
<comments xmlns="http://schemas.openxmlformats.org/spreadsheetml/2006/main">
  <authors>
    <author>Michał Chmielewski</author>
  </authors>
  <commentList>
    <comment ref="H7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7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7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77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7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7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8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8.xml><?xml version="1.0" encoding="utf-8"?>
<comments xmlns="http://schemas.openxmlformats.org/spreadsheetml/2006/main">
  <authors>
    <author>Michał Chmielewski</author>
  </authors>
  <commentList>
    <comment ref="H4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comments9.xml><?xml version="1.0" encoding="utf-8"?>
<comments xmlns="http://schemas.openxmlformats.org/spreadsheetml/2006/main">
  <authors>
    <author>Michał Chmielewski</author>
  </authors>
  <commentList>
    <comment ref="H4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7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8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2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5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sharedStrings.xml><?xml version="1.0" encoding="utf-8"?>
<sst xmlns="http://schemas.openxmlformats.org/spreadsheetml/2006/main" count="10583" uniqueCount="1179">
  <si>
    <t>Wydatki ogółem</t>
  </si>
  <si>
    <t>10</t>
  </si>
  <si>
    <t>12</t>
  </si>
  <si>
    <t xml:space="preserve"> </t>
  </si>
  <si>
    <t>w złotych</t>
  </si>
  <si>
    <t>w %%</t>
  </si>
  <si>
    <t>02</t>
  </si>
  <si>
    <t>04</t>
  </si>
  <si>
    <t>06</t>
  </si>
  <si>
    <t>08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</si>
  <si>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</si>
  <si>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</si>
  <si>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</si>
  <si>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</si>
  <si>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</si>
  <si>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</si>
  <si>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</si>
  <si>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</si>
  <si>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</si>
  <si>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</si>
  <si>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OGÓŁEM</t>
  </si>
  <si>
    <t>z tego:</t>
  </si>
  <si>
    <t>Struktura</t>
  </si>
  <si>
    <t>Dotacje celowe 
na 1 mieszkańca</t>
  </si>
  <si>
    <t>na   inwestycje</t>
  </si>
  <si>
    <t>na zadania bieżące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</si>
  <si>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</si>
  <si>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</si>
  <si>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</si>
  <si>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</si>
  <si>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</si>
  <si>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</si>
  <si>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</si>
  <si>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</si>
  <si>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</si>
  <si>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</si>
  <si>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</si>
  <si>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</si>
  <si>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</si>
  <si>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</si>
  <si>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Nazwa powiatu</t>
  </si>
  <si>
    <t>WK</t>
  </si>
  <si>
    <t>Kujawsko-Pomorskie</t>
  </si>
  <si>
    <t>Warmińsko-Mazurskie</t>
  </si>
  <si>
    <t>Ogółem</t>
  </si>
  <si>
    <t>Wydatki majątkowe</t>
  </si>
  <si>
    <t>Wydatki majątkowe na 1 mieszkańca</t>
  </si>
  <si>
    <t>Udział wydatków majątkowych w wydatkach ogółem</t>
  </si>
  <si>
    <t>Wydatki na inwestycje</t>
  </si>
  <si>
    <t>Wydatki inwestycyjne na 1 mieszkańca</t>
  </si>
  <si>
    <t>Udział wydatków inwestycyjnych w wydatkach ogółem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</si>
  <si>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</si>
  <si>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</si>
  <si>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</si>
  <si>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</si>
  <si>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</si>
  <si>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</si>
  <si>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</si>
  <si>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</si>
  <si>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</si>
  <si>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</si>
  <si>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</si>
  <si>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</si>
  <si>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</si>
  <si>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</si>
  <si>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</si>
  <si>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</si>
  <si>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PK</t>
  </si>
  <si>
    <t>Wyszczególnienie</t>
  </si>
  <si>
    <t>w tym: na zadania bieżące</t>
  </si>
  <si>
    <t>Plan</t>
  </si>
  <si>
    <t>Wykonanie</t>
  </si>
  <si>
    <t>%%</t>
  </si>
  <si>
    <t>część gminna</t>
  </si>
  <si>
    <t>część powiatowa</t>
  </si>
  <si>
    <t>Tablica 91. Wydatki majątkowe i inwestycyjne województw</t>
  </si>
  <si>
    <t>-</t>
  </si>
  <si>
    <t>Tablica 3. Dochody jednostek samorządu terytorialnego według źródeł pochodzenia</t>
  </si>
  <si>
    <t>podatek dochodowy od osób prawnych</t>
  </si>
  <si>
    <t>podatek dochodowy od osób fizycznych</t>
  </si>
  <si>
    <t xml:space="preserve">podatek rolny  </t>
  </si>
  <si>
    <t xml:space="preserve">podatek od nieruchomości </t>
  </si>
  <si>
    <t xml:space="preserve">podatek leśny </t>
  </si>
  <si>
    <t xml:space="preserve">podatek od środków transportowych  </t>
  </si>
  <si>
    <t xml:space="preserve">podatek od dział. gosp. osób fizycznych opłacany w formie karty podatkowej </t>
  </si>
  <si>
    <t>podatek od spadków i darowizn</t>
  </si>
  <si>
    <t>podatek od czynności cywilnoprawnych</t>
  </si>
  <si>
    <t>wpływy z opłaty skarbowej</t>
  </si>
  <si>
    <t>wpływy z opłaty eksploatacyjnej</t>
  </si>
  <si>
    <t>wpływy z opłaty targowej</t>
  </si>
  <si>
    <t>dochody z majątku</t>
  </si>
  <si>
    <t>pozostałe dochody</t>
  </si>
  <si>
    <t>Dotacje celowe</t>
  </si>
  <si>
    <t>Przekazane w ramach programów finansowanych z udziałem środków europejskich oraz innych środków zagranicznych niepodlegających zwrotowi oraz płatności z budżetu środków europejskich</t>
  </si>
  <si>
    <t xml:space="preserve">SUBWENCJA OGÓLNA   </t>
  </si>
  <si>
    <t>Tablica 23. Dochody gmin według źródeł pochodzenia</t>
  </si>
  <si>
    <t>Tablica 40. Dochody powiatów według źródeł pochodzenia</t>
  </si>
  <si>
    <t>Tablica 57. Dochody miast na prawach powiatu według źródeł pochodzenia</t>
  </si>
  <si>
    <t>Tablica 78. Dochody województw według źródeł pochodzenia</t>
  </si>
  <si>
    <t>Rolnictwo i łowiectwo</t>
  </si>
  <si>
    <t>Leśnictwo</t>
  </si>
  <si>
    <t>Rybołówstwo i rybactwo</t>
  </si>
  <si>
    <t>Przetwórstwo przemysłowe</t>
  </si>
  <si>
    <t>Wytwarzanie i zaopatrywanie w energię elektryczną, gaz i wodę</t>
  </si>
  <si>
    <t>Transport i łączność</t>
  </si>
  <si>
    <t>Turystyka</t>
  </si>
  <si>
    <t>Gospodarka mieszkaniowa</t>
  </si>
  <si>
    <t>Działalność usługowa</t>
  </si>
  <si>
    <t>Informatyka</t>
  </si>
  <si>
    <t>Administracja publiczna</t>
  </si>
  <si>
    <t>Urzędy naczelnych organów władzy państwowej, kontroli i ochrony prawa oraz sądownictwa</t>
  </si>
  <si>
    <t>Obrona narodowa</t>
  </si>
  <si>
    <t>Bezpieczeństwo publiczne i ochrona przeciwpożarowa</t>
  </si>
  <si>
    <t>Wymiar sprawiedliwości</t>
  </si>
  <si>
    <t>Różne rozliczenia</t>
  </si>
  <si>
    <t>Oświata i wychowanie</t>
  </si>
  <si>
    <t>Ochrona zdrowia</t>
  </si>
  <si>
    <t>Pomoc społeczna</t>
  </si>
  <si>
    <t>Pozostałe zadania w zakresie polityki społecznej</t>
  </si>
  <si>
    <t>Edukacyjna opieka wychowawcza</t>
  </si>
  <si>
    <t>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</si>
  <si>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</si>
  <si>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</si>
  <si>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</si>
  <si>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>Kultura fizyczna</t>
  </si>
  <si>
    <t>Tablica 74. Wydatki majątkowe i inwestycyjne miast na prawach powiatu według województw</t>
  </si>
  <si>
    <t>Górnictwo i kopalnictwo</t>
  </si>
  <si>
    <t>01</t>
  </si>
  <si>
    <t>03</t>
  </si>
  <si>
    <t>05</t>
  </si>
  <si>
    <t>07</t>
  </si>
  <si>
    <t>09</t>
  </si>
  <si>
    <t>11</t>
  </si>
  <si>
    <t>13</t>
  </si>
  <si>
    <t>15</t>
  </si>
  <si>
    <t>17</t>
  </si>
  <si>
    <t>19</t>
  </si>
  <si>
    <t>21</t>
  </si>
  <si>
    <t>23</t>
  </si>
  <si>
    <t>25</t>
  </si>
  <si>
    <t>27</t>
  </si>
  <si>
    <t>34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</si>
  <si>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</si>
  <si>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</si>
  <si>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</si>
  <si>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</si>
  <si>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</si>
  <si>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</si>
  <si>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</si>
  <si>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</si>
  <si>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</si>
  <si>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</si>
  <si>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</si>
  <si>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</si>
  <si>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</si>
  <si>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</si>
  <si>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</si>
  <si>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</si>
  <si>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</si>
  <si>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</si>
  <si>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</si>
  <si>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</si>
  <si>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</si>
  <si>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</si>
  <si>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</si>
  <si>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</si>
  <si>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</si>
  <si>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</si>
  <si>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</si>
  <si>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</si>
  <si>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</si>
  <si>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</si>
  <si>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</si>
  <si>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</si>
  <si>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</si>
  <si>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</si>
  <si>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</si>
  <si>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</si>
  <si>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</si>
  <si>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</si>
  <si>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</si>
  <si>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</si>
  <si>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</si>
  <si>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</si>
  <si>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</si>
  <si>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</si>
  <si>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</si>
  <si>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</si>
  <si>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</si>
  <si>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</si>
  <si>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68</t>
  </si>
  <si>
    <t>Jaworzno</t>
  </si>
  <si>
    <t>69</t>
  </si>
  <si>
    <t>Katowice</t>
  </si>
  <si>
    <t>70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</si>
  <si>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</si>
  <si>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</si>
  <si>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</si>
  <si>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</si>
  <si>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</si>
  <si>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</si>
  <si>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</si>
  <si>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77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</si>
  <si>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</si>
  <si>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</si>
  <si>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</si>
  <si>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</si>
  <si>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</si>
  <si>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</si>
  <si>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</si>
  <si>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</si>
  <si>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</si>
  <si>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</si>
  <si>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</si>
  <si>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</si>
  <si>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</si>
  <si>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Handel</t>
  </si>
  <si>
    <t>Szkolnictwo wyższe i nauka</t>
  </si>
  <si>
    <t xml:space="preserve">Wyszczególnienie </t>
  </si>
  <si>
    <t xml:space="preserve">Struktura </t>
  </si>
  <si>
    <t>Wskaźnik 
(3:2)</t>
  </si>
  <si>
    <t>Struktura dochodów  własnych</t>
  </si>
  <si>
    <t>DOCHODY OGÓŁEM</t>
  </si>
  <si>
    <t>Razem dochody własne 
z tego:</t>
  </si>
  <si>
    <t xml:space="preserve">podatek dochodowy od osób prawnych </t>
  </si>
  <si>
    <t xml:space="preserve">podatek dochodowy od osób fizycznych </t>
  </si>
  <si>
    <t xml:space="preserve">podatek leśny        </t>
  </si>
  <si>
    <t>podatek od środków transportowych</t>
  </si>
  <si>
    <t xml:space="preserve">podatek od dział. gosp. osób fizycznych, opłacany w formie karty podatkowej </t>
  </si>
  <si>
    <t xml:space="preserve">podatek od spadków i darowizn       </t>
  </si>
  <si>
    <t xml:space="preserve">wpływy z opłaty skarbowej        </t>
  </si>
  <si>
    <t xml:space="preserve">pozostałe dochody </t>
  </si>
  <si>
    <t>#</t>
  </si>
  <si>
    <t>Dotacje celowe 
z tego:</t>
  </si>
  <si>
    <t>na zadania z zakresu adm. rządowej</t>
  </si>
  <si>
    <t>w tym:   inwestycyjne</t>
  </si>
  <si>
    <t xml:space="preserve">na zadania własne </t>
  </si>
  <si>
    <t>z tytułu pomocy finansowej udzielanej między jst na dofinansowanie własnych zadań</t>
  </si>
  <si>
    <t>otrzymane z funduszy celowych</t>
  </si>
  <si>
    <t>Dotacje §§ 200 i 620</t>
  </si>
  <si>
    <t>w tym: inwestycyjne § 620</t>
  </si>
  <si>
    <t>Dotacje §§ 205 i 625</t>
  </si>
  <si>
    <t>w tym: inwestycyjne § 625</t>
  </si>
  <si>
    <t>Subwencja ogólna 
z tego:</t>
  </si>
  <si>
    <t>część wyrównawcza</t>
  </si>
  <si>
    <t>część oświatowa</t>
  </si>
  <si>
    <t>część rekompensująca</t>
  </si>
  <si>
    <t>część równoważąca</t>
  </si>
  <si>
    <t>część regionalna</t>
  </si>
  <si>
    <t>uzupełnienie subwencji ogólnej</t>
  </si>
  <si>
    <t>Zobowiązania wg stanu na koniec 
okresu sprawozdawczego</t>
  </si>
  <si>
    <t>Wskaźnik 
(4:2)</t>
  </si>
  <si>
    <t>w tym wymagalne:</t>
  </si>
  <si>
    <t>WYDATKI OGÓŁEM 
z tego:</t>
  </si>
  <si>
    <t xml:space="preserve">wydatki majątkowe      </t>
  </si>
  <si>
    <t>w tym:   wydatki na inwestycje</t>
  </si>
  <si>
    <t>wydatki bieżące 
z tego:</t>
  </si>
  <si>
    <t>wydatki na wynagrodzenia i pochodne od wynagrodzeń</t>
  </si>
  <si>
    <t>dotacje</t>
  </si>
  <si>
    <t>wydatki na obsługę długu</t>
  </si>
  <si>
    <t>wydatki z tytułu udzielania poręczeń i gwarancji</t>
  </si>
  <si>
    <t>świadczenia na rzecz osób fizycznych</t>
  </si>
  <si>
    <t>pozostałe wydatki</t>
  </si>
  <si>
    <t xml:space="preserve">WYNIK  </t>
  </si>
  <si>
    <t xml:space="preserve">Wykonanie </t>
  </si>
  <si>
    <t>Wskaźnik</t>
  </si>
  <si>
    <t>Przychody ogółem 
z tego:</t>
  </si>
  <si>
    <t>kredyty, pożyczki, emisja papierów wartościowych w tym:</t>
  </si>
  <si>
    <t>ze sprzedaży papierów wartościowych</t>
  </si>
  <si>
    <t>spłata  udzielonych pożyczek</t>
  </si>
  <si>
    <t>nadwyżka z lat ubiegłych</t>
  </si>
  <si>
    <t>niewykorzystane środki pieniężne o których mowa w art.217 ust.2 pkt.8 ustawy o finansach publicznych</t>
  </si>
  <si>
    <t>prywatyzacja majątku JST</t>
  </si>
  <si>
    <t/>
  </si>
  <si>
    <t>wolne środki , o których mowa w art. 217 ust.2 pkt 6 ustawy o finansach publicznych</t>
  </si>
  <si>
    <t>inne źródła</t>
  </si>
  <si>
    <t>Rozchody ogółem 
z tego:</t>
  </si>
  <si>
    <t>spłaty kredytów i pożyczek, wykup papierów wartościowych w tym:</t>
  </si>
  <si>
    <t>wykup papierów wartościowych</t>
  </si>
  <si>
    <t xml:space="preserve"> udzielone pożyczki</t>
  </si>
  <si>
    <t>inne cele</t>
  </si>
  <si>
    <t>Zobowiązania według tytułów dłużnych (wg wartości nominalnej)</t>
  </si>
  <si>
    <t>kwota 
zadłużenia
ogółem
(kol. 3+15)</t>
  </si>
  <si>
    <t>wierzyciele krajowi</t>
  </si>
  <si>
    <t xml:space="preserve">      wierzyciele zagraniczni</t>
  </si>
  <si>
    <t>ogółem 
(kol. 4+9+10+11 +12+13+14)</t>
  </si>
  <si>
    <t>sektora finansów publicznych (kol.5+6+7+8)</t>
  </si>
  <si>
    <t>grupa I</t>
  </si>
  <si>
    <t>grupa II</t>
  </si>
  <si>
    <t>grupa III</t>
  </si>
  <si>
    <t>grupa IV</t>
  </si>
  <si>
    <t>bank 
centralny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</si>
  <si>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</si>
  <si>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</si>
  <si>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</si>
  <si>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</si>
  <si>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</si>
  <si>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</si>
  <si>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</si>
  <si>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</si>
  <si>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E  ZOBOWIĄZANIA WG TYTUŁÓW DŁUŻNYCH (E1+E2+E3+E4)</t>
  </si>
  <si>
    <t>E1 papiery wartościowe (E1.1+E1.2)</t>
  </si>
  <si>
    <t>E1.2 długoterminowe</t>
  </si>
  <si>
    <t>E2 kredyty i pożyczki (E2.1+E2.2)</t>
  </si>
  <si>
    <t>E2.2 długoterminowe</t>
  </si>
  <si>
    <t>E3 przyjęte depozyty</t>
  </si>
  <si>
    <t>E4  wymagalne zobowiązania (E4.1+E4.2)</t>
  </si>
  <si>
    <t>E4.1 z tytułu dostaw towarów i usług</t>
  </si>
  <si>
    <t>E4.2 pozostałe</t>
  </si>
  <si>
    <t>Należności oraz wybrane aktywa finansowe</t>
  </si>
  <si>
    <t>kwota 
należności
ogółem
(kol. 3+15)</t>
  </si>
  <si>
    <t>dłużnicy  krajowi</t>
  </si>
  <si>
    <t xml:space="preserve">      dłużnicy zagraniczni</t>
  </si>
  <si>
    <t>ogółem 
(kol 4+9+10+11 +12+13+14)</t>
  </si>
  <si>
    <t>sektor 
finansów 
publicznych 
ogółem 
(kol 5+6+7+8)</t>
  </si>
  <si>
    <t xml:space="preserve">grupa I </t>
  </si>
  <si>
    <t xml:space="preserve">grupa II </t>
  </si>
  <si>
    <t xml:space="preserve">grupa III </t>
  </si>
  <si>
    <t>banku centralnego</t>
  </si>
  <si>
    <t>N. NALEŻNOŚCI ORAZ WYBRANE AKTYWA FINANSOWE  (N1+N2+N3+N4+N5)   z tego:</t>
  </si>
  <si>
    <t>N1 papiery wartościowe (N1.1+N1.2)</t>
  </si>
  <si>
    <t>N1.2  długoterminowe</t>
  </si>
  <si>
    <t>N2  pożyczki (N2.1+N2.2)</t>
  </si>
  <si>
    <t>N2.2 długoterminowe</t>
  </si>
  <si>
    <t>N3 gotówka i depozyty (N3.1+N3.2+N3.3)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</si>
  <si>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</si>
  <si>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</si>
  <si>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</si>
  <si>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</si>
  <si>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</si>
  <si>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 pozostałe należności  (N5.1+N5.2+N5.3)</t>
  </si>
  <si>
    <t>N5.1 z tytułu dostaw towarów i usług</t>
  </si>
  <si>
    <t>N5.2 z tytułu podatków i składek na ubezpieczenia społ.</t>
  </si>
  <si>
    <t>N5.3 z tytułu innych niż wymienione powyżej</t>
  </si>
  <si>
    <t>Poręczenia i gwarancje</t>
  </si>
  <si>
    <t>kwota 
zadłużenia
ogółem
(kol. 3+8)</t>
  </si>
  <si>
    <t>wierzyciele i dłużnicy</t>
  </si>
  <si>
    <t>podmioty 
sektora finansów 
publicznych 
(kol.4+5+6+7)</t>
  </si>
  <si>
    <t xml:space="preserve">grupa IV </t>
  </si>
  <si>
    <t>pozostałe
podmioty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</si>
  <si>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</si>
  <si>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</si>
  <si>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</si>
  <si>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</si>
  <si>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</si>
  <si>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</si>
  <si>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</si>
  <si>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Dochody</t>
  </si>
  <si>
    <t>Wydatki</t>
  </si>
  <si>
    <t>Wynik</t>
  </si>
  <si>
    <t>Tablica 4. Dochody jednostek samorządu terytorialnego według działów</t>
  </si>
  <si>
    <t>1</t>
  </si>
  <si>
    <t>2</t>
  </si>
  <si>
    <t>3</t>
  </si>
  <si>
    <t>Hotele i restauracje</t>
  </si>
  <si>
    <t>Obowiązkowe ubezpieczenia społeczne</t>
  </si>
  <si>
    <t>Dochody od osób prawnych, od osób fizycznych i od innych jednostek nieposiadających osobowości prawnej oraz wydatki związane z ich poborem</t>
  </si>
  <si>
    <t>Obsługa długu publicznego</t>
  </si>
  <si>
    <t>Szkolnictwo wyższe</t>
  </si>
  <si>
    <t>Tablica 13. Wydatki jednostek samorządu terytorialnego według działów</t>
  </si>
  <si>
    <t>udzielone pożyczki</t>
  </si>
  <si>
    <t>wolne środki, o których mowa w art. 217 ust. 2 pkt 6 ustawy o finansach publicznych  w tym:</t>
  </si>
  <si>
    <t>na zadania realizowane na podstawie porozumień między jst</t>
  </si>
  <si>
    <t xml:space="preserve">na zadania realizowane na podstawie porozumień  z org. adm. rządowej </t>
  </si>
  <si>
    <t>N4 należności wymagalne (N4.1+N4.2)</t>
  </si>
  <si>
    <t>E4  wymagalne zobowiązania 
     (E4.1+E4.2)</t>
  </si>
  <si>
    <t>E2 kredyty i pożyczki 
     (E2.1+E2.2)</t>
  </si>
  <si>
    <t>E1 papiery wartościowe 
     (E1.1+E1.2)</t>
  </si>
  <si>
    <t>E  ZOBOWIĄZANIA WG TYTUŁÓW 
    DŁUŻNYCH (E1+E2+E3+E4)</t>
  </si>
  <si>
    <t>N5.2 z tytułu podatków i składek na 
ubezpieczenia społ.</t>
  </si>
  <si>
    <t>Zobowiązania do wykonanych dochodów    (10:4)</t>
  </si>
  <si>
    <t>Zobowiązania</t>
  </si>
  <si>
    <t>Dochody ogółem</t>
  </si>
  <si>
    <t>Tablica 22. Zestawienie dochodów, wydatków, wyniku oraz zobowiązań gmin według województw</t>
  </si>
  <si>
    <t>Tablica 24. Dochody gmin według działów</t>
  </si>
  <si>
    <t>Dotacje</t>
  </si>
  <si>
    <t>Tablica 34. Wydatki gmin według działów i rodzajów</t>
  </si>
  <si>
    <t>Tablica 35. Wydatki gmin wiejskich według działów i rodzajów</t>
  </si>
  <si>
    <t>spłaty kredytów i  pożyczek, wykup papierów wartościowych w tym:</t>
  </si>
  <si>
    <t>E1 papiery wartościowe  (E1.1+E1.2)</t>
  </si>
  <si>
    <t>Tablica 41. Dochody powiatów według działów</t>
  </si>
  <si>
    <t>łobeski</t>
  </si>
  <si>
    <t>wałecki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</si>
  <si>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</si>
  <si>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</si>
  <si>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</si>
  <si>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</si>
  <si>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</si>
  <si>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</si>
  <si>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</si>
  <si>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koszaliński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</si>
  <si>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</si>
  <si>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</si>
  <si>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</si>
  <si>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</si>
  <si>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</si>
  <si>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</si>
  <si>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</si>
  <si>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</si>
  <si>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złotowski</t>
  </si>
  <si>
    <t>wrzesiński</t>
  </si>
  <si>
    <t>wolsztyński</t>
  </si>
  <si>
    <t>wągrowiecki</t>
  </si>
  <si>
    <t>turecki</t>
  </si>
  <si>
    <t>śremski</t>
  </si>
  <si>
    <t>średzki</t>
  </si>
  <si>
    <t>szamotulski</t>
  </si>
  <si>
    <t>słupecki</t>
  </si>
  <si>
    <t>rawicki</t>
  </si>
  <si>
    <t>poznański</t>
  </si>
  <si>
    <t>pleszewski</t>
  </si>
  <si>
    <t>pilski</t>
  </si>
  <si>
    <t>ostrzeszowski</t>
  </si>
  <si>
    <t>ostrowski</t>
  </si>
  <si>
    <t>obornicki</t>
  </si>
  <si>
    <t>nowotomyski</t>
  </si>
  <si>
    <t>międzychodzki</t>
  </si>
  <si>
    <t>leszczyński</t>
  </si>
  <si>
    <t>krotoszyński</t>
  </si>
  <si>
    <t>kościański</t>
  </si>
  <si>
    <t>koniński</t>
  </si>
  <si>
    <t>kolski</t>
  </si>
  <si>
    <t>kępiński</t>
  </si>
  <si>
    <t>kaliski</t>
  </si>
  <si>
    <t>jarociński</t>
  </si>
  <si>
    <t>grodziski</t>
  </si>
  <si>
    <t>gostyński</t>
  </si>
  <si>
    <t>gnieźnieński</t>
  </si>
  <si>
    <t>czarnkowsko-trzcianecki</t>
  </si>
  <si>
    <t>chodzieski</t>
  </si>
  <si>
    <t>węgorzewski</t>
  </si>
  <si>
    <t>gołdapski</t>
  </si>
  <si>
    <t>szczycieński</t>
  </si>
  <si>
    <t>piski</t>
  </si>
  <si>
    <t>ostródzki</t>
  </si>
  <si>
    <t>olsztyński</t>
  </si>
  <si>
    <t>olecki</t>
  </si>
  <si>
    <t>nowomiejski</t>
  </si>
  <si>
    <t>nidzicki</t>
  </si>
  <si>
    <t>mrągowski</t>
  </si>
  <si>
    <t>lidzbarski</t>
  </si>
  <si>
    <t>kętrzyński</t>
  </si>
  <si>
    <t>iławski</t>
  </si>
  <si>
    <t>giżycki</t>
  </si>
  <si>
    <t>ełcki</t>
  </si>
  <si>
    <t>elbląski</t>
  </si>
  <si>
    <t>działdowski</t>
  </si>
  <si>
    <t>braniewski</t>
  </si>
  <si>
    <t>bartoszycki</t>
  </si>
  <si>
    <t>włoszczowski</t>
  </si>
  <si>
    <t>staszowski</t>
  </si>
  <si>
    <t>starachowicki</t>
  </si>
  <si>
    <t>skarżyski</t>
  </si>
  <si>
    <t>sandomierski</t>
  </si>
  <si>
    <t>pińczowski</t>
  </si>
  <si>
    <t>ostrowiecki</t>
  </si>
  <si>
    <t>opatowski</t>
  </si>
  <si>
    <t>konecki</t>
  </si>
  <si>
    <t>kielecki</t>
  </si>
  <si>
    <t>kazimierski</t>
  </si>
  <si>
    <t>jędrzejowski</t>
  </si>
  <si>
    <t>buski</t>
  </si>
  <si>
    <t>żywiecki</t>
  </si>
  <si>
    <t>zawierciański</t>
  </si>
  <si>
    <t>wodzisławski</t>
  </si>
  <si>
    <t>bieruńsko-lędziński</t>
  </si>
  <si>
    <t>tarnogórski</t>
  </si>
  <si>
    <t>rybnicki</t>
  </si>
  <si>
    <t>raciborski</t>
  </si>
  <si>
    <t>pszczyński</t>
  </si>
  <si>
    <t>myszkowski</t>
  </si>
  <si>
    <t>mikołowski</t>
  </si>
  <si>
    <t>lubliniecki</t>
  </si>
  <si>
    <t>kłobucki</t>
  </si>
  <si>
    <t>gliwicki</t>
  </si>
  <si>
    <t>częstochowski</t>
  </si>
  <si>
    <t>cieszyński</t>
  </si>
  <si>
    <t>bielski</t>
  </si>
  <si>
    <t>będziński</t>
  </si>
  <si>
    <t>sztumski</t>
  </si>
  <si>
    <t>wejherowski</t>
  </si>
  <si>
    <t>tczewski</t>
  </si>
  <si>
    <t>starogardzki</t>
  </si>
  <si>
    <t>słupski</t>
  </si>
  <si>
    <t>pucki</t>
  </si>
  <si>
    <t>nowodworski</t>
  </si>
  <si>
    <t>malborski</t>
  </si>
  <si>
    <t>lęborski</t>
  </si>
  <si>
    <t>kwidzyński</t>
  </si>
  <si>
    <t>kościerski</t>
  </si>
  <si>
    <t>kartuski</t>
  </si>
  <si>
    <t>gdański</t>
  </si>
  <si>
    <t>człuchowski</t>
  </si>
  <si>
    <t>chojnicki</t>
  </si>
  <si>
    <t>bytowski</t>
  </si>
  <si>
    <t>zambrowski</t>
  </si>
  <si>
    <t>wysokomazowiecki</t>
  </si>
  <si>
    <t>suwalski</t>
  </si>
  <si>
    <t>sokólski</t>
  </si>
  <si>
    <t>siemiatycki</t>
  </si>
  <si>
    <t>sejneński</t>
  </si>
  <si>
    <t>moniecki</t>
  </si>
  <si>
    <t>łomżyński</t>
  </si>
  <si>
    <t>kolneński</t>
  </si>
  <si>
    <t>hajnowski</t>
  </si>
  <si>
    <t>grajewski</t>
  </si>
  <si>
    <t>białostocki</t>
  </si>
  <si>
    <t>augustowski</t>
  </si>
  <si>
    <t>leski</t>
  </si>
  <si>
    <t>tarnobrzeski</t>
  </si>
  <si>
    <t>strzyżowski</t>
  </si>
  <si>
    <t>stalowowolski</t>
  </si>
  <si>
    <t>sanocki</t>
  </si>
  <si>
    <t>rzeszowski</t>
  </si>
  <si>
    <t>ropczycko-sędziszowski</t>
  </si>
  <si>
    <t>przeworski</t>
  </si>
  <si>
    <t>przemyski</t>
  </si>
  <si>
    <t>niżański</t>
  </si>
  <si>
    <t>mielecki</t>
  </si>
  <si>
    <t>łańcucki</t>
  </si>
  <si>
    <t>lubaczowski</t>
  </si>
  <si>
    <t>leżajski</t>
  </si>
  <si>
    <t>krośnieński</t>
  </si>
  <si>
    <t>kolbuszowski</t>
  </si>
  <si>
    <t>jasielski</t>
  </si>
  <si>
    <t>jarosławski</t>
  </si>
  <si>
    <t>dębicki</t>
  </si>
  <si>
    <t>brzozowski</t>
  </si>
  <si>
    <t>bieszczadzki</t>
  </si>
  <si>
    <t>strzelecki</t>
  </si>
  <si>
    <t>prudnicki</t>
  </si>
  <si>
    <t>opolski</t>
  </si>
  <si>
    <t>oleski</t>
  </si>
  <si>
    <t>nyski</t>
  </si>
  <si>
    <t>namysłowski</t>
  </si>
  <si>
    <t>krapkowicki</t>
  </si>
  <si>
    <t>kluczborski</t>
  </si>
  <si>
    <t>kędzierzyńsko-kozielski</t>
  </si>
  <si>
    <t>głubczycki</t>
  </si>
  <si>
    <t>brzeski</t>
  </si>
  <si>
    <t>żyrardowski</t>
  </si>
  <si>
    <t>żuromiński</t>
  </si>
  <si>
    <t>zwoleński</t>
  </si>
  <si>
    <t>wyszkowski</t>
  </si>
  <si>
    <t>wołomiński</t>
  </si>
  <si>
    <t>węgrowski</t>
  </si>
  <si>
    <t>warszawski zachodni</t>
  </si>
  <si>
    <t>szydłowiecki</t>
  </si>
  <si>
    <t>sokołowski</t>
  </si>
  <si>
    <t>sochaczewski</t>
  </si>
  <si>
    <t>sierpecki</t>
  </si>
  <si>
    <t>siedlecki</t>
  </si>
  <si>
    <t>radomski</t>
  </si>
  <si>
    <t>pułtuski</t>
  </si>
  <si>
    <t>przysuski</t>
  </si>
  <si>
    <t>przasnyski</t>
  </si>
  <si>
    <t>pruszkowski</t>
  </si>
  <si>
    <t>płoński</t>
  </si>
  <si>
    <t>płocki</t>
  </si>
  <si>
    <t>piaseczyński</t>
  </si>
  <si>
    <t>otwocki</t>
  </si>
  <si>
    <t>ostrołęcki</t>
  </si>
  <si>
    <t>mławski</t>
  </si>
  <si>
    <t>miński</t>
  </si>
  <si>
    <t>makowski</t>
  </si>
  <si>
    <t>łosicki</t>
  </si>
  <si>
    <t>lipski</t>
  </si>
  <si>
    <t>legionowski</t>
  </si>
  <si>
    <t>kozienicki</t>
  </si>
  <si>
    <t>grójecki</t>
  </si>
  <si>
    <t>gostyniński</t>
  </si>
  <si>
    <t>garwoliński</t>
  </si>
  <si>
    <t>ciechanowski</t>
  </si>
  <si>
    <t>białobrzeski</t>
  </si>
  <si>
    <t>wielicki</t>
  </si>
  <si>
    <t>wadowicki</t>
  </si>
  <si>
    <t>tatrzański</t>
  </si>
  <si>
    <t>tarnowski</t>
  </si>
  <si>
    <t>suski</t>
  </si>
  <si>
    <t>proszowicki</t>
  </si>
  <si>
    <t>oświęcimski</t>
  </si>
  <si>
    <t>olkuski</t>
  </si>
  <si>
    <t>nowotarski</t>
  </si>
  <si>
    <t>nowosądecki</t>
  </si>
  <si>
    <t>myślenicki</t>
  </si>
  <si>
    <t>miechowski</t>
  </si>
  <si>
    <t>limanowski</t>
  </si>
  <si>
    <t>krakowski</t>
  </si>
  <si>
    <t>gorlicki</t>
  </si>
  <si>
    <t>dąbrowski</t>
  </si>
  <si>
    <t>chrzanowski</t>
  </si>
  <si>
    <t>bocheński</t>
  </si>
  <si>
    <t>brzeziński</t>
  </si>
  <si>
    <t>zgierski</t>
  </si>
  <si>
    <t>zduńskowolski</t>
  </si>
  <si>
    <t>wieruszowski</t>
  </si>
  <si>
    <t>wieluński</t>
  </si>
  <si>
    <t>tomaszowski</t>
  </si>
  <si>
    <t>skierniewicki</t>
  </si>
  <si>
    <t>sieradzki</t>
  </si>
  <si>
    <t>rawski</t>
  </si>
  <si>
    <t>radomszczański</t>
  </si>
  <si>
    <t>poddębicki</t>
  </si>
  <si>
    <t>piotrkowski</t>
  </si>
  <si>
    <t>pajęczański</t>
  </si>
  <si>
    <t>pabianicki</t>
  </si>
  <si>
    <t>opoczyński</t>
  </si>
  <si>
    <t>łódzki wschodni</t>
  </si>
  <si>
    <t>łowicki</t>
  </si>
  <si>
    <t>łęczycki</t>
  </si>
  <si>
    <t>łaski</t>
  </si>
  <si>
    <t>kutnowski</t>
  </si>
  <si>
    <t>bełchatowski</t>
  </si>
  <si>
    <t>wschowski</t>
  </si>
  <si>
    <t>żarski</t>
  </si>
  <si>
    <t>żagański</t>
  </si>
  <si>
    <t>zielonogórski</t>
  </si>
  <si>
    <t>świebodziński</t>
  </si>
  <si>
    <t>sulęciński</t>
  </si>
  <si>
    <t>strzelecko-drezdenecki</t>
  </si>
  <si>
    <t>słubicki</t>
  </si>
  <si>
    <t>nowosolski</t>
  </si>
  <si>
    <t>międzyrzecki</t>
  </si>
  <si>
    <t>gorzowski</t>
  </si>
  <si>
    <t>zamojski</t>
  </si>
  <si>
    <t>włodawski</t>
  </si>
  <si>
    <t>świdnicki</t>
  </si>
  <si>
    <t>rycki</t>
  </si>
  <si>
    <t>radzyński</t>
  </si>
  <si>
    <t>puławski</t>
  </si>
  <si>
    <t>parczewski</t>
  </si>
  <si>
    <t>łukowski</t>
  </si>
  <si>
    <t>łęczyński</t>
  </si>
  <si>
    <t>lubelski</t>
  </si>
  <si>
    <t>lubartowski</t>
  </si>
  <si>
    <t>kraśnicki</t>
  </si>
  <si>
    <t>krasnostawski</t>
  </si>
  <si>
    <t>janowski</t>
  </si>
  <si>
    <t>hrubieszowski</t>
  </si>
  <si>
    <t>chełmski</t>
  </si>
  <si>
    <t>biłgorajski</t>
  </si>
  <si>
    <t>bialski</t>
  </si>
  <si>
    <t>żniński</t>
  </si>
  <si>
    <t>włocławski</t>
  </si>
  <si>
    <t>wąbrzeski</t>
  </si>
  <si>
    <t>tucholski</t>
  </si>
  <si>
    <t>toruński</t>
  </si>
  <si>
    <t>świecki</t>
  </si>
  <si>
    <t>sępoleński</t>
  </si>
  <si>
    <t>rypiński</t>
  </si>
  <si>
    <t>radziejowski</t>
  </si>
  <si>
    <t>nakielski</t>
  </si>
  <si>
    <t>mogileński</t>
  </si>
  <si>
    <t>lipnowski</t>
  </si>
  <si>
    <t>inowrocławski</t>
  </si>
  <si>
    <t>grudziądzki</t>
  </si>
  <si>
    <t>golubsko-dobrzyński</t>
  </si>
  <si>
    <t>chełmiński</t>
  </si>
  <si>
    <t>bydgoski</t>
  </si>
  <si>
    <t>brodnicki</t>
  </si>
  <si>
    <t>aleksandrowski</t>
  </si>
  <si>
    <t>złotoryjski</t>
  </si>
  <si>
    <t>zgorzelecki</t>
  </si>
  <si>
    <t>ząbkowicki</t>
  </si>
  <si>
    <t>wrocławski</t>
  </si>
  <si>
    <t>wołowski</t>
  </si>
  <si>
    <t>wałbrzyski</t>
  </si>
  <si>
    <t>trzebnicki</t>
  </si>
  <si>
    <t>strzeliński</t>
  </si>
  <si>
    <t>polkowicki</t>
  </si>
  <si>
    <t>oławski</t>
  </si>
  <si>
    <t>oleśnicki</t>
  </si>
  <si>
    <t>milicki</t>
  </si>
  <si>
    <t>lwówecki</t>
  </si>
  <si>
    <t>lubiński</t>
  </si>
  <si>
    <t>lubański</t>
  </si>
  <si>
    <t>legnicki</t>
  </si>
  <si>
    <t>kłodzki</t>
  </si>
  <si>
    <t>kamiennogórski</t>
  </si>
  <si>
    <t>jaworski</t>
  </si>
  <si>
    <t>górowski</t>
  </si>
  <si>
    <t>głogowski</t>
  </si>
  <si>
    <t>dzierżoniowski</t>
  </si>
  <si>
    <t>bolesławiecki</t>
  </si>
  <si>
    <t>Zobowiązania do wykonanych dochodów    (11:5)</t>
  </si>
  <si>
    <t>Wynik
(5-8)</t>
  </si>
  <si>
    <t>Wskaźnik
 (8:7)</t>
  </si>
  <si>
    <t>Wskaźnik  (5:4)</t>
  </si>
  <si>
    <t>Tablica 42. Zestawienie dochodów, wydatków, wyniku oraz zobowiązań w poszczególnych powiatach</t>
  </si>
  <si>
    <t>wolne środki, o których mowa w art. 217 ust. 2 pkt 6 ustawy o finansach publicznych</t>
  </si>
  <si>
    <t>Subwencja ogólna dla gmin z tego:</t>
  </si>
  <si>
    <t>- pozostałe</t>
  </si>
  <si>
    <t>- część powiatowa</t>
  </si>
  <si>
    <t>- część gminna</t>
  </si>
  <si>
    <t>opłata targowa</t>
  </si>
  <si>
    <t>opłata eksploatacyjna</t>
  </si>
  <si>
    <t>opłata skarbowa</t>
  </si>
  <si>
    <t>wierzyciele</t>
  </si>
  <si>
    <t>sektora finansów publicznych (kol.5+7+8)</t>
  </si>
  <si>
    <t>Tablica 58. Dochody miast na prawach powiatu według działów</t>
  </si>
  <si>
    <t>Jastrzębie-Zdrój</t>
  </si>
  <si>
    <t>m. st. Warszawa</t>
  </si>
  <si>
    <t>Tablica 59. Zestawienie dochodów, wydatków, wyniku oraz zobowiązań w poszczególnych miastach na prawach powiatu</t>
  </si>
  <si>
    <t>Tablica 72. Wydatki miast na prawach powiatu według działów i rodzajów</t>
  </si>
  <si>
    <t>Nazwa województwa</t>
  </si>
  <si>
    <t>Tablica 79. Dochody województw według działów</t>
  </si>
  <si>
    <t>Tablica 89. Wydatki województw według działów i rodzajów</t>
  </si>
  <si>
    <t>Dotacje ogółem                                  z tego:</t>
  </si>
  <si>
    <t>N2.1 krótkotermionowe</t>
  </si>
  <si>
    <t>N1.1 krótkotermionowe</t>
  </si>
  <si>
    <t>E2.1 krótkotermionowe</t>
  </si>
  <si>
    <t>E1.1 krótkotermionowe</t>
  </si>
  <si>
    <t>- z tytułu pomocy finansowej udzielanej między jst</t>
  </si>
  <si>
    <t>- z funduszy celowych</t>
  </si>
  <si>
    <t>Tablica 15 . Przychody i koszty samorządowych zakładów budżetowych</t>
  </si>
  <si>
    <t>Plan po
zmianach</t>
  </si>
  <si>
    <t>Wykonanie 
planu</t>
  </si>
  <si>
    <t>Struktura
według form</t>
  </si>
  <si>
    <t>Stan środków obrotowych na początek roku</t>
  </si>
  <si>
    <t>Przychody</t>
  </si>
  <si>
    <t xml:space="preserve">   w tym: dotacje z budżetu</t>
  </si>
  <si>
    <t>Koszty</t>
  </si>
  <si>
    <t>wpłaty do budżetu</t>
  </si>
  <si>
    <t>Stan środków obrotowych na koniec roku</t>
  </si>
  <si>
    <t>GMINY</t>
  </si>
  <si>
    <t>POWIATY</t>
  </si>
  <si>
    <t>MIASTA NA PRAWACH POWIATU</t>
  </si>
  <si>
    <t>WOJEWÓDZTWA</t>
  </si>
  <si>
    <t>ZWIĄZKI JST</t>
  </si>
  <si>
    <t>Stan środków pieniężnych na początek roku</t>
  </si>
  <si>
    <t xml:space="preserve"> Wydatki</t>
  </si>
  <si>
    <t xml:space="preserve">   w tym: wpłaty do budżetu</t>
  </si>
  <si>
    <t>Stan środków pieniężnych na koniec roku</t>
  </si>
  <si>
    <t>Część oświatowa subwencji ogólnej</t>
  </si>
  <si>
    <t>w tym:</t>
  </si>
  <si>
    <t>Dochody z tyt. części oświatowej subwencji ogólnej i dotacji wykazanych w dziale
 801 - Oświata i wychowanie i 
854 - Edukacyjna opieka wychowawcza</t>
  </si>
  <si>
    <t>z przeznaczeniem na kształcenie dzieci
 6-letnich *)</t>
  </si>
  <si>
    <t>na zadania inwestycyjne</t>
  </si>
  <si>
    <t xml:space="preserve">Ogółem </t>
  </si>
  <si>
    <t>bieżące</t>
  </si>
  <si>
    <t>majątkowe</t>
  </si>
  <si>
    <t>L.p.</t>
  </si>
  <si>
    <t>Środki dla gmin</t>
  </si>
  <si>
    <t>Kwota rezerwy przekazana jednostkom samorządu terytorialnego na poszczególne kryteria podziału rezerwy subwencji</t>
  </si>
  <si>
    <t>% rozdysponowanej kwoty rezerwy dla gmin</t>
  </si>
  <si>
    <t>Gminy wiejskie</t>
  </si>
  <si>
    <t>Gminy miejskie</t>
  </si>
  <si>
    <t>Gminy miejsko-wiejskie</t>
  </si>
  <si>
    <t xml:space="preserve"> w złotych</t>
  </si>
  <si>
    <t>1.</t>
  </si>
  <si>
    <t>2.</t>
  </si>
  <si>
    <t>3.</t>
  </si>
  <si>
    <t>4.</t>
  </si>
  <si>
    <t>5.</t>
  </si>
  <si>
    <t>Dofinansowanie wyposażenia w pomoce dydaktyczne niezbędne do realizacji podstawy programowej z przedmiotów przyrodniczych w publicznych szkołach podstawowych</t>
  </si>
  <si>
    <t>6.</t>
  </si>
  <si>
    <t>7.</t>
  </si>
  <si>
    <t>Korekta części oświatowej subwencji ogólnej z tytułu błędów statystycznych</t>
  </si>
  <si>
    <t>8.</t>
  </si>
  <si>
    <t>Razem</t>
  </si>
  <si>
    <t>Dochody z tyt. części oświatowej subwencji ogólnej i dotacji wykazanych w dziale 801 - Oświata i wychowanie i 854 - Edukacyjna opieka wychowawcza</t>
  </si>
  <si>
    <t>z przeznaczeniem na kształcenie dzieci 6-letnich *)</t>
  </si>
  <si>
    <t xml:space="preserve">Wykaz tytułów
stanowiących podstawę do zwiększeń jednostkom samorządu terytorialnego części oświatowej subwencji ogólnej ze środków rezerwy tej części subwencji         </t>
  </si>
  <si>
    <t>Środki dla powiatów</t>
  </si>
  <si>
    <t>% rozdysponowanej kwoty rezerwy dla powiatów</t>
  </si>
  <si>
    <t>Nazwa miasta na prawach powiatu</t>
  </si>
  <si>
    <t>Środki dla miast na prawach powiatu</t>
  </si>
  <si>
    <t>% rozdysponowanej kwoty rezerwy dla miast na prawach powiatu</t>
  </si>
  <si>
    <t xml:space="preserve">Nazwa województwa </t>
  </si>
  <si>
    <t>Środki dla województw</t>
  </si>
  <si>
    <t>% rozdysponowanej kwoty rezerwy dla województw</t>
  </si>
  <si>
    <t>*</t>
  </si>
  <si>
    <t xml:space="preserve">*) Kwoty naliczone i przekazane jednostkom samorządu terytorialnego w ramach części oświatowej subwencji ogólnej na kształcenie dzieci 6-letnich na podstawie danych Ministerstwa Edukacji i Nauki </t>
  </si>
  <si>
    <t>karkonoski</t>
  </si>
  <si>
    <t>GK</t>
  </si>
  <si>
    <t>GT</t>
  </si>
  <si>
    <t>Nazwa</t>
  </si>
  <si>
    <t>%</t>
  </si>
  <si>
    <t>Jerzmanowa</t>
  </si>
  <si>
    <t>Karpacz</t>
  </si>
  <si>
    <t>Legnickie Pole</t>
  </si>
  <si>
    <t>Lubin</t>
  </si>
  <si>
    <t>Rudna</t>
  </si>
  <si>
    <t>Grębocice</t>
  </si>
  <si>
    <t>Polkowice</t>
  </si>
  <si>
    <t>Radwanice</t>
  </si>
  <si>
    <t>Kąty Wrocławskie</t>
  </si>
  <si>
    <t>Kobierzyce</t>
  </si>
  <si>
    <t>Siechnice</t>
  </si>
  <si>
    <t>Bogatynia</t>
  </si>
  <si>
    <t>Osielsko</t>
  </si>
  <si>
    <t>Łysomice</t>
  </si>
  <si>
    <t>Puchaczów</t>
  </si>
  <si>
    <t>Bobrowice</t>
  </si>
  <si>
    <t>Kleszczów</t>
  </si>
  <si>
    <t>Szczerców</t>
  </si>
  <si>
    <t>Nowosolna</t>
  </si>
  <si>
    <t>Rzgów</t>
  </si>
  <si>
    <t>Działoszyn</t>
  </si>
  <si>
    <t>Rząśnia</t>
  </si>
  <si>
    <t>Sulmierzyce</t>
  </si>
  <si>
    <t>Stryków</t>
  </si>
  <si>
    <t>Wielka Wieś</t>
  </si>
  <si>
    <t>Milanówek</t>
  </si>
  <si>
    <t xml:space="preserve">Podkowa Leśna </t>
  </si>
  <si>
    <t>Grodzisk Mazowiecki</t>
  </si>
  <si>
    <t>Jaktorów</t>
  </si>
  <si>
    <t>Kozienice</t>
  </si>
  <si>
    <t>Nieporęt</t>
  </si>
  <si>
    <t>Wieliszew</t>
  </si>
  <si>
    <t>Czosnów</t>
  </si>
  <si>
    <t>Józefów</t>
  </si>
  <si>
    <t>Karczew</t>
  </si>
  <si>
    <t>Wiązowna</t>
  </si>
  <si>
    <t>Konstancin-Jeziorna</t>
  </si>
  <si>
    <t>Lesznowola</t>
  </si>
  <si>
    <t>Piaseczno</t>
  </si>
  <si>
    <t>Słupno</t>
  </si>
  <si>
    <t>Brwinów</t>
  </si>
  <si>
    <t>Michałowice</t>
  </si>
  <si>
    <t>Nadarzyn</t>
  </si>
  <si>
    <t>Raszyn</t>
  </si>
  <si>
    <t>Błonie</t>
  </si>
  <si>
    <t>Izabelin</t>
  </si>
  <si>
    <t>Kampinos</t>
  </si>
  <si>
    <t>Łomianki</t>
  </si>
  <si>
    <t>Ożarów Mazowiecki</t>
  </si>
  <si>
    <t>Stare Babice</t>
  </si>
  <si>
    <t>Skarbimierz</t>
  </si>
  <si>
    <t>Gogolin</t>
  </si>
  <si>
    <t>Lutowiska</t>
  </si>
  <si>
    <t>Solina</t>
  </si>
  <si>
    <t>Orla</t>
  </si>
  <si>
    <t>Mielnik</t>
  </si>
  <si>
    <t>Cedry Wielkie</t>
  </si>
  <si>
    <t>Kolbudy</t>
  </si>
  <si>
    <t>Łeba</t>
  </si>
  <si>
    <t>Wicko</t>
  </si>
  <si>
    <t>Krynica Morska</t>
  </si>
  <si>
    <t>Kobylnica</t>
  </si>
  <si>
    <t>Ustka</t>
  </si>
  <si>
    <t>Gniewino</t>
  </si>
  <si>
    <t>Gierałtowice</t>
  </si>
  <si>
    <t>Goczałkowice-Zdrój</t>
  </si>
  <si>
    <t>Pawłowice</t>
  </si>
  <si>
    <t>Ożarowice</t>
  </si>
  <si>
    <t>Chełm Śląski</t>
  </si>
  <si>
    <t>Połaniec</t>
  </si>
  <si>
    <t>Baranów</t>
  </si>
  <si>
    <t>Łęka Opatowska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</si>
  <si>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</si>
  <si>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</si>
  <si>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</si>
  <si>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</si>
  <si>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</si>
  <si>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</si>
  <si>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</si>
  <si>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Powidz</t>
  </si>
  <si>
    <t>Przykona</t>
  </si>
  <si>
    <t>Kalisz Pomorski</t>
  </si>
  <si>
    <t>Rewal</t>
  </si>
  <si>
    <t>Dziwnów</t>
  </si>
  <si>
    <t>Międzyzdroje</t>
  </si>
  <si>
    <t>Gościno</t>
  </si>
  <si>
    <t>Kołobrzeg</t>
  </si>
  <si>
    <t>Ustronie Morskie</t>
  </si>
  <si>
    <t>Mielno</t>
  </si>
  <si>
    <t>Dobra Szczecińska</t>
  </si>
  <si>
    <t>Kołbaskowo</t>
  </si>
  <si>
    <t>Darłowo</t>
  </si>
  <si>
    <t>Postomino</t>
  </si>
  <si>
    <t>Wykonanie 
 2020 r.</t>
  </si>
  <si>
    <t xml:space="preserve">Płock </t>
  </si>
  <si>
    <t xml:space="preserve">m. st. Warszawa </t>
  </si>
  <si>
    <t xml:space="preserve">Opole </t>
  </si>
  <si>
    <t xml:space="preserve">Sopot </t>
  </si>
  <si>
    <t xml:space="preserve">Dąbrowa Górnicza </t>
  </si>
  <si>
    <t xml:space="preserve">Katowice </t>
  </si>
  <si>
    <t xml:space="preserve">Poznań </t>
  </si>
  <si>
    <t xml:space="preserve">Świnoujście </t>
  </si>
  <si>
    <t>Źródło: Sprawozdania roczne jednostek samorządu terytorialnego z wykonania dochodów i wydatków na rachunku 
           z art. 223  ust.1 za 2021 r. (Min. Fin)</t>
  </si>
  <si>
    <t>Dział</t>
  </si>
  <si>
    <t>Dynamika</t>
  </si>
  <si>
    <t>[5] : [4]</t>
  </si>
  <si>
    <t>[5] : [3]</t>
  </si>
  <si>
    <t>(w złotych)</t>
  </si>
  <si>
    <t>(w %%)</t>
  </si>
  <si>
    <t>[1]</t>
  </si>
  <si>
    <t>[2]</t>
  </si>
  <si>
    <t>[3]</t>
  </si>
  <si>
    <t>[4]</t>
  </si>
  <si>
    <t>[5]</t>
  </si>
  <si>
    <t>[6]</t>
  </si>
  <si>
    <t>[7]</t>
  </si>
  <si>
    <t>[8]</t>
  </si>
  <si>
    <t>010</t>
  </si>
  <si>
    <t>020</t>
  </si>
  <si>
    <t>050</t>
  </si>
  <si>
    <t>100</t>
  </si>
  <si>
    <t>150</t>
  </si>
  <si>
    <t>400</t>
  </si>
  <si>
    <t>500</t>
  </si>
  <si>
    <t>550</t>
  </si>
  <si>
    <t>600</t>
  </si>
  <si>
    <t>630</t>
  </si>
  <si>
    <t>700</t>
  </si>
  <si>
    <t>710</t>
  </si>
  <si>
    <t>720</t>
  </si>
  <si>
    <t>730</t>
  </si>
  <si>
    <t>750</t>
  </si>
  <si>
    <t>751</t>
  </si>
  <si>
    <t>752</t>
  </si>
  <si>
    <t>753</t>
  </si>
  <si>
    <t>x</t>
  </si>
  <si>
    <t>754</t>
  </si>
  <si>
    <t>755</t>
  </si>
  <si>
    <t>756</t>
  </si>
  <si>
    <t>757</t>
  </si>
  <si>
    <t>758</t>
  </si>
  <si>
    <t>801</t>
  </si>
  <si>
    <t>803</t>
  </si>
  <si>
    <t>851</t>
  </si>
  <si>
    <t>852</t>
  </si>
  <si>
    <t>853</t>
  </si>
  <si>
    <t>854</t>
  </si>
  <si>
    <t>855</t>
  </si>
  <si>
    <t>900</t>
  </si>
  <si>
    <t>921</t>
  </si>
  <si>
    <t>925</t>
  </si>
  <si>
    <t>926</t>
  </si>
  <si>
    <t>Źródło: Sprawozdania z wykonania budżetów jednostek samorządu terytorialnego za 2020 i 2021 r. (Min. Fin.)</t>
  </si>
  <si>
    <t>[4] : [3]</t>
  </si>
  <si>
    <t>[9]</t>
  </si>
  <si>
    <t>Ogółem, z tego:</t>
  </si>
  <si>
    <t xml:space="preserve">Źródło: </t>
  </si>
  <si>
    <t>Sprawozdania z wykonania budżetów jednostek samorządu terytorialnego za 2021 r. (Min. Fin.).</t>
  </si>
  <si>
    <t>Liczba mieszkańców według stanu na 31.12.2020 r. (GUS).</t>
  </si>
  <si>
    <t>Tablica 29. Dotacje celowe z budżetu państwa na dofinansowanie zadań własnych gmin według województw</t>
  </si>
  <si>
    <t>Udział</t>
  </si>
  <si>
    <t>[7] : [6]</t>
  </si>
  <si>
    <t>[7] : [4]</t>
  </si>
  <si>
    <t>Tablica 32. Dotacje celowe z budżetu państwa na zadania zlecone z zakresu administracji rządowej gmin według działów</t>
  </si>
  <si>
    <t>Tablica 33. Dotacje celowe z budżetu państwa na finansowanie lub dofinansowanie zadań własnych gmin według działów</t>
  </si>
  <si>
    <t>Tablica 8. Dotacje i płatności z budżetu środków europejskich</t>
  </si>
  <si>
    <t>[4] :[3]</t>
  </si>
  <si>
    <t xml:space="preserve"> - przekazane w ramach programów finansowanych z udziałem środków europejskich oraz innych środków zagranicznych niepodlegających zwrotowi oraz płatności z budżetu środków europejskich*</t>
  </si>
  <si>
    <t xml:space="preserve"> - na zadania z zakresu administracji rządowej</t>
  </si>
  <si>
    <t xml:space="preserve"> - na zadania własne</t>
  </si>
  <si>
    <t>w tym: na zadania bieżące gmin z zakresu edukacyjnej opieki wychowawczej z budżetu państwa w ramach programów rządowych</t>
  </si>
  <si>
    <t xml:space="preserve"> - na zadania realizowane na podstawie porozumień    z organami administracji rządowej</t>
  </si>
  <si>
    <t xml:space="preserve"> - na zadania realizowane na podstawie porozumień między  jst</t>
  </si>
  <si>
    <t>* w pozycji tej zostały ujęte również dotacje rozwojowe podlegające rozliczeniu w 2021 r.</t>
  </si>
  <si>
    <t>Tablica 47. Dotacje celowe z budżetu państwa na dofinansowanie zadań własnych powiatów według województw</t>
  </si>
  <si>
    <t>Tablica 50. Dotacje celowe z budżetu państwa na zadania zlecone z zakresu administracji rządowej powiatów według działów</t>
  </si>
  <si>
    <t>Tablica 51. Dotacje celowe z budżetu państwa na finansowanie lub dofinansowanie zadań własnych powiatów według działów</t>
  </si>
  <si>
    <t>Tablica 83. Dotacje celowe z budżetu państwa na finansowanie zadań z zakresu administracji rządowej województw</t>
  </si>
  <si>
    <t>Tablica 84. Dotacje celowe z budżetu państwa na dofinansowanie zadań własnych województw</t>
  </si>
  <si>
    <t>Tablica 87. Dotacje celowe z budżetu państwa na zadania zlecone z zakresu administracji rządowej województw według działów</t>
  </si>
  <si>
    <t>Tablica 88. Dotacje celowe z budżetu państwa na finansowanie lub dofinansowanie zadań własnych województw według działów</t>
  </si>
  <si>
    <t xml:space="preserve">Liczba mieszkańców </t>
  </si>
  <si>
    <t xml:space="preserve">Dochody </t>
  </si>
  <si>
    <t>na 1 mieszkańca</t>
  </si>
  <si>
    <t xml:space="preserve">Tablica 2.  Dochody, wydatki, wynik i zobowiązania jednostek samorządu terytorialnego na 1 mieszkańca </t>
  </si>
  <si>
    <t>Tablica 21. Dochody, wydatki, wyniki zobowiązania gmin na 1 mieszkańca według województw</t>
  </si>
  <si>
    <t>Tablica 39. Dochody, wydatki, wynik i zobowiązania powiatów na 1 mieszkańca według województw</t>
  </si>
  <si>
    <t>Tablica 76. Dochody, wydatki, wynik i zobowiązania województw na 1 mieszkańca</t>
  </si>
  <si>
    <t>[10]</t>
  </si>
  <si>
    <t>[11]</t>
  </si>
  <si>
    <t>Źródło:  Sprawozdania z wykonania budżetów gmin za 2021 r.  (Min.Fin.)</t>
  </si>
  <si>
    <t>[12]</t>
  </si>
  <si>
    <t>Źródło:  Sprawozdania z wykonania budżetów powiatów za 2021 r.  (Min.Fin.)</t>
  </si>
  <si>
    <t>Nazwa jednostki</t>
  </si>
  <si>
    <t xml:space="preserve">Tablica 77. Zestawienie dochodów, wydatków, wyniku oraz zobowiązań w poszczególnych województwach </t>
  </si>
  <si>
    <t>Tablica 14. Wydatki majątkowe i inwestycyjne jednostek samorządu terytorialnego według województw</t>
  </si>
  <si>
    <t>Tablica 37. Wydatki majątkowe i inwestycyjne gmin według województw</t>
  </si>
  <si>
    <t>Tablica 53. Wydatki majątkowe i inwestycyjne powiatów według województw</t>
  </si>
  <si>
    <t xml:space="preserve">z udziałem środków zagranicznych </t>
  </si>
  <si>
    <t>z udziałem środków zagranicznych</t>
  </si>
  <si>
    <t>Tablica 54. Wydatki powiatów według działów i rodzajów</t>
  </si>
  <si>
    <t>Wskaźniki</t>
  </si>
  <si>
    <t xml:space="preserve">wydatki bieżące z udziałem środków zagranicznych </t>
  </si>
  <si>
    <t>wydatki majątkowe z udziałem środków zagranicznych</t>
  </si>
  <si>
    <t>Tablica 36. Zestawienie wykonania wydatków, wydatków bieżących oraz wydatki bieżące w dziale 750 – Administracja publiczna w gminach według województw</t>
  </si>
  <si>
    <t xml:space="preserve">Wydatki ogółem </t>
  </si>
  <si>
    <t>Wydatki ogółem w dziale 750 - Administracja publiczna</t>
  </si>
  <si>
    <t>[6] : [4]</t>
  </si>
  <si>
    <t>Tablica 90. Zestawienie wykonania wydatków, wydatków bieżących oraz wydatków bieżących w dziale 750 – Administracja publiczna w poszczególnych województwach</t>
  </si>
  <si>
    <t>Tablica 6.  Dotacje celowe z budżetu państwa na dofinansowanie zadań własnych jednostek samorządu terytorialnego 
                    według województw</t>
  </si>
  <si>
    <t>Tablica 7. Dotacje celowe z budżetu państwa na finansowanie zadań realizowanych przez jednostki samorządu
                   terytorialnego na podstawie porozumień z organami administracji rządowej według województw</t>
  </si>
  <si>
    <t>Tablica 9. Dotacje celowe jednostek samorządu terytorialnego przekazane w ramach programów finansowanych z udziałem środków
                   europejskich oraz innych środków zagranicznych niepodlegających zwrotowi oraz płatności z budżetu środków
                   europejskich według działów</t>
  </si>
  <si>
    <t>Tablica 10. Dotacje celowe z budżetu państwa na zadania zlecone z zakresu administracji rządowej jednostek samorządu 
                      terytorialnego według działów</t>
  </si>
  <si>
    <t>Tablica 12. Dotacje celowe z budżetu państwa na finansowanie zadań realizowanych przez jednostki samorządu
                     terytorialnego na podstawie porozumień z organami administracji rządowej według działów</t>
  </si>
  <si>
    <t>Wskaźnik
[3]:[2]</t>
  </si>
  <si>
    <t>Źródło: Sprawozdania roczne jednostek samorządu terytorialnego z wykonania planów finansowych samorządowych zakładów budżetowych 
               za 2021 rok. (Min. Fin)</t>
  </si>
  <si>
    <t>Tablica 30. Dotacje celowe z budżetu państwa na finansowanie zadań realizowanych przez gminy na podstawie
                     porozumień z organami administracji rządowej według województw</t>
  </si>
  <si>
    <t>Tablica 31. Dotacje celowe gmin przekazane w ramach programów finansowanych z udziałem środków europejskich oraz innych
                     środków zagranicznych niepodlegających zwrotowi oraz płatności z budżetu środków europejskich według działów</t>
  </si>
  <si>
    <t>Tablica 48. Dotacje celowe z budżetu państwa na finansowanie zadań realizowanych przez powiaty na podstawie
                     porozumień z organami administracji rządowej według województw</t>
  </si>
  <si>
    <t>Tablica 49. Dotacje celowe powiatów przekazane w ramach programów finansowanych z udziałem środków europejskich oraz
                     innych środków zagranicznych niepodlegających zwrotowi oraz płatności z budżetu środków europejskich 
                     według działów</t>
  </si>
  <si>
    <t>Tablica 56. Dochody, wydatki, wynik i zobowiązania miast na prawach powiatu na 
                    1 mieszkańca według województw</t>
  </si>
  <si>
    <t>Tablica 63. Dotacje celowe z budżetu państwa na finansowanie zadań z zakresu administracji rządowej miast na prawach
                     powiatu (część gminna) według województw</t>
  </si>
  <si>
    <t>Tablica 64. Dotacje celowe z budżetu państwa na dofinansowanie zadań własnych miast na prawach powiatu
                    (część gminna) według województw</t>
  </si>
  <si>
    <t>Tablica 65. Dotacje celowe z budżetu państwa na finansowanie zadań realizowanych przez miasta na prawach
                     powiatu (część gminna) na podstawie porozumień z organami administracji rządowej według
                     województw</t>
  </si>
  <si>
    <t>Tablica 66. Dotacje celowe z budżetu państwa na finansowanie zadań z zakresu administracji rządowej miast na prawach
                     powiatu (część powiatowa) według województw</t>
  </si>
  <si>
    <t>Tablica 67. Dotacje celowe z budżetu państwa na dofinansowanie zadań własnych miast na prawach powiatu (część
                     powiatowa) według województw</t>
  </si>
  <si>
    <t>Tablica 68. Dotacje celowe z budżetu państwa na finansowanie zadań realizowanych przez miasta na prawach
                     powiatu (część powiatowa) na podstawie porozumień z organami administracji rządowej według
                     województw</t>
  </si>
  <si>
    <t>Tablica 69. Dotacje celowe miast na prawach powiatu przekazane w ramach programów finansowanych z udziałem środków
                     europejskich oraz innych środków zagranicznych niepodlegających zwrotowi oraz płatności z budżetu środków
                     europejskich według działów</t>
  </si>
  <si>
    <t>Tablica 70. Dotacje celowe z budżetu państwa na zadania zlecone z zakresu administracji rządowej miast na prawach powiatu
                     według działów</t>
  </si>
  <si>
    <t>Tablica 71. Dotacje celowe z budżetu państwa na finansowanie lub dofinansowanie zadań własnych miast na prawach powiatu 
                     według działów</t>
  </si>
  <si>
    <t xml:space="preserve">Tablica 85. Dotacje celowe z budżetu państwa na finansowanie zadań realizowanych przez województwa na
                     podstawie porozumień z organami administracji rządowej </t>
  </si>
  <si>
    <t>Tablica 86. Dotacje celowe województw przekazane w ramach programów finansowanych z udziałem środków europejskich oraz
                     innych środków zagranicznych niepodlegających zwrotowi oraz płatności z budżetu środków europejskich według
                     działów</t>
  </si>
  <si>
    <t>Plan  
2021 r.</t>
  </si>
  <si>
    <t>Cyców</t>
  </si>
  <si>
    <t>Nowiny</t>
  </si>
  <si>
    <t>Biesiekierz</t>
  </si>
  <si>
    <r>
      <t>Wykonanie 
 2021 r.</t>
    </r>
    <r>
      <rPr>
        <sz val="9"/>
        <rFont val="Arial Narrow"/>
        <family val="2"/>
        <charset val="238"/>
      </rPr>
      <t xml:space="preserve"> </t>
    </r>
  </si>
  <si>
    <t>Dynamika         
[8] : [6]</t>
  </si>
  <si>
    <t xml:space="preserve">Tablica 94. Wykaz gmin dokonujących wpłat z przeznaczeniem na część równoważącą subwencji ogólnej 
                     w 2021 roku </t>
  </si>
  <si>
    <t>Wykonanie 
 2021 r.</t>
  </si>
  <si>
    <t>Tablica 95. Wykaz powiatów dokonujących wpłat z przeznaczeniem na część równoważącą subwencji ogólnej 
                     w 2021 roku</t>
  </si>
  <si>
    <t>Dynamika         
[6] : [4]</t>
  </si>
  <si>
    <t xml:space="preserve">Tablica 96. Wykaz miast na prawach powiatu dokonujących wpłat z przeznaczeniem na część równoważącą
                     subwencji ogólnej w 2021 roku  </t>
  </si>
  <si>
    <t>Tablica 97. Wykaz województw dokonujących wpłat z przeznaczeniem na część regionalną  
                  subwencji ogólnej w 2021 roku</t>
  </si>
  <si>
    <t xml:space="preserve">Wykonanie 
 2021 r.  </t>
  </si>
  <si>
    <t>Dynamika         
[5] : [3]</t>
  </si>
  <si>
    <t>Wskaźnik 
[4] : [3]</t>
  </si>
  <si>
    <t>Dynamika 
[4] : [2]</t>
  </si>
  <si>
    <t>Źródło:  Sprawozdania z wykonania budżetów jednostek samorządu terytorialnego za 2020 r. i 2021 r.  (Min.Fin.)</t>
  </si>
  <si>
    <t>Źródło:  Sprawozdania z wykonania budżetów gmin za 2020 r. i 2021 r.  (Min.Fin.)</t>
  </si>
  <si>
    <t>Wykonanie                              2021</t>
  </si>
  <si>
    <t>Wskaźnik            [4] : [3]</t>
  </si>
  <si>
    <t>Wykonanie                   2021</t>
  </si>
  <si>
    <t>Wskaźnik                   [4] : [3]</t>
  </si>
  <si>
    <t>Źródło:  Sprawozdania z wykonania budżetów powiatów za 2020 r. i 2021 r.  (Min.Fin.)</t>
  </si>
  <si>
    <t>Źródło:  Sprawozdania z wykonania budżetów miast na prawach powiatu za 2020 r. i 2021 r.  (Min.Fin.)</t>
  </si>
  <si>
    <t>Wskaźnik
[4] : [3]</t>
  </si>
  <si>
    <t>Źródło:  Sprawozdania z wykonania budżetów województw za 2020 r. i 2021 r.  (Min.Fin.)</t>
  </si>
  <si>
    <t>Wykonanie 
2020</t>
  </si>
  <si>
    <t>Wykonanie
2021</t>
  </si>
  <si>
    <t>WYKONANIE  ZA 2021 r.</t>
  </si>
  <si>
    <t xml:space="preserve">Tablica 25. Zestawienie wykonania części oświatowej subwencji ogólnej, dotacji celowych dla gmin w dziale 801  - Oświata i wychowanie 
                      i 854 - Edukacyjna opieka wychowawcza (w układzie wojewódzkim)   </t>
  </si>
  <si>
    <t>WYKONANIE ZA 2021 r.</t>
  </si>
  <si>
    <t xml:space="preserve">Dofinansowanie z tytułu wzrostu zadań szkolnych i pozaszkolnych, polegającego na wzroście liczby uczniów przeliczeniowych w stosunku do danych przyjętych do naliczenia algorytmem części oświatowej subwencji ogólnej na 2021 rok </t>
  </si>
  <si>
    <t>Pomoc jednostkom samorządu terytorialnego w usuwaniu skutków zdarzeń losowych w budynkach szkół i placówek oświatowych publicznych, prowadzonych lub dotowanych przez jednostki samorządu terytorialnego – z wyłączeniem przedszkoli ogólnodostępnych oraz innych form wychowania przedszkolnego</t>
  </si>
  <si>
    <t>Pomoc jednostkom samorządu terytorialnego w usuwaniu skutków działania żywiołów w budynkach szkół i placówek oświatowych, publicznych prowadzonych lub dotowanych przez jednostki samorządu terytorialnego</t>
  </si>
  <si>
    <t>Dofinansowanie kosztów związanych z wypłatą odpraw dla zwalnianych nauczycieli w szkołach i placówkach oświatowych w trybie art. 20 ustawy z dnia 26 stycznia 1982 r. Karta Nauczyciela albo przechodzących na emeryturę na podstawie art. 88 ustawy - Karta Nauczyciela w związku z art. 20 ww. ustawy Karta Nauczyciela</t>
  </si>
  <si>
    <t>Dofinansowanie doposażenia publicznych szkół i placówek oświatowych, prowadzonych lub dotowanych przez jednostki samorządu terytorialnego, w zakresie pomieszczeń do nauki w nowo wybudowanych budynkach, nowych pomieszczeń do nauki pozyskanych w wyniku adaptacji oraz pomieszczeń dla szkół rozpoczynających kształcenie w nowych zawodach</t>
  </si>
  <si>
    <t>Finansowanie zajęć wspomagających uczniów w opanowaniu i utrwalaniu wiadomości i umiejętności z wybranych obowiązkowych zajęć edukacyjnych z zakresu kształcenia ogólnego oraz zajęć z języka mniejszości narodowej, języka mniejszości etnicznej i języka regionalnego</t>
  </si>
  <si>
    <t>9.</t>
  </si>
  <si>
    <t>Dofinansowanie innych zadań o jednorazowym charakterze nieuwzględnionych w części oświatowej subwencji ogólnej na rok 2021</t>
  </si>
  <si>
    <t>Tablica 27. Zestawienie środków  przekazanych gminom w roku 2021 ze środków rezerwy części oświatowej subwencji ogólnej dla jednostek
                     samorządu terytorialnego</t>
  </si>
  <si>
    <t xml:space="preserve">Wykaz tytułów stanowiących podstawę do zwiększeń jednostkom samorządu terytorialnego części oświatowej subwencji ogólnej ze środków rezerwy tej części subwencji                   </t>
  </si>
  <si>
    <t>Źródło: Sprawozdania roczne z wykonania budżetów powiatów za 2021 r. (Min.Fin.)</t>
  </si>
  <si>
    <t xml:space="preserve">Tablica 43. Zestawienie wykonania części oświatowej subwencji ogólnej, dotacji celowych powiatów w dziale 801  - Oświata i wychowanie
                      i 854 - Edukacyjna opieka wychowawcza </t>
  </si>
  <si>
    <t xml:space="preserve"> [5] : [4]</t>
  </si>
  <si>
    <t>Dofinansowanie z tytułu wzrostu zadań szkolnych i pozaszkolnych, polegającego na wzroście liczby uczniów przeliczeniowych w stosunku do danych przyjętych do naliczenia algorytmem części oświatowej subwencji ogólnej na 2021 rok</t>
  </si>
  <si>
    <t xml:space="preserve">Finansowanie zajęć wspomagających uczniów w opanowaniu i utrwalaniu wiadomości i umiejętności z wybranych obowiązkowych zajęć edukacyjnych z zakresu kształcenia ogólnego oraz zajęć z języka mniejszości narodowej, języka mniejszości etnicznej i języka regionalnego </t>
  </si>
  <si>
    <t>Tablica 45. Zestawienie środków przekazanych powiatom w roku 2021 ze środków rezerwy części oświatowej subwencji ogólnej dla jednostek samorządu
                      terytorialnego</t>
  </si>
  <si>
    <t>Źródło: Sprawozdania roczne z wykonania budżetów miast na prawach powiatu za 2021 r. (Min.Fin.)</t>
  </si>
  <si>
    <t xml:space="preserve">Tablica 60. Zestawienie wykonania części oświatowej subwencji ogólnej, dotacji celowych miast na prawach powiatu w dziale 
                     801  - Oświata i wychowanie i 854 - Edukacyjna  opieka wychowawcza </t>
  </si>
  <si>
    <t xml:space="preserve">*) Kwoty naliczone i przekazane jednostkom samorządu terytorialnego w ramach części oświatowej subwencji ogólnej na kształcenie dzieci 6-letnich na podstawie danych
 Ministerstwa Edukacji i Nauki </t>
  </si>
  <si>
    <t>Tablica 62. Zestawienie środków  przekazanych miastom na prawach powiatu w roku 2021 ze środków rezerwy części oświatowej subwencji ogólnej
                     dla jednostek samorządu terytorialnego</t>
  </si>
  <si>
    <t>Źródło: Sprawozdania roczne z wykonania budżetów województw za 2021 r. (Min.Fin.)</t>
  </si>
  <si>
    <t xml:space="preserve">*) Kwoty naliczone i przekazane jednostkom samorządu terytorialnego w ramach części oświatowej subwencji ogólnej na kształcenie dzieci 6-letnich na 
podstawie danych Ministerstwa Edukacji i Nauki </t>
  </si>
  <si>
    <t xml:space="preserve">Tablica 80. Zestawienie wykonania części oświatowej subwencji ogólnej, dotacji celowych województw w dziale 801  - Oświata 
                      i wychowanie oraz 854 - Edukacyjna opieka wychowawcza </t>
  </si>
  <si>
    <t>Tablica 82. Zestawienie środków  przekazanych województwom w roku 2021 ze środków rezerwy części oświatowej subwencji ogólnej dla jednostek 
                     samorządu terytorialnego</t>
  </si>
  <si>
    <t xml:space="preserve">*) Kwoty naliczone i przekazane jednostkom samorządu terytorialnego w ramach części oświatowej subwencji ogólnej na kształcenie dzieci 6-letnich na podstawie 
  danych Ministerstwa Edukacji i Nauki </t>
  </si>
  <si>
    <t>- środki otrzymane ze środków z Funduszu Przeciwdziałania COVID-19 (m.in.. z Rządowego Funduszu Inwestycji Lokalnych)</t>
  </si>
  <si>
    <t>Tablica 52. Zestawienie wykonania wydatków, wydatków bieżących oraz wydatków bieżących w dziale 750 – Administracja publiczna w poszczególnych powiatach</t>
  </si>
  <si>
    <t>[6] : [5]</t>
  </si>
  <si>
    <t>[7] : [5]</t>
  </si>
  <si>
    <t>[13]</t>
  </si>
  <si>
    <t>Tablica 73. Zestawienie wykonania wydatków, wydatków bieżących oraz wydatków bieżących w dziale 750 – Administracja publiczna w poszczególnych miastach na prawach powiatu</t>
  </si>
  <si>
    <t>otrzymane ze środków z Funduszu Przeciwdziałania COVID-19 (m.in.. z Rządowego Funduszu Inwestycji Lokalnych)</t>
  </si>
  <si>
    <t>Dochody bieżące 
minus 
wydatki bieżące</t>
  </si>
  <si>
    <t>UE</t>
  </si>
  <si>
    <t>WYDATKI OGÓŁEM UE
z tego:</t>
  </si>
  <si>
    <t>wydatki majątkowe</t>
  </si>
  <si>
    <t>wydatki bieżące</t>
  </si>
  <si>
    <t>niewykorzystane środki pienężne o których mowa w art.217 ust.2 pkt.8 ustawy o finansach publicznych</t>
  </si>
  <si>
    <t>Wskaźnik 
[3] : [2]</t>
  </si>
  <si>
    <t>Plan 
(po zmianach)
R1</t>
  </si>
  <si>
    <t>Dochody 
wykonane
(wpływy minus zwroty) 
R4</t>
  </si>
  <si>
    <t>Dochody 
otrzymane
R9</t>
  </si>
  <si>
    <t>Obniżenie górnych stawek podatkowych
R7</t>
  </si>
  <si>
    <t>Ulgi i zwolnienia
R8</t>
  </si>
  <si>
    <t>Umorzenie zaległości podatkowych
R11Z</t>
  </si>
  <si>
    <t>Rozłożenie na raty, odroczenie terminu płatności
R11R</t>
  </si>
  <si>
    <t>Potrącenia 
R3</t>
  </si>
  <si>
    <t>Zaangażowanie
R10</t>
  </si>
  <si>
    <t>Wydatki
 wykonane
R4</t>
  </si>
  <si>
    <t>Wydatki, które nie wygasły 
z upływem roku budżetowego) 
(art.263 ust. 2 ustawy 
o finansach publicznych) 
R9</t>
  </si>
  <si>
    <t>ogółem
R11</t>
  </si>
  <si>
    <t>powstałe w latach ubiegłych
R12U</t>
  </si>
  <si>
    <t>powstałe w roku bieżącym
R12B</t>
  </si>
  <si>
    <t>Wskaźnik 
[4] : [2]</t>
  </si>
  <si>
    <t>Plan 
(po zmianach)</t>
  </si>
  <si>
    <t>[14]</t>
  </si>
  <si>
    <t>[15]</t>
  </si>
  <si>
    <t>[16]</t>
  </si>
  <si>
    <t>[17]</t>
  </si>
  <si>
    <t>Dotacje ogółem                     z tego:</t>
  </si>
  <si>
    <t>otrzymane ze środków z Funduszu Przeciwdziałania COVID-19 (m.in. z Rządowego Funduszu Inwestycji Lokalnych)</t>
  </si>
  <si>
    <t>niewykorzystane środki pieniężne o których mowa w art..217 ust.2 pkt.8 ustawy o finansach publicznych</t>
  </si>
  <si>
    <t>Tablica 17. Informacja z wykonania budżetów gmin za 4 kwartały 2021 r.</t>
  </si>
  <si>
    <t xml:space="preserve">Wydatki ogółem UE  </t>
  </si>
  <si>
    <t xml:space="preserve">Tablica 18. Informacja z wykonania budżetów gmin miejskich za 4 kwartały 2021 r. </t>
  </si>
  <si>
    <t xml:space="preserve">Wydatki ogółem UE </t>
  </si>
  <si>
    <t>Dochody bieżące 
minus
wydatki bieżące</t>
  </si>
  <si>
    <r>
      <t>Strukt</t>
    </r>
    <r>
      <rPr>
        <b/>
        <sz val="10"/>
        <rFont val="Arial Narrow"/>
        <family val="2"/>
        <charset val="238"/>
      </rPr>
      <t xml:space="preserve">ura </t>
    </r>
  </si>
  <si>
    <t>Plan
 (po zmianach)</t>
  </si>
  <si>
    <t>Wydatki ogółem UE</t>
  </si>
  <si>
    <t>Dochody bieżące 
minus
 wydatki bieżące</t>
  </si>
  <si>
    <t>Tablica 20. Informacja z wykonania budżetów gmin miejsko - wiejskich za 4 kwartały 2021 r.</t>
  </si>
  <si>
    <t>Tablica 19. Informacja z wykonania budżetów gmin wiejskich za 4 kwartały 2021 r.</t>
  </si>
  <si>
    <t>Dotacje ogółem                        z tego:</t>
  </si>
  <si>
    <t>Tablica 38. Informacja z wykonania budżetów powiatów za 4 kwartały 2021 r.</t>
  </si>
  <si>
    <t>Dochody bieżące
 minus
 wydatki bieżące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</si>
  <si>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</si>
  <si>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</si>
  <si>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</si>
  <si>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</si>
  <si>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ogółem                      z tego:</t>
  </si>
  <si>
    <t xml:space="preserve">otrzymane ze środków z Funduszu Przeciwdziałania COVID-19 (m.in. z Rządowego Funduszu Inwestycji Lokalnych) </t>
  </si>
  <si>
    <t>w tym: inwestycyjne</t>
  </si>
  <si>
    <t>Subwencja ogólna dla powiatów z tego:</t>
  </si>
  <si>
    <t>Tablica 55. Informacja z wykonania budżetów miast na prawach powiatu za 4 kwartały 2021 r.</t>
  </si>
  <si>
    <t>WYDATKI OGÓŁEM UE</t>
  </si>
  <si>
    <t>Dochody bieżące 
minus
 Wydatki bieżące</t>
  </si>
  <si>
    <t xml:space="preserve">  ze sprzedaży papierów wartościowych</t>
  </si>
  <si>
    <t>Dotacje ogółem       z tego:</t>
  </si>
  <si>
    <t>Dotacje celowe        z tego:</t>
  </si>
  <si>
    <t xml:space="preserve">Dochody Ogółem </t>
  </si>
  <si>
    <t>bieżace</t>
  </si>
  <si>
    <t>Tablica 75. Informacja z wykonania budżetów województw za 4 kwartały 2021 r.</t>
  </si>
  <si>
    <t>Dochody bieżace
minus
 wydatki bieżące</t>
  </si>
  <si>
    <t>Wydatki Ogółem UE</t>
  </si>
  <si>
    <t>udziały w podatku dochodowym PIT (tylko w związkach metropolitalnych)</t>
  </si>
  <si>
    <t>Wpływy z wpłat gmin i powiatów na rzecz związków</t>
  </si>
  <si>
    <t>Wpływy z innych lokalnych opłat pobieranych przez j.s.t. na podstawie odrębnych ustaw</t>
  </si>
  <si>
    <t xml:space="preserve">wydatki na wynagrodzenia i pochodne od wynagrodzeń </t>
  </si>
  <si>
    <t>Tablica 92. Informacja z wykonania budżetów związków jednostek samorządu terytorialnego za 4 kwartały 2021 r.</t>
  </si>
  <si>
    <t>Tablica 1. Informacja z wykonania budżetów jednostek samorządu terytorialnego za 4 kwartały 2021 r.</t>
  </si>
  <si>
    <t>Dotacje ogółem 
z tego:</t>
  </si>
  <si>
    <t>Wykonanie
 2020</t>
  </si>
  <si>
    <t>Plan
(po zmianach) 
2021</t>
  </si>
  <si>
    <t>DOTACJE OGÓŁEM
z tego:</t>
  </si>
  <si>
    <t>DOCHODY OGÓŁEM
z tego:</t>
  </si>
  <si>
    <t>DOCHODY WŁASNE
z tego:</t>
  </si>
  <si>
    <t>Tablica 11. Dotacje celowe z budżetu państwa na finansowanie lub dofinansowanie zadań własnych jednostek samorządu
                    terytorialnego według działów</t>
  </si>
  <si>
    <t xml:space="preserve">           * wskaźnik powyżej 1000%</t>
  </si>
  <si>
    <t xml:space="preserve">         * wskaźnik powyżej 1000%</t>
  </si>
  <si>
    <t>Tablica 16. Dochody i wydatki  na rachunku, o którym mowa w art. 223 ust. 1 ustawy o finansach 
                   publicznych</t>
  </si>
  <si>
    <t>Wykonanie
2020</t>
  </si>
  <si>
    <t>Plan
(po zmianach)
2021</t>
  </si>
  <si>
    <t>Ogółem, z  tego:</t>
  </si>
  <si>
    <t>Tablica 46. Dotacje celowe z budżetu państwa na finansowanie zadań z zakresu administracji rządowej powiatów 
                     według województw</t>
  </si>
  <si>
    <t>Tablica 28. Dotacje celowe z budżetu państwa na finansowanie zadań z zakresu administracji rządowej gmin 
                     według województw</t>
  </si>
  <si>
    <t>Tablica 5. Dotacje celowe z budżetu państwa na finansowanie zadań z zakresu administracji rządowej jednostek 
                   samorządu terytorialnego według województw</t>
  </si>
  <si>
    <t>Źródło: Sprawozdania z wykonania budżetów jednostek samorządu terytorialnego za 2021 r. (Min. Fin.)</t>
  </si>
  <si>
    <t>Sprawozdania z wykonania budżetów jednostek samorządu terytorialnego za 2020 i 2021 r. (Min. Fin.).</t>
  </si>
  <si>
    <t>Źródło: Sprawozdania roczne z wykonania budżetów jednostek samorządu terytorialnego za 2020 i 2021 r. (Min. Fin.)</t>
  </si>
  <si>
    <t>Źródło:  Sprawozdania z wykonania budżetów województw za 2021 r.  (Min.Fin.)</t>
  </si>
  <si>
    <r>
      <t xml:space="preserve">wynagrodzenia i pochodne </t>
    </r>
    <r>
      <rPr>
        <b/>
        <vertAlign val="superscript"/>
        <sz val="9"/>
        <rFont val="Arial Narrow"/>
        <family val="2"/>
        <charset val="238"/>
      </rPr>
      <t>*</t>
    </r>
  </si>
  <si>
    <r>
      <t xml:space="preserve">dotacje </t>
    </r>
    <r>
      <rPr>
        <b/>
        <vertAlign val="superscript"/>
        <sz val="9"/>
        <rFont val="Arial Narrow"/>
        <family val="2"/>
        <charset val="238"/>
      </rPr>
      <t>*</t>
    </r>
  </si>
  <si>
    <r>
      <t xml:space="preserve">świadczenia dla osób fizycznych </t>
    </r>
    <r>
      <rPr>
        <b/>
        <vertAlign val="superscript"/>
        <sz val="9"/>
        <rFont val="Arial Narrow"/>
        <family val="2"/>
        <charset val="238"/>
      </rPr>
      <t>*</t>
    </r>
  </si>
  <si>
    <r>
      <rPr>
        <vertAlign val="superscript"/>
        <sz val="9"/>
        <rFont val="Arial Narrow"/>
        <family val="2"/>
        <charset val="238"/>
      </rPr>
      <t>*</t>
    </r>
    <r>
      <rPr>
        <sz val="9"/>
        <rFont val="Arial Narrow"/>
        <family val="2"/>
        <charset val="238"/>
      </rPr>
      <t xml:space="preserve"> Bez uwzględnienia wydatków realizowanych z udziałem środków zagranicznych oraz płatności z budżetu środków europejskich</t>
    </r>
  </si>
  <si>
    <t>Źródło: Sprawozdania roczne z wykonania budżetów gmin za 2021 r. (Min.Fin.)</t>
  </si>
  <si>
    <t xml:space="preserve"> [4] : [3]</t>
  </si>
  <si>
    <t xml:space="preserve"> [5] : [3]</t>
  </si>
  <si>
    <t xml:space="preserve"> [6] : [4]</t>
  </si>
  <si>
    <t>Wydatki ogółem  w dziale 801 - Oświata i wychowanie i 854 - Edukacyjna opieka wychowawcza *</t>
  </si>
  <si>
    <t xml:space="preserve">Tablica 26. Zestawienie wykonania wydatków  gmin w dziale 801  - Oświata i wychowanie i 854 
                    - Edukacyjna opieka wychowawcza (w układzie wojewódzkim) </t>
  </si>
  <si>
    <t>Wydatki ogółem w dziale 
801 - Oświata i wychowanie i 
854 - Edukacyjna opieka wychowawcza</t>
  </si>
  <si>
    <t>Tablica 44. Zestawienie wykonania wydatków powiatów w dziale 801  - Oświata i wychowanie i 854 - Edukacyjna opieka
                     wychowawcza</t>
  </si>
  <si>
    <t>Wydatki ogółem  w dziale  801 - Oświata i wychowanie i 854 - Edukacyjna opieka wychowawcza</t>
  </si>
  <si>
    <t>Tablica 61. Zestawienie wykonania wydatków powiatów w dziale 801  - Oświata i wychowanie i 854 - Edukacyjna opieka wychowawcza</t>
  </si>
  <si>
    <t>Tablica 81. Zestawienie wykonania wydatków województw w dziale 801 – Oświata i wychowanie i 854 – Edukacyjna opieka wychowawcza</t>
  </si>
  <si>
    <t>Tablica 93. Informacja z wykonania budżetów związków jednostek samorządu terytorialnego za 4 kwartały 2021 rok
                      Górnośląsko-Zagłębiowska Metropolia</t>
  </si>
  <si>
    <t>Źródło:  Sprawozdania z wykonania budżetów miast na prawach powiatu za 2021 r.  (Min.Fin.)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</si>
</sst>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0\ _z_ł_-;_-* &quot;-&quot;??\ _z_ł_-;_-@_-"/>
    <numFmt numFmtId="167" formatCode="_-* #,##0\ _z_ł_-;\-* #,##0.0\ _z_ł_-;_-* &quot;-&quot;??\ _z_ł_-;_-@_-"/>
    <numFmt numFmtId="168" formatCode="00"/>
    <numFmt numFmtId="169" formatCode="#,##0.00_ ;[Red]\-#,##0.00\ "/>
    <numFmt numFmtId="170" formatCode="#,##0.0_ ;[Red]\-#,##0.0\ "/>
    <numFmt numFmtId="171" formatCode="0.0_ ;[Red]\-0.0\ "/>
    <numFmt numFmtId="172" formatCode="_-* #,##0\ _z_ł_-;\-* #,##0\ _z_ł_-;_-* &quot;-&quot;??\ _z_ł_-;_-@_-"/>
  </numFmts>
  <fonts count="9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 CE"/>
      <charset val="238"/>
    </font>
    <font>
      <sz val="8"/>
      <color indexed="81"/>
      <name val="Tahoma"/>
      <family val="2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0"/>
      <name val="MS Sans Serif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sz val="8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539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6" borderId="0" applyNumberFormat="0" applyBorder="0" applyAlignment="0" applyProtection="0"/>
    <xf numFmtId="0" fontId="21" fillId="10" borderId="0" applyNumberFormat="0" applyBorder="0" applyAlignment="0" applyProtection="0"/>
    <xf numFmtId="0" fontId="21" fillId="3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6" borderId="1" applyNumberFormat="0" applyAlignment="0" applyProtection="0"/>
    <xf numFmtId="0" fontId="27" fillId="16" borderId="3" applyNumberFormat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1" applyNumberFormat="0" applyAlignment="0" applyProtection="0"/>
    <xf numFmtId="0" fontId="34" fillId="0" borderId="7" applyNumberFormat="0" applyFill="0" applyAlignment="0" applyProtection="0"/>
    <xf numFmtId="0" fontId="35" fillId="17" borderId="2" applyNumberFormat="0" applyAlignment="0" applyProtection="0"/>
    <xf numFmtId="0" fontId="36" fillId="0" borderId="7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8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</xf>
    <xf numFmtId="0" fontId="51" fillId="0" borderId="0"/>
    <xf numFmtId="0" fontId="64" fillId="0" borderId="0"/>
    <xf numFmtId="0" fontId="64" fillId="0" borderId="0"/>
    <xf numFmtId="0" fontId="52" fillId="0" borderId="0"/>
    <xf numFmtId="0" fontId="54" fillId="0" borderId="0"/>
    <xf numFmtId="0" fontId="64" fillId="0" borderId="0"/>
    <xf numFmtId="0" fontId="13" fillId="0" borderId="0"/>
    <xf numFmtId="0" fontId="13" fillId="0" borderId="0"/>
    <xf numFmtId="0" fontId="55" fillId="0" borderId="0"/>
    <xf numFmtId="0" fontId="56" fillId="0" borderId="0"/>
    <xf numFmtId="0" fontId="57" fillId="0" borderId="0"/>
    <xf numFmtId="0" fontId="13" fillId="0" borderId="0"/>
    <xf numFmtId="0" fontId="61" fillId="0" borderId="0"/>
    <xf numFmtId="0" fontId="7" fillId="0" borderId="0"/>
    <xf numFmtId="0" fontId="51" fillId="0" borderId="0"/>
    <xf numFmtId="0" fontId="62" fillId="0" borderId="0"/>
    <xf numFmtId="0" fontId="63" fillId="0" borderId="0"/>
    <xf numFmtId="0" fontId="7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63" fillId="0" borderId="0"/>
    <xf numFmtId="0" fontId="7" fillId="0" borderId="0"/>
    <xf numFmtId="0" fontId="6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13" fillId="0" borderId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51" fillId="4" borderId="8" applyNumberFormat="0" applyFont="0" applyAlignment="0" applyProtection="0"/>
    <xf numFmtId="0" fontId="51" fillId="4" borderId="8" applyNumberFormat="0" applyFont="0" applyAlignment="0" applyProtection="0"/>
    <xf numFmtId="0" fontId="41" fillId="16" borderId="1" applyNumberFormat="0" applyAlignment="0" applyProtection="0"/>
    <xf numFmtId="0" fontId="42" fillId="16" borderId="3" applyNumberFormat="0" applyAlignment="0" applyProtection="0"/>
    <xf numFmtId="9" fontId="52" fillId="0" borderId="0" applyFon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6" fillId="4" borderId="8" applyNumberFormat="0" applyFont="0" applyAlignment="0" applyProtection="0"/>
    <xf numFmtId="0" fontId="48" fillId="0" borderId="0" applyNumberFormat="0" applyFill="0" applyBorder="0" applyAlignment="0" applyProtection="0"/>
    <xf numFmtId="0" fontId="61" fillId="0" borderId="0"/>
    <xf numFmtId="0" fontId="51" fillId="0" borderId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8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6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68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8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8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68" fillId="41" borderId="0" applyNumberFormat="0" applyBorder="0" applyAlignment="0" applyProtection="0"/>
    <xf numFmtId="0" fontId="13" fillId="0" borderId="0"/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5" fillId="0" borderId="32" applyNumberFormat="0" applyFill="0" applyAlignment="0" applyProtection="0"/>
    <xf numFmtId="0" fontId="75" fillId="0" borderId="0" applyNumberFormat="0" applyFill="0" applyBorder="0" applyAlignment="0" applyProtection="0"/>
    <xf numFmtId="0" fontId="76" fillId="42" borderId="33" applyNumberFormat="0" applyAlignment="0" applyProtection="0"/>
    <xf numFmtId="0" fontId="77" fillId="43" borderId="34" applyNumberFormat="0" applyAlignment="0" applyProtection="0"/>
    <xf numFmtId="0" fontId="78" fillId="43" borderId="33" applyNumberFormat="0" applyAlignment="0" applyProtection="0"/>
    <xf numFmtId="0" fontId="79" fillId="0" borderId="35" applyNumberFormat="0" applyFill="0" applyAlignment="0" applyProtection="0"/>
    <xf numFmtId="0" fontId="80" fillId="44" borderId="36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38" applyNumberFormat="0" applyFill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5" fillId="0" borderId="0"/>
    <xf numFmtId="0" fontId="5" fillId="45" borderId="37" applyNumberFormat="0" applyFont="0" applyAlignment="0" applyProtection="0"/>
    <xf numFmtId="0" fontId="6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1" applyNumberFormat="0" applyAlignment="0" applyProtection="0"/>
    <xf numFmtId="0" fontId="27" fillId="16" borderId="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17" borderId="2" applyNumberFormat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</xf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41" fillId="16" borderId="1" applyNumberFormat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" fillId="4" borderId="8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5" borderId="3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45" borderId="3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45" borderId="3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45" borderId="3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45" borderId="3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4" borderId="0" applyNumberFormat="0" applyBorder="0" applyAlignment="0" applyProtection="0"/>
    <xf numFmtId="0" fontId="4" fillId="33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45" borderId="3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45" borderId="37" applyNumberFormat="0" applyFont="0" applyAlignment="0" applyProtection="0"/>
    <xf numFmtId="43" fontId="5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45" borderId="3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4" borderId="0" applyNumberFormat="0" applyBorder="0" applyAlignment="0" applyProtection="0"/>
    <xf numFmtId="0" fontId="3" fillId="33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45" borderId="3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45" borderId="3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45" borderId="3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45" borderId="3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5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5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5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45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63" fillId="0" borderId="0"/>
  </cellStyleXfs>
  <cellXfs count="2440">
    <xf numFmtId="0" fontId="0" fillId="0" borderId="0" xfId="0"/>
    <xf numFmtId="0" fontId="9" fillId="0" borderId="0" xfId="0" applyFont="1"/>
    <xf numFmtId="0" fontId="7" fillId="0" borderId="0" xfId="83"/>
    <xf numFmtId="0" fontId="7" fillId="0" borderId="0" xfId="83" applyBorder="1"/>
    <xf numFmtId="0" fontId="7" fillId="0" borderId="0" xfId="83" applyAlignment="1">
      <alignment horizontal="center"/>
    </xf>
    <xf numFmtId="0" fontId="7" fillId="0" borderId="0" xfId="77"/>
    <xf numFmtId="0" fontId="14" fillId="0" borderId="0" xfId="0" applyFont="1"/>
    <xf numFmtId="0" fontId="15" fillId="0" borderId="0" xfId="77" applyFont="1"/>
    <xf numFmtId="0" fontId="8" fillId="0" borderId="0" xfId="0" applyFont="1"/>
    <xf numFmtId="0" fontId="16" fillId="0" borderId="0" xfId="83" applyFont="1"/>
    <xf numFmtId="0" fontId="16" fillId="0" borderId="0" xfId="83" applyFont="1" applyBorder="1"/>
    <xf numFmtId="0" fontId="19" fillId="0" borderId="0" xfId="0" applyFont="1"/>
    <xf numFmtId="0" fontId="13" fillId="0" borderId="0" xfId="0" applyFont="1"/>
    <xf numFmtId="0" fontId="50" fillId="0" borderId="0" xfId="77" applyFont="1"/>
    <xf numFmtId="0" fontId="49" fillId="0" borderId="0" xfId="83" applyFont="1"/>
    <xf numFmtId="0" fontId="49" fillId="0" borderId="0" xfId="77" applyFont="1"/>
    <xf numFmtId="0" fontId="18" fillId="0" borderId="0" xfId="83" applyFont="1"/>
    <xf numFmtId="0" fontId="16" fillId="0" borderId="0" xfId="83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79"/>
    <xf numFmtId="0" fontId="13" fillId="0" borderId="0" xfId="79" applyAlignment="1">
      <alignment vertical="center"/>
    </xf>
    <xf numFmtId="0" fontId="13" fillId="0" borderId="0" xfId="78"/>
    <xf numFmtId="0" fontId="0" fillId="0" borderId="0" xfId="0" applyAlignment="1">
      <alignment vertical="center"/>
    </xf>
    <xf numFmtId="0" fontId="7" fillId="0" borderId="0" xfId="83" applyFont="1"/>
    <xf numFmtId="0" fontId="7" fillId="0" borderId="0" xfId="83" applyFont="1" applyBorder="1"/>
    <xf numFmtId="0" fontId="7" fillId="0" borderId="0" xfId="83" applyFont="1" applyAlignment="1">
      <alignment horizontal="center"/>
    </xf>
    <xf numFmtId="0" fontId="13" fillId="0" borderId="0" xfId="78" applyAlignment="1">
      <alignment vertical="center"/>
    </xf>
    <xf numFmtId="0" fontId="13" fillId="0" borderId="0" xfId="79" applyFont="1"/>
    <xf numFmtId="0" fontId="51" fillId="0" borderId="0" xfId="85"/>
    <xf numFmtId="0" fontId="13" fillId="0" borderId="0" xfId="0" applyFont="1" applyFill="1"/>
    <xf numFmtId="0" fontId="13" fillId="0" borderId="0" xfId="89" applyFill="1" applyAlignment="1">
      <alignment horizontal="center" vertical="center" wrapText="1"/>
    </xf>
    <xf numFmtId="0" fontId="10" fillId="0" borderId="0" xfId="89" applyFont="1" applyFill="1" applyAlignment="1">
      <alignment horizontal="center" vertical="center" wrapText="1"/>
    </xf>
    <xf numFmtId="0" fontId="51" fillId="0" borderId="0" xfId="74"/>
    <xf numFmtId="0" fontId="13" fillId="0" borderId="0" xfId="86" applyFont="1"/>
    <xf numFmtId="43" fontId="13" fillId="0" borderId="0" xfId="41" applyFont="1"/>
    <xf numFmtId="0" fontId="51" fillId="0" borderId="0" xfId="87"/>
    <xf numFmtId="0" fontId="51" fillId="0" borderId="0" xfId="87" applyAlignment="1">
      <alignment vertical="center"/>
    </xf>
    <xf numFmtId="0" fontId="19" fillId="0" borderId="0" xfId="85" applyFont="1"/>
    <xf numFmtId="0" fontId="13" fillId="0" borderId="0" xfId="89" applyFont="1" applyFill="1" applyAlignment="1">
      <alignment horizontal="center" vertical="center" wrapText="1"/>
    </xf>
    <xf numFmtId="0" fontId="60" fillId="0" borderId="0" xfId="60" applyFont="1"/>
    <xf numFmtId="0" fontId="19" fillId="0" borderId="0" xfId="60" applyFont="1"/>
    <xf numFmtId="0" fontId="13" fillId="0" borderId="0" xfId="71" applyFont="1" applyFill="1"/>
    <xf numFmtId="0" fontId="13" fillId="0" borderId="0" xfId="71" applyFont="1" applyFill="1" applyAlignment="1">
      <alignment vertical="center"/>
    </xf>
    <xf numFmtId="0" fontId="53" fillId="0" borderId="0" xfId="71" applyFont="1" applyFill="1" applyAlignment="1">
      <alignment vertical="center"/>
    </xf>
    <xf numFmtId="0" fontId="57" fillId="0" borderId="0" xfId="70"/>
    <xf numFmtId="0" fontId="71" fillId="0" borderId="0" xfId="70" applyFont="1" applyAlignment="1">
      <alignment horizontal="left" vertical="center"/>
    </xf>
    <xf numFmtId="169" fontId="70" fillId="0" borderId="29" xfId="70" applyNumberFormat="1" applyFont="1" applyBorder="1" applyAlignment="1">
      <alignment vertical="center"/>
    </xf>
    <xf numFmtId="169" fontId="71" fillId="0" borderId="26" xfId="70" applyNumberFormat="1" applyFont="1" applyBorder="1" applyAlignment="1">
      <alignment vertical="center"/>
    </xf>
    <xf numFmtId="169" fontId="71" fillId="0" borderId="26" xfId="128" applyNumberFormat="1" applyFont="1" applyBorder="1" applyAlignment="1">
      <alignment vertical="center"/>
    </xf>
    <xf numFmtId="170" fontId="70" fillId="0" borderId="29" xfId="128" applyNumberFormat="1" applyFont="1" applyBorder="1" applyAlignment="1">
      <alignment vertical="center"/>
    </xf>
    <xf numFmtId="169" fontId="70" fillId="0" borderId="29" xfId="128" applyNumberFormat="1" applyFont="1" applyBorder="1" applyAlignment="1">
      <alignment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84" fillId="0" borderId="26" xfId="148" applyFont="1" applyBorder="1" applyAlignment="1">
      <alignment vertical="center" wrapText="1"/>
    </xf>
    <xf numFmtId="165" fontId="71" fillId="0" borderId="27" xfId="128" applyNumberFormat="1" applyFont="1" applyBorder="1" applyAlignment="1">
      <alignment vertical="center"/>
    </xf>
    <xf numFmtId="165" fontId="71" fillId="0" borderId="26" xfId="128" applyNumberFormat="1" applyFont="1" applyBorder="1" applyAlignment="1">
      <alignment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70" applyFont="1"/>
    <xf numFmtId="169" fontId="71" fillId="0" borderId="25" xfId="70" applyNumberFormat="1" applyFont="1" applyBorder="1" applyAlignment="1">
      <alignment vertical="center"/>
    </xf>
    <xf numFmtId="0" fontId="71" fillId="0" borderId="0" xfId="70" applyFont="1" applyAlignment="1">
      <alignment horizontal="left" vertical="center"/>
    </xf>
    <xf numFmtId="165" fontId="71" fillId="0" borderId="25" xfId="70" applyNumberFormat="1" applyFont="1" applyBorder="1" applyAlignment="1">
      <alignment vertical="center"/>
    </xf>
    <xf numFmtId="169" fontId="70" fillId="0" borderId="40" xfId="70" applyNumberFormat="1" applyFont="1" applyBorder="1" applyAlignment="1">
      <alignment vertical="center"/>
    </xf>
    <xf numFmtId="165" fontId="70" fillId="0" borderId="40" xfId="70" applyNumberFormat="1" applyFont="1" applyBorder="1" applyAlignment="1">
      <alignment vertical="center"/>
    </xf>
    <xf numFmtId="169" fontId="70" fillId="0" borderId="42" xfId="70" applyNumberFormat="1" applyFont="1" applyBorder="1" applyAlignment="1">
      <alignment vertical="center"/>
    </xf>
    <xf numFmtId="169" fontId="71" fillId="0" borderId="27" xfId="70" applyNumberFormat="1" applyFont="1" applyBorder="1" applyAlignment="1">
      <alignment vertical="center"/>
    </xf>
    <xf numFmtId="0" fontId="85" fillId="0" borderId="29" xfId="148" applyFont="1" applyFill="1" applyBorder="1" applyAlignment="1">
      <alignment vertical="center" wrapText="1"/>
    </xf>
    <xf numFmtId="0" fontId="69" fillId="0" borderId="0" xfId="128" applyFont="1"/>
    <xf numFmtId="0" fontId="71" fillId="0" borderId="0" xfId="128" applyFont="1" applyAlignment="1">
      <alignment horizontal="left" vertical="center"/>
    </xf>
    <xf numFmtId="0" fontId="69" fillId="0" borderId="0" xfId="78" applyFont="1"/>
    <xf numFmtId="0" fontId="71" fillId="0" borderId="0" xfId="79" applyFont="1"/>
    <xf numFmtId="169" fontId="69" fillId="0" borderId="0" xfId="78" applyNumberFormat="1" applyFont="1"/>
    <xf numFmtId="0" fontId="71" fillId="0" borderId="0" xfId="128" applyFont="1"/>
    <xf numFmtId="0" fontId="71" fillId="0" borderId="0" xfId="128" applyFont="1" applyAlignment="1">
      <alignment horizontal="left" vertical="center"/>
    </xf>
    <xf numFmtId="165" fontId="71" fillId="0" borderId="26" xfId="128" applyNumberFormat="1" applyFont="1" applyBorder="1" applyAlignment="1">
      <alignment horizontal="center" vertical="center"/>
    </xf>
    <xf numFmtId="169" fontId="0" fillId="0" borderId="0" xfId="0" applyNumberFormat="1"/>
    <xf numFmtId="0" fontId="69" fillId="0" borderId="0" xfId="0" applyFont="1" applyAlignment="1">
      <alignment vertical="center"/>
    </xf>
    <xf numFmtId="169" fontId="71" fillId="0" borderId="0" xfId="79" applyNumberFormat="1" applyFont="1"/>
    <xf numFmtId="0" fontId="69" fillId="0" borderId="0" xfId="78" applyFont="1" applyAlignment="1">
      <alignment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86" fillId="0" borderId="0" xfId="0" applyFont="1" applyAlignment="1">
      <alignment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69" fillId="0" borderId="0" xfId="128" applyFont="1"/>
    <xf numFmtId="0" fontId="71" fillId="0" borderId="0" xfId="128" applyFont="1" applyAlignment="1">
      <alignment horizontal="left" vertical="center"/>
    </xf>
    <xf numFmtId="0" fontId="69" fillId="0" borderId="0" xfId="0" applyFont="1"/>
    <xf numFmtId="0" fontId="69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86" fillId="0" borderId="0" xfId="0" applyFont="1"/>
    <xf numFmtId="0" fontId="71" fillId="0" borderId="0" xfId="0" applyFont="1"/>
    <xf numFmtId="0" fontId="13" fillId="0" borderId="0" xfId="128"/>
    <xf numFmtId="0" fontId="71" fillId="0" borderId="0" xfId="128" applyFont="1" applyAlignment="1">
      <alignment horizontal="left" vertical="center"/>
    </xf>
    <xf numFmtId="0" fontId="69" fillId="0" borderId="0" xfId="128" applyFont="1"/>
    <xf numFmtId="0" fontId="71" fillId="0" borderId="0" xfId="128" applyFont="1" applyAlignment="1">
      <alignment horizontal="left" vertical="center"/>
    </xf>
    <xf numFmtId="170" fontId="70" fillId="0" borderId="42" xfId="128" applyNumberFormat="1" applyFont="1" applyBorder="1" applyAlignment="1">
      <alignment vertical="center"/>
    </xf>
    <xf numFmtId="170" fontId="71" fillId="0" borderId="27" xfId="128" applyNumberFormat="1" applyFont="1" applyBorder="1" applyAlignment="1">
      <alignment vertical="center"/>
    </xf>
    <xf numFmtId="170" fontId="71" fillId="0" borderId="26" xfId="128" applyNumberFormat="1" applyFont="1" applyBorder="1"/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170" fontId="71" fillId="0" borderId="29" xfId="128" applyNumberFormat="1" applyFont="1" applyBorder="1"/>
    <xf numFmtId="0" fontId="71" fillId="0" borderId="0" xfId="85" applyFont="1" applyAlignment="1">
      <alignment vertical="center"/>
    </xf>
    <xf numFmtId="0" fontId="71" fillId="0" borderId="0" xfId="128" applyFont="1" applyAlignment="1">
      <alignment horizontal="left" vertical="center"/>
    </xf>
    <xf numFmtId="0" fontId="71" fillId="0" borderId="0" xfId="128" applyFont="1" applyAlignment="1">
      <alignment horizontal="left" vertical="center"/>
    </xf>
    <xf numFmtId="165" fontId="71" fillId="0" borderId="41" xfId="128" applyNumberFormat="1" applyFont="1" applyBorder="1" applyAlignment="1">
      <alignment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169" fontId="71" fillId="0" borderId="41" xfId="128" applyNumberFormat="1" applyFont="1" applyBorder="1" applyAlignment="1">
      <alignment vertical="center"/>
    </xf>
    <xf numFmtId="165" fontId="70" fillId="0" borderId="40" xfId="128" applyNumberFormat="1" applyFont="1" applyBorder="1" applyAlignment="1">
      <alignment vertical="center"/>
    </xf>
    <xf numFmtId="169" fontId="71" fillId="0" borderId="43" xfId="128" applyNumberFormat="1" applyFont="1" applyBorder="1" applyAlignment="1">
      <alignment vertical="center"/>
    </xf>
    <xf numFmtId="0" fontId="13" fillId="0" borderId="0" xfId="128"/>
    <xf numFmtId="0" fontId="71" fillId="0" borderId="0" xfId="128" applyFont="1" applyAlignment="1">
      <alignment horizontal="left" vertical="center"/>
    </xf>
    <xf numFmtId="0" fontId="13" fillId="0" borderId="0" xfId="128"/>
    <xf numFmtId="169" fontId="71" fillId="0" borderId="25" xfId="128" applyNumberFormat="1" applyFont="1" applyBorder="1" applyAlignment="1">
      <alignment vertical="center"/>
    </xf>
    <xf numFmtId="0" fontId="71" fillId="0" borderId="0" xfId="128" applyFont="1" applyAlignment="1">
      <alignment horizontal="left" vertical="center"/>
    </xf>
    <xf numFmtId="165" fontId="71" fillId="0" borderId="25" xfId="128" applyNumberFormat="1" applyFont="1" applyBorder="1" applyAlignment="1">
      <alignment vertical="center"/>
    </xf>
    <xf numFmtId="169" fontId="70" fillId="0" borderId="40" xfId="128" applyNumberFormat="1" applyFont="1" applyBorder="1" applyAlignment="1">
      <alignment vertical="center"/>
    </xf>
    <xf numFmtId="169" fontId="70" fillId="0" borderId="42" xfId="128" applyNumberFormat="1" applyFont="1" applyBorder="1" applyAlignment="1">
      <alignment vertical="center"/>
    </xf>
    <xf numFmtId="169" fontId="71" fillId="0" borderId="27" xfId="128" applyNumberFormat="1" applyFont="1" applyBorder="1" applyAlignment="1">
      <alignment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169" fontId="71" fillId="0" borderId="42" xfId="128" applyNumberFormat="1" applyFont="1" applyBorder="1"/>
    <xf numFmtId="0" fontId="71" fillId="0" borderId="0" xfId="86" applyFont="1"/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0" fontId="71" fillId="0" borderId="0" xfId="128" applyFont="1"/>
    <xf numFmtId="0" fontId="71" fillId="0" borderId="0" xfId="128" applyFont="1" applyAlignment="1">
      <alignment horizontal="left" vertical="center"/>
    </xf>
    <xf numFmtId="170" fontId="70" fillId="0" borderId="40" xfId="128" applyNumberFormat="1" applyFont="1" applyBorder="1" applyAlignment="1">
      <alignment vertical="center"/>
    </xf>
    <xf numFmtId="170" fontId="71" fillId="0" borderId="25" xfId="128" applyNumberFormat="1" applyFont="1" applyBorder="1" applyAlignment="1">
      <alignment vertical="center"/>
    </xf>
    <xf numFmtId="169" fontId="71" fillId="0" borderId="25" xfId="128" applyNumberFormat="1" applyFont="1" applyBorder="1"/>
    <xf numFmtId="169" fontId="71" fillId="0" borderId="27" xfId="128" applyNumberFormat="1" applyFont="1" applyBorder="1"/>
    <xf numFmtId="168" fontId="71" fillId="0" borderId="40" xfId="128" applyNumberFormat="1" applyFont="1" applyBorder="1"/>
    <xf numFmtId="169" fontId="71" fillId="0" borderId="40" xfId="128" applyNumberFormat="1" applyFont="1" applyBorder="1"/>
    <xf numFmtId="0" fontId="71" fillId="0" borderId="0" xfId="0" applyFont="1" applyAlignment="1">
      <alignment vertical="center" wrapText="1"/>
    </xf>
    <xf numFmtId="0" fontId="71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169" fontId="70" fillId="0" borderId="42" xfId="0" applyNumberFormat="1" applyFont="1" applyBorder="1" applyAlignment="1">
      <alignment vertical="center"/>
    </xf>
    <xf numFmtId="169" fontId="70" fillId="0" borderId="40" xfId="0" applyNumberFormat="1" applyFont="1" applyBorder="1" applyAlignment="1">
      <alignment vertical="center"/>
    </xf>
    <xf numFmtId="165" fontId="70" fillId="0" borderId="40" xfId="0" applyNumberFormat="1" applyFont="1" applyBorder="1" applyAlignment="1">
      <alignment vertical="center"/>
    </xf>
    <xf numFmtId="169" fontId="71" fillId="0" borderId="27" xfId="0" applyNumberFormat="1" applyFont="1" applyBorder="1" applyAlignment="1">
      <alignment vertical="center"/>
    </xf>
    <xf numFmtId="169" fontId="71" fillId="0" borderId="25" xfId="0" applyNumberFormat="1" applyFont="1" applyBorder="1" applyAlignment="1">
      <alignment vertical="center"/>
    </xf>
    <xf numFmtId="165" fontId="71" fillId="0" borderId="25" xfId="0" applyNumberFormat="1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0" fontId="70" fillId="0" borderId="40" xfId="0" applyFont="1" applyBorder="1" applyAlignment="1">
      <alignment vertical="center"/>
    </xf>
    <xf numFmtId="0" fontId="71" fillId="0" borderId="25" xfId="0" applyFont="1" applyBorder="1" applyAlignment="1">
      <alignment vertical="center"/>
    </xf>
    <xf numFmtId="171" fontId="70" fillId="0" borderId="29" xfId="0" applyNumberFormat="1" applyFont="1" applyBorder="1" applyAlignment="1">
      <alignment vertical="center"/>
    </xf>
    <xf numFmtId="171" fontId="71" fillId="0" borderId="26" xfId="0" applyNumberFormat="1" applyFont="1" applyBorder="1" applyAlignment="1">
      <alignment vertical="center"/>
    </xf>
    <xf numFmtId="0" fontId="71" fillId="0" borderId="26" xfId="0" applyFont="1" applyBorder="1" applyAlignment="1">
      <alignment vertical="center"/>
    </xf>
    <xf numFmtId="165" fontId="70" fillId="0" borderId="49" xfId="0" applyNumberFormat="1" applyFont="1" applyBorder="1" applyAlignment="1">
      <alignment vertical="center"/>
    </xf>
    <xf numFmtId="165" fontId="71" fillId="0" borderId="50" xfId="0" applyNumberFormat="1" applyFont="1" applyBorder="1" applyAlignment="1">
      <alignment vertical="center"/>
    </xf>
    <xf numFmtId="0" fontId="71" fillId="0" borderId="0" xfId="74" applyFont="1" applyBorder="1" applyAlignment="1">
      <alignment horizontal="centerContinuous" vertical="center"/>
    </xf>
    <xf numFmtId="166" fontId="71" fillId="0" borderId="0" xfId="74" applyNumberFormat="1" applyFont="1" applyAlignment="1">
      <alignment horizontal="left"/>
    </xf>
    <xf numFmtId="0" fontId="71" fillId="0" borderId="0" xfId="74" applyFont="1"/>
    <xf numFmtId="0" fontId="71" fillId="0" borderId="0" xfId="74" applyFont="1" applyAlignment="1">
      <alignment vertical="center"/>
    </xf>
    <xf numFmtId="1" fontId="71" fillId="20" borderId="0" xfId="105" applyNumberFormat="1" applyFont="1" applyFill="1" applyBorder="1" applyAlignment="1">
      <alignment horizontal="center"/>
    </xf>
    <xf numFmtId="1" fontId="71" fillId="20" borderId="0" xfId="105" applyNumberFormat="1" applyFont="1" applyFill="1" applyBorder="1"/>
    <xf numFmtId="4" fontId="71" fillId="20" borderId="0" xfId="105" applyNumberFormat="1" applyFont="1" applyFill="1" applyBorder="1"/>
    <xf numFmtId="0" fontId="71" fillId="20" borderId="0" xfId="105" applyFont="1" applyFill="1" applyBorder="1"/>
    <xf numFmtId="0" fontId="71" fillId="0" borderId="0" xfId="105" applyFont="1" applyBorder="1"/>
    <xf numFmtId="0" fontId="71" fillId="0" borderId="0" xfId="105" applyFont="1" applyFill="1" applyBorder="1"/>
    <xf numFmtId="0" fontId="92" fillId="20" borderId="0" xfId="105" applyFont="1" applyFill="1" applyBorder="1"/>
    <xf numFmtId="1" fontId="71" fillId="0" borderId="0" xfId="105" applyNumberFormat="1" applyFont="1" applyBorder="1" applyAlignment="1">
      <alignment horizontal="center"/>
    </xf>
    <xf numFmtId="1" fontId="71" fillId="0" borderId="0" xfId="105" applyNumberFormat="1" applyFont="1" applyBorder="1"/>
    <xf numFmtId="4" fontId="71" fillId="0" borderId="0" xfId="105" applyNumberFormat="1" applyFont="1" applyBorder="1"/>
    <xf numFmtId="0" fontId="71" fillId="19" borderId="0" xfId="105" applyFont="1" applyFill="1" applyBorder="1"/>
    <xf numFmtId="0" fontId="71" fillId="20" borderId="0" xfId="105" applyFont="1" applyFill="1"/>
    <xf numFmtId="0" fontId="71" fillId="19" borderId="0" xfId="105" applyFont="1" applyFill="1"/>
    <xf numFmtId="0" fontId="71" fillId="0" borderId="0" xfId="105" applyFont="1"/>
    <xf numFmtId="0" fontId="71" fillId="0" borderId="0" xfId="105" applyFont="1" applyAlignment="1">
      <alignment horizontal="center"/>
    </xf>
    <xf numFmtId="0" fontId="71" fillId="20" borderId="0" xfId="105" applyFont="1" applyFill="1" applyAlignment="1">
      <alignment horizontal="center"/>
    </xf>
    <xf numFmtId="3" fontId="71" fillId="0" borderId="0" xfId="105" applyNumberFormat="1" applyFont="1"/>
    <xf numFmtId="0" fontId="71" fillId="0" borderId="0" xfId="105" applyFont="1" applyAlignment="1">
      <alignment wrapText="1"/>
    </xf>
    <xf numFmtId="0" fontId="71" fillId="0" borderId="0" xfId="105" applyFont="1" applyAlignment="1">
      <alignment horizontal="right"/>
    </xf>
    <xf numFmtId="0" fontId="71" fillId="19" borderId="0" xfId="105" applyFont="1" applyFill="1" applyAlignment="1">
      <alignment horizontal="center"/>
    </xf>
    <xf numFmtId="4" fontId="71" fillId="0" borderId="0" xfId="105" applyNumberFormat="1" applyFont="1"/>
    <xf numFmtId="4" fontId="71" fillId="0" borderId="0" xfId="106" applyNumberFormat="1" applyFont="1" applyBorder="1" applyAlignment="1">
      <alignment horizontal="right" vertical="top" wrapText="1"/>
    </xf>
    <xf numFmtId="0" fontId="71" fillId="0" borderId="0" xfId="105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 wrapText="1"/>
    </xf>
    <xf numFmtId="0" fontId="71" fillId="0" borderId="0" xfId="85" applyFont="1"/>
    <xf numFmtId="0" fontId="71" fillId="0" borderId="0" xfId="64" applyFont="1"/>
    <xf numFmtId="4" fontId="71" fillId="0" borderId="0" xfId="64" applyNumberFormat="1" applyFont="1"/>
    <xf numFmtId="164" fontId="71" fillId="0" borderId="0" xfId="64" applyNumberFormat="1" applyFont="1"/>
    <xf numFmtId="0" fontId="71" fillId="0" borderId="0" xfId="64" applyFont="1" applyAlignment="1">
      <alignment horizontal="left" vertical="center"/>
    </xf>
    <xf numFmtId="0" fontId="70" fillId="0" borderId="53" xfId="150" applyFont="1" applyBorder="1" applyAlignment="1">
      <alignment horizontal="center" vertical="center" wrapText="1"/>
    </xf>
    <xf numFmtId="0" fontId="70" fillId="0" borderId="54" xfId="150" applyFont="1" applyBorder="1" applyAlignment="1">
      <alignment horizontal="center" vertical="center" wrapText="1"/>
    </xf>
    <xf numFmtId="0" fontId="70" fillId="0" borderId="49" xfId="128" applyFont="1" applyBorder="1" applyAlignment="1">
      <alignment vertical="center"/>
    </xf>
    <xf numFmtId="170" fontId="70" fillId="0" borderId="56" xfId="128" applyNumberFormat="1" applyFont="1" applyBorder="1" applyAlignment="1">
      <alignment vertical="center"/>
    </xf>
    <xf numFmtId="0" fontId="71" fillId="0" borderId="50" xfId="128" applyFont="1" applyBorder="1" applyAlignment="1">
      <alignment horizontal="center" vertical="center"/>
    </xf>
    <xf numFmtId="170" fontId="71" fillId="0" borderId="57" xfId="128" applyNumberFormat="1" applyFont="1" applyBorder="1" applyAlignment="1">
      <alignment vertical="center"/>
    </xf>
    <xf numFmtId="0" fontId="71" fillId="0" borderId="58" xfId="128" applyFont="1" applyBorder="1" applyAlignment="1">
      <alignment horizontal="center" vertical="center"/>
    </xf>
    <xf numFmtId="170" fontId="71" fillId="0" borderId="43" xfId="128" applyNumberFormat="1" applyFont="1" applyBorder="1" applyAlignment="1">
      <alignment vertical="center"/>
    </xf>
    <xf numFmtId="170" fontId="71" fillId="0" borderId="41" xfId="128" applyNumberFormat="1" applyFont="1" applyBorder="1" applyAlignment="1">
      <alignment vertical="center"/>
    </xf>
    <xf numFmtId="170" fontId="71" fillId="0" borderId="59" xfId="128" applyNumberFormat="1" applyFont="1" applyBorder="1" applyAlignment="1">
      <alignment vertical="center"/>
    </xf>
    <xf numFmtId="0" fontId="90" fillId="0" borderId="60" xfId="128" applyFont="1" applyBorder="1" applyAlignment="1">
      <alignment horizontal="center" vertical="center"/>
    </xf>
    <xf numFmtId="0" fontId="90" fillId="0" borderId="61" xfId="128" applyFont="1" applyBorder="1" applyAlignment="1">
      <alignment horizontal="center" vertical="center"/>
    </xf>
    <xf numFmtId="0" fontId="90" fillId="0" borderId="62" xfId="128" applyFont="1" applyBorder="1" applyAlignment="1">
      <alignment horizontal="center" vertical="center"/>
    </xf>
    <xf numFmtId="0" fontId="90" fillId="0" borderId="63" xfId="128" applyFont="1" applyBorder="1" applyAlignment="1">
      <alignment horizontal="center" vertical="center"/>
    </xf>
    <xf numFmtId="0" fontId="70" fillId="0" borderId="52" xfId="150" applyFont="1" applyBorder="1" applyAlignment="1">
      <alignment horizontal="center" vertical="center" wrapText="1"/>
    </xf>
    <xf numFmtId="0" fontId="90" fillId="0" borderId="68" xfId="128" applyFont="1" applyBorder="1" applyAlignment="1">
      <alignment horizontal="center" vertical="center" wrapText="1"/>
    </xf>
    <xf numFmtId="0" fontId="70" fillId="0" borderId="29" xfId="128" applyFont="1" applyBorder="1" applyAlignment="1">
      <alignment vertical="center"/>
    </xf>
    <xf numFmtId="0" fontId="71" fillId="0" borderId="26" xfId="128" applyFont="1" applyBorder="1" applyAlignment="1">
      <alignment vertical="center"/>
    </xf>
    <xf numFmtId="0" fontId="71" fillId="0" borderId="44" xfId="128" applyFont="1" applyBorder="1" applyAlignment="1">
      <alignment vertical="center"/>
    </xf>
    <xf numFmtId="0" fontId="70" fillId="0" borderId="69" xfId="150" applyFont="1" applyBorder="1" applyAlignment="1">
      <alignment horizontal="center" vertical="center" wrapText="1"/>
    </xf>
    <xf numFmtId="0" fontId="90" fillId="0" borderId="10" xfId="128" applyFont="1" applyBorder="1" applyAlignment="1">
      <alignment horizontal="center" vertical="center"/>
    </xf>
    <xf numFmtId="3" fontId="70" fillId="0" borderId="70" xfId="128" applyNumberFormat="1" applyFont="1" applyBorder="1" applyAlignment="1">
      <alignment vertical="center"/>
    </xf>
    <xf numFmtId="3" fontId="71" fillId="0" borderId="71" xfId="128" applyNumberFormat="1" applyFont="1" applyBorder="1" applyAlignment="1">
      <alignment vertical="center"/>
    </xf>
    <xf numFmtId="3" fontId="71" fillId="0" borderId="72" xfId="128" applyNumberFormat="1" applyFont="1" applyBorder="1" applyAlignment="1">
      <alignment vertical="center"/>
    </xf>
    <xf numFmtId="4" fontId="88" fillId="0" borderId="25" xfId="0" applyNumberFormat="1" applyFont="1" applyFill="1" applyBorder="1" applyAlignment="1">
      <alignment horizontal="right" vertical="center"/>
    </xf>
    <xf numFmtId="164" fontId="70" fillId="0" borderId="25" xfId="64" applyNumberFormat="1" applyFont="1" applyBorder="1" applyAlignment="1">
      <alignment horizontal="right" vertical="center" wrapText="1" indent="1"/>
    </xf>
    <xf numFmtId="164" fontId="70" fillId="0" borderId="57" xfId="64" applyNumberFormat="1" applyFont="1" applyBorder="1" applyAlignment="1">
      <alignment horizontal="right" vertical="center" wrapText="1" indent="1"/>
    </xf>
    <xf numFmtId="4" fontId="87" fillId="0" borderId="25" xfId="0" applyNumberFormat="1" applyFont="1" applyFill="1" applyBorder="1" applyAlignment="1">
      <alignment horizontal="right" vertical="center"/>
    </xf>
    <xf numFmtId="164" fontId="71" fillId="0" borderId="25" xfId="64" applyNumberFormat="1" applyFont="1" applyBorder="1" applyAlignment="1">
      <alignment horizontal="right" vertical="center" wrapText="1" indent="1"/>
    </xf>
    <xf numFmtId="164" fontId="71" fillId="0" borderId="57" xfId="64" applyNumberFormat="1" applyFont="1" applyBorder="1" applyAlignment="1">
      <alignment horizontal="right" vertical="center" wrapText="1" indent="1"/>
    </xf>
    <xf numFmtId="4" fontId="71" fillId="0" borderId="25" xfId="64" applyNumberFormat="1" applyFont="1" applyFill="1" applyBorder="1" applyAlignment="1">
      <alignment horizontal="right" vertical="center" wrapText="1" indent="1"/>
    </xf>
    <xf numFmtId="4" fontId="88" fillId="0" borderId="41" xfId="0" applyNumberFormat="1" applyFont="1" applyFill="1" applyBorder="1" applyAlignment="1">
      <alignment horizontal="right" vertical="center"/>
    </xf>
    <xf numFmtId="164" fontId="70" fillId="0" borderId="41" xfId="64" applyNumberFormat="1" applyFont="1" applyBorder="1" applyAlignment="1">
      <alignment horizontal="right" vertical="center" wrapText="1" indent="1"/>
    </xf>
    <xf numFmtId="164" fontId="70" fillId="0" borderId="59" xfId="64" applyNumberFormat="1" applyFont="1" applyBorder="1" applyAlignment="1">
      <alignment horizontal="right" vertical="center" wrapText="1" indent="1"/>
    </xf>
    <xf numFmtId="4" fontId="88" fillId="0" borderId="40" xfId="0" applyNumberFormat="1" applyFont="1" applyFill="1" applyBorder="1" applyAlignment="1">
      <alignment horizontal="right" vertical="center"/>
    </xf>
    <xf numFmtId="164" fontId="70" fillId="0" borderId="40" xfId="64" applyNumberFormat="1" applyFont="1" applyBorder="1" applyAlignment="1">
      <alignment horizontal="right" vertical="center" wrapText="1" indent="1"/>
    </xf>
    <xf numFmtId="164" fontId="70" fillId="0" borderId="56" xfId="64" applyNumberFormat="1" applyFont="1" applyBorder="1" applyAlignment="1">
      <alignment horizontal="right" vertical="center" wrapText="1" indent="1"/>
    </xf>
    <xf numFmtId="4" fontId="88" fillId="0" borderId="42" xfId="0" applyNumberFormat="1" applyFont="1" applyFill="1" applyBorder="1" applyAlignment="1">
      <alignment horizontal="right" vertical="center"/>
    </xf>
    <xf numFmtId="4" fontId="88" fillId="0" borderId="27" xfId="0" applyNumberFormat="1" applyFont="1" applyFill="1" applyBorder="1" applyAlignment="1">
      <alignment horizontal="right" vertical="center"/>
    </xf>
    <xf numFmtId="4" fontId="87" fillId="0" borderId="27" xfId="0" applyNumberFormat="1" applyFont="1" applyFill="1" applyBorder="1" applyAlignment="1">
      <alignment horizontal="right" vertical="center"/>
    </xf>
    <xf numFmtId="4" fontId="88" fillId="0" borderId="43" xfId="0" applyNumberFormat="1" applyFont="1" applyFill="1" applyBorder="1" applyAlignment="1">
      <alignment horizontal="right" vertical="center"/>
    </xf>
    <xf numFmtId="0" fontId="70" fillId="0" borderId="70" xfId="64" applyFont="1" applyBorder="1" applyAlignment="1">
      <alignment horizontal="left" wrapText="1"/>
    </xf>
    <xf numFmtId="0" fontId="70" fillId="0" borderId="71" xfId="64" applyFont="1" applyBorder="1" applyAlignment="1">
      <alignment horizontal="left" wrapText="1"/>
    </xf>
    <xf numFmtId="0" fontId="71" fillId="0" borderId="71" xfId="64" applyFont="1" applyBorder="1" applyAlignment="1">
      <alignment horizontal="left" wrapText="1" indent="1"/>
    </xf>
    <xf numFmtId="0" fontId="71" fillId="0" borderId="71" xfId="64" applyFont="1" applyBorder="1" applyAlignment="1">
      <alignment horizontal="left" vertical="center" wrapText="1" indent="1"/>
    </xf>
    <xf numFmtId="0" fontId="70" fillId="0" borderId="72" xfId="64" applyFont="1" applyBorder="1" applyAlignment="1">
      <alignment horizontal="left" vertical="center" wrapText="1"/>
    </xf>
    <xf numFmtId="0" fontId="90" fillId="0" borderId="10" xfId="64" applyFont="1" applyBorder="1" applyAlignment="1">
      <alignment horizontal="center" vertical="center" wrapText="1"/>
    </xf>
    <xf numFmtId="0" fontId="90" fillId="0" borderId="61" xfId="64" applyFont="1" applyBorder="1" applyAlignment="1">
      <alignment horizontal="center" vertical="center" wrapText="1"/>
    </xf>
    <xf numFmtId="0" fontId="90" fillId="0" borderId="62" xfId="64" applyFont="1" applyBorder="1" applyAlignment="1">
      <alignment horizontal="center" vertical="center" wrapText="1"/>
    </xf>
    <xf numFmtId="0" fontId="90" fillId="0" borderId="63" xfId="64" applyFont="1" applyBorder="1" applyAlignment="1">
      <alignment horizontal="center" vertical="center" wrapText="1"/>
    </xf>
    <xf numFmtId="0" fontId="90" fillId="0" borderId="68" xfId="64" applyFont="1" applyBorder="1" applyAlignment="1">
      <alignment horizontal="center" vertical="center" wrapText="1"/>
    </xf>
    <xf numFmtId="4" fontId="88" fillId="0" borderId="29" xfId="0" applyNumberFormat="1" applyFont="1" applyFill="1" applyBorder="1" applyAlignment="1">
      <alignment horizontal="right" vertical="center"/>
    </xf>
    <xf numFmtId="4" fontId="88" fillId="0" borderId="26" xfId="0" applyNumberFormat="1" applyFont="1" applyFill="1" applyBorder="1" applyAlignment="1">
      <alignment horizontal="right" vertical="center"/>
    </xf>
    <xf numFmtId="4" fontId="87" fillId="0" borderId="26" xfId="0" applyNumberFormat="1" applyFont="1" applyFill="1" applyBorder="1" applyAlignment="1">
      <alignment horizontal="right" vertical="center"/>
    </xf>
    <xf numFmtId="4" fontId="71" fillId="0" borderId="26" xfId="64" applyNumberFormat="1" applyFont="1" applyFill="1" applyBorder="1" applyAlignment="1">
      <alignment horizontal="right" vertical="center" wrapText="1" indent="1"/>
    </xf>
    <xf numFmtId="4" fontId="88" fillId="0" borderId="44" xfId="0" applyNumberFormat="1" applyFont="1" applyFill="1" applyBorder="1" applyAlignment="1">
      <alignment horizontal="right" vertical="center"/>
    </xf>
    <xf numFmtId="0" fontId="90" fillId="0" borderId="60" xfId="64" applyFont="1" applyBorder="1" applyAlignment="1">
      <alignment horizontal="center" vertical="center" wrapText="1"/>
    </xf>
    <xf numFmtId="164" fontId="70" fillId="0" borderId="49" xfId="64" applyNumberFormat="1" applyFont="1" applyBorder="1" applyAlignment="1">
      <alignment horizontal="right" vertical="center" wrapText="1" indent="1"/>
    </xf>
    <xf numFmtId="164" fontId="70" fillId="0" borderId="50" xfId="64" applyNumberFormat="1" applyFont="1" applyBorder="1" applyAlignment="1">
      <alignment horizontal="right" vertical="center" wrapText="1" indent="1"/>
    </xf>
    <xf numFmtId="164" fontId="71" fillId="0" borderId="50" xfId="64" applyNumberFormat="1" applyFont="1" applyBorder="1" applyAlignment="1">
      <alignment horizontal="right" vertical="center" wrapText="1" indent="1"/>
    </xf>
    <xf numFmtId="164" fontId="70" fillId="0" borderId="58" xfId="64" applyNumberFormat="1" applyFont="1" applyBorder="1" applyAlignment="1">
      <alignment horizontal="right" vertical="center" wrapText="1" indent="1"/>
    </xf>
    <xf numFmtId="0" fontId="71" fillId="0" borderId="50" xfId="70" applyFont="1" applyBorder="1" applyAlignment="1">
      <alignment horizontal="center" vertical="center"/>
    </xf>
    <xf numFmtId="0" fontId="71" fillId="0" borderId="58" xfId="70" applyFont="1" applyBorder="1" applyAlignment="1">
      <alignment horizontal="center" vertical="center"/>
    </xf>
    <xf numFmtId="169" fontId="71" fillId="0" borderId="43" xfId="70" applyNumberFormat="1" applyFont="1" applyBorder="1" applyAlignment="1">
      <alignment vertical="center"/>
    </xf>
    <xf numFmtId="169" fontId="71" fillId="0" borderId="41" xfId="70" applyNumberFormat="1" applyFont="1" applyBorder="1" applyAlignment="1">
      <alignment vertical="center"/>
    </xf>
    <xf numFmtId="169" fontId="71" fillId="0" borderId="44" xfId="70" applyNumberFormat="1" applyFont="1" applyBorder="1" applyAlignment="1">
      <alignment vertical="center"/>
    </xf>
    <xf numFmtId="0" fontId="84" fillId="0" borderId="44" xfId="148" applyFont="1" applyBorder="1" applyAlignment="1">
      <alignment vertical="center" wrapText="1"/>
    </xf>
    <xf numFmtId="0" fontId="70" fillId="0" borderId="82" xfId="70" applyFont="1" applyBorder="1" applyAlignment="1">
      <alignment horizontal="center" vertical="center"/>
    </xf>
    <xf numFmtId="169" fontId="70" fillId="0" borderId="49" xfId="70" applyNumberFormat="1" applyFont="1" applyBorder="1" applyAlignment="1">
      <alignment vertical="center"/>
    </xf>
    <xf numFmtId="169" fontId="70" fillId="0" borderId="56" xfId="70" applyNumberFormat="1" applyFont="1" applyBorder="1" applyAlignment="1">
      <alignment vertical="center"/>
    </xf>
    <xf numFmtId="169" fontId="71" fillId="0" borderId="50" xfId="70" applyNumberFormat="1" applyFont="1" applyBorder="1" applyAlignment="1">
      <alignment vertical="center"/>
    </xf>
    <xf numFmtId="169" fontId="71" fillId="0" borderId="57" xfId="70" applyNumberFormat="1" applyFont="1" applyBorder="1" applyAlignment="1">
      <alignment vertical="center"/>
    </xf>
    <xf numFmtId="169" fontId="71" fillId="0" borderId="58" xfId="70" applyNumberFormat="1" applyFont="1" applyBorder="1" applyAlignment="1">
      <alignment vertical="center"/>
    </xf>
    <xf numFmtId="169" fontId="71" fillId="0" borderId="59" xfId="70" applyNumberFormat="1" applyFont="1" applyBorder="1" applyAlignment="1">
      <alignment vertical="center"/>
    </xf>
    <xf numFmtId="0" fontId="90" fillId="0" borderId="60" xfId="70" applyFont="1" applyBorder="1" applyAlignment="1">
      <alignment horizontal="center" vertical="center"/>
    </xf>
    <xf numFmtId="0" fontId="90" fillId="0" borderId="68" xfId="70" applyFont="1" applyBorder="1" applyAlignment="1">
      <alignment horizontal="center" vertical="center" wrapText="1"/>
    </xf>
    <xf numFmtId="0" fontId="90" fillId="0" borderId="62" xfId="70" applyFont="1" applyBorder="1" applyAlignment="1">
      <alignment horizontal="center" vertical="center"/>
    </xf>
    <xf numFmtId="0" fontId="90" fillId="0" borderId="63" xfId="70" applyFont="1" applyBorder="1" applyAlignment="1">
      <alignment horizontal="center" vertical="center"/>
    </xf>
    <xf numFmtId="0" fontId="90" fillId="0" borderId="61" xfId="70" applyFont="1" applyBorder="1" applyAlignment="1">
      <alignment horizontal="center" vertical="center"/>
    </xf>
    <xf numFmtId="0" fontId="70" fillId="0" borderId="83" xfId="70" applyFont="1" applyBorder="1" applyAlignment="1">
      <alignment horizontal="center" vertical="center"/>
    </xf>
    <xf numFmtId="0" fontId="70" fillId="0" borderId="85" xfId="70" applyFont="1" applyBorder="1" applyAlignment="1">
      <alignment horizontal="center" vertical="center"/>
    </xf>
    <xf numFmtId="0" fontId="70" fillId="0" borderId="43" xfId="70" applyFont="1" applyBorder="1" applyAlignment="1">
      <alignment horizontal="center" vertical="center"/>
    </xf>
    <xf numFmtId="0" fontId="70" fillId="0" borderId="59" xfId="70" applyFont="1" applyBorder="1" applyAlignment="1">
      <alignment horizontal="center" vertical="center"/>
    </xf>
    <xf numFmtId="165" fontId="70" fillId="0" borderId="52" xfId="70" applyNumberFormat="1" applyFont="1" applyBorder="1" applyAlignment="1">
      <alignment vertical="center"/>
    </xf>
    <xf numFmtId="164" fontId="70" fillId="0" borderId="53" xfId="0" applyNumberFormat="1" applyFont="1" applyBorder="1" applyAlignment="1">
      <alignment vertical="center"/>
    </xf>
    <xf numFmtId="165" fontId="70" fillId="0" borderId="54" xfId="70" applyNumberFormat="1" applyFont="1" applyBorder="1" applyAlignment="1">
      <alignment vertical="center"/>
    </xf>
    <xf numFmtId="165" fontId="71" fillId="0" borderId="50" xfId="70" applyNumberFormat="1" applyFont="1" applyBorder="1" applyAlignment="1">
      <alignment vertical="center"/>
    </xf>
    <xf numFmtId="164" fontId="71" fillId="0" borderId="25" xfId="0" applyNumberFormat="1" applyFont="1" applyBorder="1" applyAlignment="1">
      <alignment vertical="center"/>
    </xf>
    <xf numFmtId="165" fontId="71" fillId="0" borderId="58" xfId="70" applyNumberFormat="1" applyFont="1" applyBorder="1" applyAlignment="1">
      <alignment vertical="center"/>
    </xf>
    <xf numFmtId="164" fontId="71" fillId="0" borderId="41" xfId="0" applyNumberFormat="1" applyFont="1" applyBorder="1" applyAlignment="1">
      <alignment vertical="center"/>
    </xf>
    <xf numFmtId="0" fontId="70" fillId="0" borderId="80" xfId="169" applyFont="1" applyBorder="1" applyAlignment="1">
      <alignment horizontal="center" vertical="center" wrapText="1"/>
    </xf>
    <xf numFmtId="0" fontId="70" fillId="0" borderId="53" xfId="169" applyFont="1" applyBorder="1" applyAlignment="1">
      <alignment horizontal="center" vertical="center" wrapText="1"/>
    </xf>
    <xf numFmtId="169" fontId="71" fillId="0" borderId="44" xfId="128" applyNumberFormat="1" applyFont="1" applyBorder="1" applyAlignment="1">
      <alignment vertical="center"/>
    </xf>
    <xf numFmtId="0" fontId="71" fillId="0" borderId="85" xfId="150" applyFont="1" applyBorder="1" applyAlignment="1">
      <alignment horizontal="center"/>
    </xf>
    <xf numFmtId="0" fontId="90" fillId="0" borderId="68" xfId="128" applyFont="1" applyBorder="1" applyAlignment="1">
      <alignment horizontal="center" vertical="center"/>
    </xf>
    <xf numFmtId="0" fontId="70" fillId="0" borderId="79" xfId="169" applyFont="1" applyBorder="1" applyAlignment="1">
      <alignment horizontal="center" vertical="center" wrapText="1"/>
    </xf>
    <xf numFmtId="0" fontId="70" fillId="0" borderId="83" xfId="169" applyFont="1" applyBorder="1" applyAlignment="1">
      <alignment horizontal="center" vertical="center" wrapText="1"/>
    </xf>
    <xf numFmtId="0" fontId="70" fillId="0" borderId="41" xfId="169" applyFont="1" applyBorder="1" applyAlignment="1">
      <alignment horizontal="center" vertical="center" wrapText="1"/>
    </xf>
    <xf numFmtId="0" fontId="70" fillId="0" borderId="44" xfId="169" applyFont="1" applyBorder="1" applyAlignment="1">
      <alignment horizontal="center" vertical="center" wrapText="1"/>
    </xf>
    <xf numFmtId="165" fontId="70" fillId="0" borderId="42" xfId="128" applyNumberFormat="1" applyFont="1" applyBorder="1" applyAlignment="1">
      <alignment vertical="center"/>
    </xf>
    <xf numFmtId="165" fontId="71" fillId="0" borderId="43" xfId="128" applyNumberFormat="1" applyFont="1" applyBorder="1" applyAlignment="1">
      <alignment vertical="center"/>
    </xf>
    <xf numFmtId="0" fontId="70" fillId="0" borderId="59" xfId="169" applyFont="1" applyBorder="1" applyAlignment="1">
      <alignment horizontal="center" vertical="center" wrapText="1"/>
    </xf>
    <xf numFmtId="169" fontId="70" fillId="0" borderId="49" xfId="128" applyNumberFormat="1" applyFont="1" applyBorder="1" applyAlignment="1">
      <alignment vertical="center"/>
    </xf>
    <xf numFmtId="169" fontId="70" fillId="0" borderId="56" xfId="128" applyNumberFormat="1" applyFont="1" applyBorder="1" applyAlignment="1">
      <alignment vertical="center"/>
    </xf>
    <xf numFmtId="169" fontId="71" fillId="0" borderId="50" xfId="128" applyNumberFormat="1" applyFont="1" applyBorder="1" applyAlignment="1">
      <alignment vertical="center"/>
    </xf>
    <xf numFmtId="169" fontId="71" fillId="0" borderId="57" xfId="128" applyNumberFormat="1" applyFont="1" applyBorder="1" applyAlignment="1">
      <alignment vertical="center"/>
    </xf>
    <xf numFmtId="169" fontId="71" fillId="0" borderId="58" xfId="128" applyNumberFormat="1" applyFont="1" applyBorder="1" applyAlignment="1">
      <alignment vertical="center"/>
    </xf>
    <xf numFmtId="169" fontId="71" fillId="0" borderId="59" xfId="128" applyNumberFormat="1" applyFont="1" applyBorder="1" applyAlignment="1">
      <alignment vertical="center"/>
    </xf>
    <xf numFmtId="4" fontId="71" fillId="0" borderId="27" xfId="128" applyNumberFormat="1" applyFont="1" applyBorder="1" applyAlignment="1">
      <alignment vertical="center"/>
    </xf>
    <xf numFmtId="4" fontId="13" fillId="0" borderId="0" xfId="0" applyNumberFormat="1" applyFont="1"/>
    <xf numFmtId="165" fontId="7" fillId="0" borderId="0" xfId="83" applyNumberFormat="1" applyFont="1"/>
    <xf numFmtId="0" fontId="89" fillId="0" borderId="0" xfId="128" applyFont="1" applyBorder="1" applyAlignment="1">
      <alignment wrapText="1"/>
    </xf>
    <xf numFmtId="165" fontId="7" fillId="0" borderId="0" xfId="77" applyNumberFormat="1"/>
    <xf numFmtId="0" fontId="71" fillId="0" borderId="77" xfId="150" applyFont="1" applyBorder="1" applyAlignment="1">
      <alignment horizontal="center"/>
    </xf>
    <xf numFmtId="165" fontId="70" fillId="0" borderId="56" xfId="128" applyNumberFormat="1" applyFont="1" applyBorder="1" applyAlignment="1">
      <alignment vertical="center"/>
    </xf>
    <xf numFmtId="165" fontId="71" fillId="0" borderId="57" xfId="128" applyNumberFormat="1" applyFont="1" applyBorder="1" applyAlignment="1">
      <alignment vertical="center"/>
    </xf>
    <xf numFmtId="165" fontId="71" fillId="0" borderId="59" xfId="128" applyNumberFormat="1" applyFont="1" applyBorder="1" applyAlignment="1">
      <alignment vertical="center"/>
    </xf>
    <xf numFmtId="0" fontId="70" fillId="0" borderId="52" xfId="128" applyFont="1" applyBorder="1" applyAlignment="1">
      <alignment horizontal="center" vertical="center"/>
    </xf>
    <xf numFmtId="0" fontId="70" fillId="0" borderId="55" xfId="128" applyFont="1" applyBorder="1" applyAlignment="1">
      <alignment horizontal="center" vertical="center"/>
    </xf>
    <xf numFmtId="0" fontId="70" fillId="0" borderId="49" xfId="128" applyFont="1" applyBorder="1" applyAlignment="1">
      <alignment horizontal="center" vertical="center"/>
    </xf>
    <xf numFmtId="0" fontId="71" fillId="0" borderId="77" xfId="79" applyFont="1" applyBorder="1" applyAlignment="1">
      <alignment horizontal="center" vertical="center" wrapText="1"/>
    </xf>
    <xf numFmtId="0" fontId="90" fillId="0" borderId="13" xfId="128" applyFont="1" applyBorder="1" applyAlignment="1">
      <alignment horizontal="center" vertical="center"/>
    </xf>
    <xf numFmtId="0" fontId="70" fillId="0" borderId="89" xfId="128" applyFont="1" applyBorder="1" applyAlignment="1">
      <alignment horizontal="center" vertical="center"/>
    </xf>
    <xf numFmtId="0" fontId="70" fillId="0" borderId="58" xfId="79" applyFont="1" applyBorder="1" applyAlignment="1">
      <alignment horizontal="center" vertical="center" wrapText="1"/>
    </xf>
    <xf numFmtId="0" fontId="70" fillId="0" borderId="41" xfId="79" applyFont="1" applyBorder="1" applyAlignment="1">
      <alignment horizontal="center" vertical="center" wrapText="1"/>
    </xf>
    <xf numFmtId="20" fontId="70" fillId="0" borderId="44" xfId="79" quotePrefix="1" applyNumberFormat="1" applyFont="1" applyBorder="1" applyAlignment="1">
      <alignment horizontal="center" vertical="center" wrapText="1"/>
    </xf>
    <xf numFmtId="20" fontId="70" fillId="0" borderId="59" xfId="79" quotePrefix="1" applyNumberFormat="1" applyFont="1" applyBorder="1" applyAlignment="1">
      <alignment horizontal="center" vertical="center" wrapText="1"/>
    </xf>
    <xf numFmtId="20" fontId="70" fillId="0" borderId="66" xfId="79" quotePrefix="1" applyNumberFormat="1" applyFont="1" applyBorder="1" applyAlignment="1">
      <alignment horizontal="center" vertical="center" wrapText="1"/>
    </xf>
    <xf numFmtId="0" fontId="71" fillId="0" borderId="68" xfId="79" applyFont="1" applyBorder="1" applyAlignment="1">
      <alignment horizontal="center" vertical="center" wrapText="1"/>
    </xf>
    <xf numFmtId="0" fontId="71" fillId="0" borderId="63" xfId="79" applyFont="1" applyBorder="1" applyAlignment="1">
      <alignment horizontal="center" vertical="center" wrapText="1"/>
    </xf>
    <xf numFmtId="0" fontId="70" fillId="0" borderId="43" xfId="79" applyFont="1" applyBorder="1" applyAlignment="1">
      <alignment horizontal="center" vertical="center" wrapText="1"/>
    </xf>
    <xf numFmtId="0" fontId="70" fillId="0" borderId="75" xfId="128" applyFont="1" applyBorder="1" applyAlignment="1">
      <alignment horizontal="center" vertical="center"/>
    </xf>
    <xf numFmtId="20" fontId="70" fillId="0" borderId="72" xfId="79" quotePrefix="1" applyNumberFormat="1" applyFont="1" applyBorder="1" applyAlignment="1">
      <alignment horizontal="center" vertical="center" wrapText="1"/>
    </xf>
    <xf numFmtId="0" fontId="71" fillId="0" borderId="10" xfId="79" applyFont="1" applyBorder="1" applyAlignment="1">
      <alignment horizontal="center" vertical="center" wrapText="1"/>
    </xf>
    <xf numFmtId="165" fontId="70" fillId="0" borderId="70" xfId="128" applyNumberFormat="1" applyFont="1" applyBorder="1" applyAlignment="1">
      <alignment vertical="center"/>
    </xf>
    <xf numFmtId="165" fontId="71" fillId="0" borderId="71" xfId="128" applyNumberFormat="1" applyFont="1" applyBorder="1" applyAlignment="1">
      <alignment vertical="center"/>
    </xf>
    <xf numFmtId="165" fontId="71" fillId="0" borderId="72" xfId="128" applyNumberFormat="1" applyFont="1" applyBorder="1" applyAlignment="1">
      <alignment vertical="center"/>
    </xf>
    <xf numFmtId="165" fontId="70" fillId="0" borderId="92" xfId="128" applyNumberFormat="1" applyFont="1" applyBorder="1" applyAlignment="1">
      <alignment vertical="center"/>
    </xf>
    <xf numFmtId="165" fontId="71" fillId="0" borderId="93" xfId="128" applyNumberFormat="1" applyFont="1" applyBorder="1" applyAlignment="1">
      <alignment vertical="center"/>
    </xf>
    <xf numFmtId="165" fontId="71" fillId="0" borderId="66" xfId="128" applyNumberFormat="1" applyFont="1" applyBorder="1" applyAlignment="1">
      <alignment vertical="center"/>
    </xf>
    <xf numFmtId="165" fontId="71" fillId="0" borderId="50" xfId="128" applyNumberFormat="1" applyFont="1" applyBorder="1" applyAlignment="1">
      <alignment vertical="center"/>
    </xf>
    <xf numFmtId="165" fontId="71" fillId="0" borderId="57" xfId="128" applyNumberFormat="1" applyFont="1" applyBorder="1" applyAlignment="1">
      <alignment horizontal="center" vertical="center"/>
    </xf>
    <xf numFmtId="165" fontId="71" fillId="0" borderId="58" xfId="128" applyNumberFormat="1" applyFont="1" applyBorder="1" applyAlignment="1">
      <alignment vertical="center"/>
    </xf>
    <xf numFmtId="165" fontId="71" fillId="0" borderId="59" xfId="128" applyNumberFormat="1" applyFont="1" applyBorder="1" applyAlignment="1">
      <alignment horizontal="center" vertical="center"/>
    </xf>
    <xf numFmtId="0" fontId="71" fillId="0" borderId="20" xfId="79" applyFont="1" applyBorder="1" applyAlignment="1">
      <alignment horizontal="center" vertical="center" wrapText="1"/>
    </xf>
    <xf numFmtId="170" fontId="71" fillId="0" borderId="57" xfId="128" applyNumberFormat="1" applyFont="1" applyBorder="1" applyAlignment="1">
      <alignment horizontal="center" vertical="center"/>
    </xf>
    <xf numFmtId="0" fontId="71" fillId="0" borderId="94" xfId="79" applyFont="1" applyBorder="1" applyAlignment="1">
      <alignment horizontal="center" vertical="center" wrapText="1"/>
    </xf>
    <xf numFmtId="0" fontId="71" fillId="0" borderId="85" xfId="79" applyFont="1" applyBorder="1" applyAlignment="1">
      <alignment horizontal="center" vertical="center" wrapText="1"/>
    </xf>
    <xf numFmtId="165" fontId="71" fillId="0" borderId="44" xfId="128" applyNumberFormat="1" applyFont="1" applyBorder="1" applyAlignment="1">
      <alignment vertical="center"/>
    </xf>
    <xf numFmtId="0" fontId="71" fillId="0" borderId="22" xfId="79" applyFont="1" applyBorder="1" applyAlignment="1">
      <alignment horizontal="center" vertical="center" wrapText="1"/>
    </xf>
    <xf numFmtId="0" fontId="70" fillId="0" borderId="47" xfId="79" applyFont="1" applyBorder="1" applyAlignment="1">
      <alignment horizontal="center" vertical="center" wrapText="1"/>
    </xf>
    <xf numFmtId="20" fontId="70" fillId="0" borderId="90" xfId="79" quotePrefix="1" applyNumberFormat="1" applyFont="1" applyBorder="1" applyAlignment="1">
      <alignment horizontal="center" vertical="center" wrapText="1"/>
    </xf>
    <xf numFmtId="0" fontId="70" fillId="0" borderId="51" xfId="79" applyFont="1" applyBorder="1" applyAlignment="1">
      <alignment horizontal="center" vertical="center" wrapText="1"/>
    </xf>
    <xf numFmtId="0" fontId="70" fillId="0" borderId="55" xfId="79" applyFont="1" applyBorder="1" applyAlignment="1">
      <alignment horizontal="center" vertical="center" wrapText="1"/>
    </xf>
    <xf numFmtId="20" fontId="70" fillId="0" borderId="91" xfId="79" quotePrefix="1" applyNumberFormat="1" applyFont="1" applyBorder="1" applyAlignment="1">
      <alignment horizontal="center" vertical="center" wrapText="1"/>
    </xf>
    <xf numFmtId="165" fontId="71" fillId="0" borderId="44" xfId="128" applyNumberFormat="1" applyFont="1" applyBorder="1" applyAlignment="1">
      <alignment horizontal="center" vertical="center"/>
    </xf>
    <xf numFmtId="20" fontId="70" fillId="0" borderId="76" xfId="79" quotePrefix="1" applyNumberFormat="1" applyFont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0" fontId="70" fillId="0" borderId="49" xfId="0" applyFont="1" applyBorder="1" applyAlignment="1">
      <alignment horizontal="center" vertical="center"/>
    </xf>
    <xf numFmtId="165" fontId="70" fillId="0" borderId="56" xfId="0" applyNumberFormat="1" applyFont="1" applyBorder="1" applyAlignment="1">
      <alignment vertical="center"/>
    </xf>
    <xf numFmtId="0" fontId="71" fillId="0" borderId="50" xfId="0" applyFont="1" applyBorder="1" applyAlignment="1">
      <alignment horizontal="center" vertical="center"/>
    </xf>
    <xf numFmtId="165" fontId="71" fillId="0" borderId="57" xfId="0" applyNumberFormat="1" applyFont="1" applyBorder="1" applyAlignment="1">
      <alignment vertical="center"/>
    </xf>
    <xf numFmtId="165" fontId="71" fillId="0" borderId="57" xfId="0" applyNumberFormat="1" applyFont="1" applyBorder="1" applyAlignment="1">
      <alignment horizontal="center" vertical="center"/>
    </xf>
    <xf numFmtId="0" fontId="71" fillId="0" borderId="58" xfId="0" applyFont="1" applyBorder="1" applyAlignment="1">
      <alignment horizontal="center" vertical="center"/>
    </xf>
    <xf numFmtId="169" fontId="71" fillId="0" borderId="43" xfId="0" applyNumberFormat="1" applyFont="1" applyBorder="1" applyAlignment="1">
      <alignment vertical="center"/>
    </xf>
    <xf numFmtId="169" fontId="71" fillId="0" borderId="41" xfId="0" applyNumberFormat="1" applyFont="1" applyBorder="1" applyAlignment="1">
      <alignment vertical="center"/>
    </xf>
    <xf numFmtId="165" fontId="71" fillId="0" borderId="41" xfId="0" applyNumberFormat="1" applyFont="1" applyBorder="1" applyAlignment="1">
      <alignment vertical="center"/>
    </xf>
    <xf numFmtId="165" fontId="71" fillId="0" borderId="59" xfId="0" applyNumberFormat="1" applyFont="1" applyBorder="1" applyAlignment="1">
      <alignment vertical="center"/>
    </xf>
    <xf numFmtId="0" fontId="70" fillId="0" borderId="59" xfId="0" applyFont="1" applyBorder="1" applyAlignment="1">
      <alignment horizontal="center" vertical="center"/>
    </xf>
    <xf numFmtId="0" fontId="90" fillId="0" borderId="60" xfId="0" applyFont="1" applyBorder="1" applyAlignment="1">
      <alignment horizontal="center" vertical="center"/>
    </xf>
    <xf numFmtId="0" fontId="90" fillId="0" borderId="61" xfId="0" applyFont="1" applyBorder="1" applyAlignment="1">
      <alignment horizontal="center" vertical="center"/>
    </xf>
    <xf numFmtId="0" fontId="90" fillId="0" borderId="62" xfId="0" applyFont="1" applyBorder="1" applyAlignment="1">
      <alignment horizontal="center" vertical="center"/>
    </xf>
    <xf numFmtId="0" fontId="90" fillId="0" borderId="68" xfId="0" applyFont="1" applyBorder="1" applyAlignment="1">
      <alignment horizontal="center" vertical="center"/>
    </xf>
    <xf numFmtId="0" fontId="90" fillId="0" borderId="63" xfId="0" applyFont="1" applyBorder="1" applyAlignment="1">
      <alignment horizontal="center" vertical="center"/>
    </xf>
    <xf numFmtId="0" fontId="90" fillId="0" borderId="68" xfId="0" applyFont="1" applyBorder="1" applyAlignment="1">
      <alignment horizontal="center" vertical="center" wrapText="1"/>
    </xf>
    <xf numFmtId="0" fontId="84" fillId="0" borderId="26" xfId="63" applyFont="1" applyBorder="1" applyAlignment="1">
      <alignment vertical="center" wrapText="1"/>
    </xf>
    <xf numFmtId="0" fontId="84" fillId="0" borderId="44" xfId="63" applyFont="1" applyBorder="1" applyAlignment="1">
      <alignment vertical="center" wrapText="1"/>
    </xf>
    <xf numFmtId="0" fontId="70" fillId="0" borderId="69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165" fontId="70" fillId="0" borderId="42" xfId="0" applyNumberFormat="1" applyFont="1" applyBorder="1" applyAlignment="1">
      <alignment vertical="center"/>
    </xf>
    <xf numFmtId="165" fontId="71" fillId="0" borderId="27" xfId="0" applyNumberFormat="1" applyFont="1" applyBorder="1" applyAlignment="1">
      <alignment vertical="center"/>
    </xf>
    <xf numFmtId="165" fontId="71" fillId="0" borderId="27" xfId="0" applyNumberFormat="1" applyFont="1" applyBorder="1" applyAlignment="1">
      <alignment horizontal="center" vertical="center"/>
    </xf>
    <xf numFmtId="165" fontId="71" fillId="0" borderId="43" xfId="0" applyNumberFormat="1" applyFont="1" applyBorder="1" applyAlignment="1">
      <alignment vertical="center"/>
    </xf>
    <xf numFmtId="0" fontId="70" fillId="0" borderId="82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169" fontId="70" fillId="0" borderId="49" xfId="0" applyNumberFormat="1" applyFont="1" applyBorder="1" applyAlignment="1">
      <alignment vertical="center"/>
    </xf>
    <xf numFmtId="169" fontId="70" fillId="0" borderId="56" xfId="0" applyNumberFormat="1" applyFont="1" applyBorder="1" applyAlignment="1">
      <alignment vertical="center"/>
    </xf>
    <xf numFmtId="169" fontId="71" fillId="0" borderId="50" xfId="0" applyNumberFormat="1" applyFont="1" applyBorder="1" applyAlignment="1">
      <alignment vertical="center"/>
    </xf>
    <xf numFmtId="169" fontId="71" fillId="0" borderId="57" xfId="0" applyNumberFormat="1" applyFont="1" applyBorder="1" applyAlignment="1">
      <alignment vertical="center"/>
    </xf>
    <xf numFmtId="169" fontId="71" fillId="0" borderId="58" xfId="0" applyNumberFormat="1" applyFont="1" applyBorder="1" applyAlignment="1">
      <alignment vertical="center"/>
    </xf>
    <xf numFmtId="169" fontId="71" fillId="0" borderId="59" xfId="0" applyNumberFormat="1" applyFont="1" applyBorder="1" applyAlignment="1">
      <alignment vertical="center"/>
    </xf>
    <xf numFmtId="0" fontId="70" fillId="0" borderId="49" xfId="0" applyFont="1" applyBorder="1" applyAlignment="1">
      <alignment vertical="center"/>
    </xf>
    <xf numFmtId="170" fontId="70" fillId="0" borderId="56" xfId="0" applyNumberFormat="1" applyFont="1" applyBorder="1" applyAlignment="1">
      <alignment vertical="center"/>
    </xf>
    <xf numFmtId="170" fontId="71" fillId="0" borderId="57" xfId="0" applyNumberFormat="1" applyFont="1" applyBorder="1" applyAlignment="1">
      <alignment vertical="center"/>
    </xf>
    <xf numFmtId="0" fontId="71" fillId="0" borderId="41" xfId="0" applyFont="1" applyBorder="1" applyAlignment="1">
      <alignment vertical="center"/>
    </xf>
    <xf numFmtId="171" fontId="71" fillId="0" borderId="44" xfId="0" applyNumberFormat="1" applyFont="1" applyBorder="1" applyAlignment="1">
      <alignment vertical="center"/>
    </xf>
    <xf numFmtId="170" fontId="71" fillId="0" borderId="59" xfId="0" applyNumberFormat="1" applyFont="1" applyBorder="1" applyAlignment="1">
      <alignment vertical="center"/>
    </xf>
    <xf numFmtId="0" fontId="71" fillId="0" borderId="94" xfId="150" applyFont="1" applyBorder="1" applyAlignment="1">
      <alignment horizontal="center"/>
    </xf>
    <xf numFmtId="0" fontId="71" fillId="0" borderId="44" xfId="0" applyFont="1" applyBorder="1" applyAlignment="1">
      <alignment vertical="center"/>
    </xf>
    <xf numFmtId="0" fontId="90" fillId="0" borderId="10" xfId="0" applyFont="1" applyBorder="1" applyAlignment="1">
      <alignment horizontal="center" vertical="center"/>
    </xf>
    <xf numFmtId="3" fontId="70" fillId="0" borderId="70" xfId="0" applyNumberFormat="1" applyFont="1" applyBorder="1" applyAlignment="1">
      <alignment vertical="center"/>
    </xf>
    <xf numFmtId="3" fontId="71" fillId="0" borderId="71" xfId="0" applyNumberFormat="1" applyFont="1" applyBorder="1" applyAlignment="1">
      <alignment vertical="center"/>
    </xf>
    <xf numFmtId="3" fontId="71" fillId="0" borderId="72" xfId="0" applyNumberFormat="1" applyFont="1" applyBorder="1" applyAlignment="1">
      <alignment vertical="center"/>
    </xf>
    <xf numFmtId="20" fontId="70" fillId="0" borderId="10" xfId="74" applyNumberFormat="1" applyFont="1" applyBorder="1" applyAlignment="1">
      <alignment horizontal="center" vertical="center" wrapText="1"/>
    </xf>
    <xf numFmtId="0" fontId="70" fillId="0" borderId="13" xfId="74" applyFont="1" applyBorder="1" applyAlignment="1">
      <alignment horizontal="center" vertical="center" wrapText="1"/>
    </xf>
    <xf numFmtId="0" fontId="71" fillId="0" borderId="21" xfId="74" applyFont="1" applyBorder="1" applyAlignment="1">
      <alignment horizontal="centerContinuous" vertical="center"/>
    </xf>
    <xf numFmtId="0" fontId="90" fillId="0" borderId="10" xfId="74" applyFont="1" applyBorder="1" applyAlignment="1">
      <alignment horizontal="center" vertical="center"/>
    </xf>
    <xf numFmtId="0" fontId="90" fillId="0" borderId="11" xfId="74" applyFont="1" applyBorder="1" applyAlignment="1">
      <alignment horizontal="center" vertical="center"/>
    </xf>
    <xf numFmtId="0" fontId="71" fillId="0" borderId="59" xfId="74" applyFont="1" applyBorder="1" applyAlignment="1">
      <alignment vertical="center"/>
    </xf>
    <xf numFmtId="0" fontId="71" fillId="0" borderId="71" xfId="74" applyFont="1" applyBorder="1" applyAlignment="1">
      <alignment vertical="center" wrapText="1"/>
    </xf>
    <xf numFmtId="0" fontId="70" fillId="20" borderId="71" xfId="74" applyFont="1" applyFill="1" applyBorder="1" applyAlignment="1">
      <alignment vertical="center" wrapText="1"/>
    </xf>
    <xf numFmtId="0" fontId="71" fillId="20" borderId="71" xfId="74" applyFont="1" applyFill="1" applyBorder="1" applyAlignment="1">
      <alignment vertical="center" wrapText="1"/>
    </xf>
    <xf numFmtId="0" fontId="70" fillId="0" borderId="71" xfId="74" applyFont="1" applyBorder="1" applyAlignment="1">
      <alignment vertical="center" wrapText="1"/>
    </xf>
    <xf numFmtId="0" fontId="71" fillId="0" borderId="72" xfId="74" applyFont="1" applyBorder="1" applyAlignment="1">
      <alignment vertical="center" wrapText="1"/>
    </xf>
    <xf numFmtId="0" fontId="71" fillId="0" borderId="65" xfId="74" applyFont="1" applyBorder="1" applyAlignment="1">
      <alignment vertical="center"/>
    </xf>
    <xf numFmtId="0" fontId="71" fillId="0" borderId="72" xfId="74" applyFont="1" applyBorder="1" applyAlignment="1">
      <alignment vertical="center"/>
    </xf>
    <xf numFmtId="166" fontId="71" fillId="0" borderId="39" xfId="74" applyNumberFormat="1" applyFont="1" applyBorder="1" applyAlignment="1">
      <alignment vertical="center"/>
    </xf>
    <xf numFmtId="166" fontId="71" fillId="0" borderId="39" xfId="74" applyNumberFormat="1" applyFont="1" applyBorder="1" applyAlignment="1">
      <alignment horizontal="center" vertical="center"/>
    </xf>
    <xf numFmtId="0" fontId="71" fillId="0" borderId="39" xfId="74" applyFont="1" applyBorder="1" applyAlignment="1">
      <alignment vertical="center"/>
    </xf>
    <xf numFmtId="0" fontId="71" fillId="20" borderId="39" xfId="74" applyFont="1" applyFill="1" applyBorder="1" applyAlignment="1">
      <alignment vertical="center"/>
    </xf>
    <xf numFmtId="166" fontId="71" fillId="20" borderId="39" xfId="74" applyNumberFormat="1" applyFont="1" applyFill="1" applyBorder="1" applyAlignment="1">
      <alignment vertical="center"/>
    </xf>
    <xf numFmtId="166" fontId="71" fillId="20" borderId="39" xfId="74" applyNumberFormat="1" applyFont="1" applyFill="1" applyBorder="1" applyAlignment="1">
      <alignment horizontal="center" vertical="center"/>
    </xf>
    <xf numFmtId="166" fontId="71" fillId="0" borderId="71" xfId="74" applyNumberFormat="1" applyFont="1" applyBorder="1" applyAlignment="1">
      <alignment vertical="center"/>
    </xf>
    <xf numFmtId="0" fontId="71" fillId="0" borderId="71" xfId="74" applyFont="1" applyBorder="1" applyAlignment="1">
      <alignment vertical="center"/>
    </xf>
    <xf numFmtId="0" fontId="71" fillId="20" borderId="71" xfId="74" applyFont="1" applyFill="1" applyBorder="1" applyAlignment="1">
      <alignment vertical="center"/>
    </xf>
    <xf numFmtId="166" fontId="71" fillId="20" borderId="71" xfId="74" applyNumberFormat="1" applyFont="1" applyFill="1" applyBorder="1" applyAlignment="1">
      <alignment vertical="center"/>
    </xf>
    <xf numFmtId="167" fontId="71" fillId="0" borderId="71" xfId="74" applyNumberFormat="1" applyFont="1" applyBorder="1" applyAlignment="1">
      <alignment vertical="center"/>
    </xf>
    <xf numFmtId="0" fontId="71" fillId="0" borderId="54" xfId="74" applyFont="1" applyBorder="1"/>
    <xf numFmtId="0" fontId="71" fillId="0" borderId="57" xfId="74" applyFont="1" applyBorder="1"/>
    <xf numFmtId="0" fontId="71" fillId="0" borderId="59" xfId="74" applyFont="1" applyBorder="1"/>
    <xf numFmtId="0" fontId="71" fillId="0" borderId="0" xfId="74" applyFont="1" applyBorder="1" applyAlignment="1">
      <alignment horizontal="left" vertical="center" wrapText="1"/>
    </xf>
    <xf numFmtId="0" fontId="71" fillId="0" borderId="15" xfId="74" applyFont="1" applyBorder="1" applyAlignment="1">
      <alignment horizontal="centerContinuous" vertical="center"/>
    </xf>
    <xf numFmtId="0" fontId="71" fillId="0" borderId="19" xfId="74" applyFont="1" applyBorder="1" applyAlignment="1">
      <alignment horizontal="centerContinuous" vertical="center"/>
    </xf>
    <xf numFmtId="0" fontId="90" fillId="0" borderId="15" xfId="74" applyFont="1" applyBorder="1" applyAlignment="1">
      <alignment horizontal="center" vertical="center"/>
    </xf>
    <xf numFmtId="0" fontId="70" fillId="0" borderId="73" xfId="74" applyFont="1" applyBorder="1"/>
    <xf numFmtId="0" fontId="71" fillId="0" borderId="74" xfId="74" applyFont="1" applyBorder="1" applyAlignment="1">
      <alignment wrapText="1"/>
    </xf>
    <xf numFmtId="0" fontId="70" fillId="0" borderId="74" xfId="74" applyFont="1" applyBorder="1" applyAlignment="1">
      <alignment wrapText="1"/>
    </xf>
    <xf numFmtId="0" fontId="71" fillId="0" borderId="64" xfId="74" applyFont="1" applyBorder="1" applyAlignment="1">
      <alignment wrapText="1"/>
    </xf>
    <xf numFmtId="20" fontId="70" fillId="0" borderId="13" xfId="74" applyNumberFormat="1" applyFont="1" applyBorder="1" applyAlignment="1">
      <alignment horizontal="center" vertical="center" wrapText="1"/>
    </xf>
    <xf numFmtId="0" fontId="71" fillId="0" borderId="22" xfId="74" applyFont="1" applyBorder="1" applyAlignment="1">
      <alignment horizontal="centerContinuous" vertical="center"/>
    </xf>
    <xf numFmtId="0" fontId="71" fillId="0" borderId="52" xfId="74" applyFont="1" applyBorder="1" applyAlignment="1"/>
    <xf numFmtId="39" fontId="71" fillId="0" borderId="50" xfId="74" applyNumberFormat="1" applyFont="1" applyBorder="1"/>
    <xf numFmtId="39" fontId="71" fillId="0" borderId="57" xfId="74" applyNumberFormat="1" applyFont="1" applyBorder="1"/>
    <xf numFmtId="0" fontId="71" fillId="0" borderId="50" xfId="74" applyFont="1" applyBorder="1"/>
    <xf numFmtId="39" fontId="71" fillId="0" borderId="57" xfId="74" applyNumberFormat="1" applyFont="1" applyFill="1" applyBorder="1"/>
    <xf numFmtId="0" fontId="71" fillId="0" borderId="58" xfId="74" applyFont="1" applyBorder="1"/>
    <xf numFmtId="0" fontId="90" fillId="0" borderId="24" xfId="74" applyFont="1" applyBorder="1" applyAlignment="1">
      <alignment horizontal="center" vertical="center"/>
    </xf>
    <xf numFmtId="0" fontId="71" fillId="0" borderId="86" xfId="74" applyFont="1" applyBorder="1"/>
    <xf numFmtId="166" fontId="71" fillId="0" borderId="39" xfId="74" applyNumberFormat="1" applyFont="1" applyBorder="1"/>
    <xf numFmtId="166" fontId="71" fillId="0" borderId="39" xfId="74" applyNumberFormat="1" applyFont="1" applyBorder="1" applyAlignment="1">
      <alignment horizontal="center"/>
    </xf>
    <xf numFmtId="0" fontId="71" fillId="0" borderId="39" xfId="74" applyFont="1" applyBorder="1"/>
    <xf numFmtId="0" fontId="71" fillId="0" borderId="65" xfId="74" applyFont="1" applyBorder="1"/>
    <xf numFmtId="0" fontId="71" fillId="0" borderId="75" xfId="74" applyFont="1" applyBorder="1"/>
    <xf numFmtId="166" fontId="71" fillId="0" borderId="71" xfId="74" applyNumberFormat="1" applyFont="1" applyBorder="1"/>
    <xf numFmtId="0" fontId="71" fillId="0" borderId="71" xfId="74" applyFont="1" applyBorder="1"/>
    <xf numFmtId="0" fontId="71" fillId="0" borderId="72" xfId="74" applyFont="1" applyBorder="1"/>
    <xf numFmtId="4" fontId="71" fillId="0" borderId="50" xfId="72" applyNumberFormat="1" applyFont="1" applyBorder="1" applyAlignment="1">
      <alignment vertical="center"/>
    </xf>
    <xf numFmtId="4" fontId="71" fillId="0" borderId="57" xfId="72" applyNumberFormat="1" applyFont="1" applyBorder="1" applyAlignment="1">
      <alignment vertical="center"/>
    </xf>
    <xf numFmtId="4" fontId="71" fillId="20" borderId="50" xfId="72" applyNumberFormat="1" applyFont="1" applyFill="1" applyBorder="1" applyAlignment="1">
      <alignment vertical="center"/>
    </xf>
    <xf numFmtId="4" fontId="71" fillId="20" borderId="57" xfId="72" applyNumberFormat="1" applyFont="1" applyFill="1" applyBorder="1" applyAlignment="1">
      <alignment vertical="center"/>
    </xf>
    <xf numFmtId="0" fontId="71" fillId="0" borderId="58" xfId="74" applyFont="1" applyBorder="1" applyAlignment="1">
      <alignment vertical="center"/>
    </xf>
    <xf numFmtId="0" fontId="70" fillId="0" borderId="70" xfId="74" applyFont="1" applyBorder="1" applyAlignment="1">
      <alignment vertical="center"/>
    </xf>
    <xf numFmtId="0" fontId="71" fillId="0" borderId="49" xfId="74" applyFont="1" applyBorder="1" applyAlignment="1">
      <alignment vertical="center"/>
    </xf>
    <xf numFmtId="0" fontId="71" fillId="0" borderId="56" xfId="74" applyFont="1" applyBorder="1" applyAlignment="1">
      <alignment vertical="center"/>
    </xf>
    <xf numFmtId="0" fontId="71" fillId="0" borderId="45" xfId="74" applyFont="1" applyBorder="1" applyAlignment="1">
      <alignment vertical="center"/>
    </xf>
    <xf numFmtId="0" fontId="71" fillId="0" borderId="70" xfId="74" applyFont="1" applyBorder="1" applyAlignment="1">
      <alignment vertical="center"/>
    </xf>
    <xf numFmtId="0" fontId="90" fillId="0" borderId="60" xfId="74" applyFont="1" applyBorder="1" applyAlignment="1">
      <alignment horizontal="center" vertical="center"/>
    </xf>
    <xf numFmtId="0" fontId="90" fillId="0" borderId="63" xfId="74" applyFont="1" applyBorder="1" applyAlignment="1">
      <alignment horizontal="center" vertical="center"/>
    </xf>
    <xf numFmtId="169" fontId="71" fillId="0" borderId="43" xfId="128" applyNumberFormat="1" applyFont="1" applyBorder="1"/>
    <xf numFmtId="169" fontId="71" fillId="0" borderId="41" xfId="128" applyNumberFormat="1" applyFont="1" applyBorder="1"/>
    <xf numFmtId="170" fontId="71" fillId="0" borderId="44" xfId="128" applyNumberFormat="1" applyFont="1" applyBorder="1"/>
    <xf numFmtId="0" fontId="91" fillId="0" borderId="61" xfId="312" applyNumberFormat="1" applyFont="1" applyBorder="1" applyAlignment="1">
      <alignment horizontal="center" vertical="center"/>
    </xf>
    <xf numFmtId="0" fontId="91" fillId="0" borderId="62" xfId="312" applyNumberFormat="1" applyFont="1" applyBorder="1" applyAlignment="1">
      <alignment horizontal="center" vertical="center"/>
    </xf>
    <xf numFmtId="0" fontId="91" fillId="0" borderId="68" xfId="312" applyNumberFormat="1" applyFont="1" applyBorder="1" applyAlignment="1">
      <alignment horizontal="center" vertical="center"/>
    </xf>
    <xf numFmtId="0" fontId="70" fillId="0" borderId="47" xfId="312" applyFont="1" applyBorder="1" applyAlignment="1">
      <alignment horizontal="center" vertical="center"/>
    </xf>
    <xf numFmtId="3" fontId="71" fillId="0" borderId="68" xfId="312" applyNumberFormat="1" applyFont="1" applyBorder="1" applyAlignment="1">
      <alignment horizontal="center" vertical="center"/>
    </xf>
    <xf numFmtId="0" fontId="70" fillId="0" borderId="51" xfId="312" applyFont="1" applyBorder="1" applyAlignment="1">
      <alignment horizontal="center" vertical="center"/>
    </xf>
    <xf numFmtId="0" fontId="70" fillId="0" borderId="55" xfId="312" applyFont="1" applyBorder="1" applyAlignment="1">
      <alignment horizontal="center" vertical="center"/>
    </xf>
    <xf numFmtId="3" fontId="71" fillId="0" borderId="63" xfId="312" applyNumberFormat="1" applyFont="1" applyBorder="1" applyAlignment="1">
      <alignment horizontal="center" vertical="center"/>
    </xf>
    <xf numFmtId="0" fontId="91" fillId="0" borderId="60" xfId="312" applyNumberFormat="1" applyFont="1" applyBorder="1" applyAlignment="1">
      <alignment horizontal="center" vertical="center"/>
    </xf>
    <xf numFmtId="0" fontId="91" fillId="0" borderId="63" xfId="312" applyNumberFormat="1" applyFont="1" applyBorder="1" applyAlignment="1">
      <alignment horizontal="center" vertical="center"/>
    </xf>
    <xf numFmtId="169" fontId="71" fillId="0" borderId="49" xfId="128" applyNumberFormat="1" applyFont="1" applyBorder="1"/>
    <xf numFmtId="170" fontId="71" fillId="0" borderId="56" xfId="128" applyNumberFormat="1" applyFont="1" applyBorder="1"/>
    <xf numFmtId="169" fontId="71" fillId="0" borderId="50" xfId="128" applyNumberFormat="1" applyFont="1" applyBorder="1"/>
    <xf numFmtId="170" fontId="71" fillId="0" borderId="57" xfId="128" applyNumberFormat="1" applyFont="1" applyBorder="1"/>
    <xf numFmtId="169" fontId="71" fillId="0" borderId="58" xfId="128" applyNumberFormat="1" applyFont="1" applyBorder="1"/>
    <xf numFmtId="170" fontId="71" fillId="0" borderId="59" xfId="128" applyNumberFormat="1" applyFont="1" applyBorder="1"/>
    <xf numFmtId="3" fontId="71" fillId="0" borderId="13" xfId="312" applyNumberFormat="1" applyFont="1" applyBorder="1" applyAlignment="1">
      <alignment horizontal="center" vertical="center"/>
    </xf>
    <xf numFmtId="0" fontId="91" fillId="0" borderId="13" xfId="312" applyNumberFormat="1" applyFont="1" applyBorder="1" applyAlignment="1">
      <alignment horizontal="center" vertical="center"/>
    </xf>
    <xf numFmtId="170" fontId="71" fillId="0" borderId="92" xfId="128" applyNumberFormat="1" applyFont="1" applyBorder="1"/>
    <xf numFmtId="170" fontId="71" fillId="0" borderId="93" xfId="128" applyNumberFormat="1" applyFont="1" applyBorder="1"/>
    <xf numFmtId="170" fontId="71" fillId="0" borderId="66" xfId="128" applyNumberFormat="1" applyFont="1" applyBorder="1"/>
    <xf numFmtId="169" fontId="71" fillId="0" borderId="56" xfId="128" applyNumberFormat="1" applyFont="1" applyBorder="1"/>
    <xf numFmtId="169" fontId="71" fillId="0" borderId="57" xfId="128" applyNumberFormat="1" applyFont="1" applyBorder="1"/>
    <xf numFmtId="169" fontId="71" fillId="0" borderId="59" xfId="128" applyNumberFormat="1" applyFont="1" applyBorder="1"/>
    <xf numFmtId="164" fontId="70" fillId="0" borderId="53" xfId="64" applyNumberFormat="1" applyFont="1" applyFill="1" applyBorder="1" applyAlignment="1">
      <alignment horizontal="right" vertical="center" wrapText="1" indent="1"/>
    </xf>
    <xf numFmtId="164" fontId="70" fillId="0" borderId="54" xfId="64" applyNumberFormat="1" applyFont="1" applyFill="1" applyBorder="1" applyAlignment="1">
      <alignment horizontal="right" vertical="center" wrapText="1" indent="1"/>
    </xf>
    <xf numFmtId="164" fontId="70" fillId="0" borderId="25" xfId="64" applyNumberFormat="1" applyFont="1" applyFill="1" applyBorder="1" applyAlignment="1">
      <alignment horizontal="right" vertical="center" wrapText="1" indent="1"/>
    </xf>
    <xf numFmtId="164" fontId="70" fillId="0" borderId="57" xfId="64" applyNumberFormat="1" applyFont="1" applyFill="1" applyBorder="1" applyAlignment="1">
      <alignment horizontal="right" vertical="center" wrapText="1" indent="1"/>
    </xf>
    <xf numFmtId="164" fontId="71" fillId="0" borderId="25" xfId="64" applyNumberFormat="1" applyFont="1" applyFill="1" applyBorder="1" applyAlignment="1">
      <alignment horizontal="right" vertical="center" wrapText="1" indent="1"/>
    </xf>
    <xf numFmtId="164" fontId="71" fillId="0" borderId="57" xfId="64" applyNumberFormat="1" applyFont="1" applyFill="1" applyBorder="1" applyAlignment="1">
      <alignment horizontal="right" vertical="center" wrapText="1" indent="1"/>
    </xf>
    <xf numFmtId="164" fontId="70" fillId="0" borderId="41" xfId="64" applyNumberFormat="1" applyFont="1" applyFill="1" applyBorder="1" applyAlignment="1">
      <alignment horizontal="right" vertical="center" wrapText="1" indent="1"/>
    </xf>
    <xf numFmtId="164" fontId="70" fillId="0" borderId="59" xfId="64" applyNumberFormat="1" applyFont="1" applyFill="1" applyBorder="1" applyAlignment="1">
      <alignment horizontal="right" vertical="center" wrapText="1" indent="1"/>
    </xf>
    <xf numFmtId="0" fontId="90" fillId="0" borderId="16" xfId="64" applyFont="1" applyBorder="1" applyAlignment="1">
      <alignment horizontal="center" vertical="center" wrapText="1"/>
    </xf>
    <xf numFmtId="4" fontId="71" fillId="0" borderId="26" xfId="0" applyNumberFormat="1" applyFont="1" applyFill="1" applyBorder="1" applyAlignment="1">
      <alignment horizontal="right" vertical="center"/>
    </xf>
    <xf numFmtId="164" fontId="70" fillId="0" borderId="52" xfId="64" applyNumberFormat="1" applyFont="1" applyFill="1" applyBorder="1" applyAlignment="1">
      <alignment horizontal="right" vertical="center" wrapText="1" indent="1"/>
    </xf>
    <xf numFmtId="164" fontId="70" fillId="0" borderId="50" xfId="64" applyNumberFormat="1" applyFont="1" applyFill="1" applyBorder="1" applyAlignment="1">
      <alignment horizontal="right" vertical="center" wrapText="1" indent="1"/>
    </xf>
    <xf numFmtId="164" fontId="71" fillId="0" borderId="50" xfId="64" applyNumberFormat="1" applyFont="1" applyFill="1" applyBorder="1" applyAlignment="1">
      <alignment horizontal="right" vertical="center" wrapText="1" indent="1"/>
    </xf>
    <xf numFmtId="164" fontId="70" fillId="0" borderId="58" xfId="64" applyNumberFormat="1" applyFont="1" applyFill="1" applyBorder="1" applyAlignment="1">
      <alignment horizontal="right" vertical="center" wrapText="1" indent="1"/>
    </xf>
    <xf numFmtId="4" fontId="88" fillId="0" borderId="52" xfId="0" applyNumberFormat="1" applyFont="1" applyFill="1" applyBorder="1" applyAlignment="1">
      <alignment horizontal="right" vertical="center"/>
    </xf>
    <xf numFmtId="4" fontId="88" fillId="0" borderId="54" xfId="0" applyNumberFormat="1" applyFont="1" applyFill="1" applyBorder="1" applyAlignment="1">
      <alignment horizontal="right" vertical="center"/>
    </xf>
    <xf numFmtId="4" fontId="88" fillId="0" borderId="50" xfId="0" applyNumberFormat="1" applyFont="1" applyFill="1" applyBorder="1" applyAlignment="1">
      <alignment horizontal="right" vertical="center"/>
    </xf>
    <xf numFmtId="4" fontId="88" fillId="0" borderId="57" xfId="0" applyNumberFormat="1" applyFont="1" applyFill="1" applyBorder="1" applyAlignment="1">
      <alignment horizontal="right" vertical="center"/>
    </xf>
    <xf numFmtId="4" fontId="87" fillId="0" borderId="50" xfId="0" applyNumberFormat="1" applyFont="1" applyFill="1" applyBorder="1" applyAlignment="1">
      <alignment horizontal="right" vertical="center"/>
    </xf>
    <xf numFmtId="4" fontId="87" fillId="0" borderId="57" xfId="0" applyNumberFormat="1" applyFont="1" applyFill="1" applyBorder="1" applyAlignment="1">
      <alignment horizontal="right" vertical="center"/>
    </xf>
    <xf numFmtId="4" fontId="71" fillId="0" borderId="57" xfId="0" applyNumberFormat="1" applyFont="1" applyFill="1" applyBorder="1" applyAlignment="1">
      <alignment horizontal="right" vertical="center"/>
    </xf>
    <xf numFmtId="4" fontId="88" fillId="0" borderId="58" xfId="0" applyNumberFormat="1" applyFont="1" applyFill="1" applyBorder="1" applyAlignment="1">
      <alignment horizontal="right" vertical="center"/>
    </xf>
    <xf numFmtId="4" fontId="88" fillId="0" borderId="59" xfId="0" applyNumberFormat="1" applyFont="1" applyFill="1" applyBorder="1" applyAlignment="1">
      <alignment horizontal="right" vertical="center"/>
    </xf>
    <xf numFmtId="0" fontId="70" fillId="0" borderId="73" xfId="64" applyFont="1" applyBorder="1" applyAlignment="1">
      <alignment horizontal="left" wrapText="1"/>
    </xf>
    <xf numFmtId="0" fontId="70" fillId="0" borderId="74" xfId="64" applyFont="1" applyBorder="1" applyAlignment="1">
      <alignment horizontal="left" wrapText="1"/>
    </xf>
    <xf numFmtId="0" fontId="71" fillId="0" borderId="74" xfId="64" applyFont="1" applyBorder="1" applyAlignment="1">
      <alignment horizontal="left" wrapText="1" indent="1"/>
    </xf>
    <xf numFmtId="0" fontId="71" fillId="0" borderId="74" xfId="64" applyFont="1" applyBorder="1" applyAlignment="1">
      <alignment horizontal="left" vertical="center" wrapText="1" indent="1"/>
    </xf>
    <xf numFmtId="0" fontId="70" fillId="0" borderId="64" xfId="64" applyFont="1" applyBorder="1" applyAlignment="1">
      <alignment horizontal="left" vertical="center" wrapText="1"/>
    </xf>
    <xf numFmtId="4" fontId="88" fillId="0" borderId="75" xfId="0" applyNumberFormat="1" applyFont="1" applyFill="1" applyBorder="1" applyAlignment="1">
      <alignment horizontal="right" vertical="center"/>
    </xf>
    <xf numFmtId="4" fontId="88" fillId="0" borderId="71" xfId="0" applyNumberFormat="1" applyFont="1" applyFill="1" applyBorder="1" applyAlignment="1">
      <alignment horizontal="right" vertical="center"/>
    </xf>
    <xf numFmtId="4" fontId="87" fillId="0" borderId="71" xfId="0" applyNumberFormat="1" applyFont="1" applyFill="1" applyBorder="1" applyAlignment="1">
      <alignment horizontal="right" vertical="center"/>
    </xf>
    <xf numFmtId="4" fontId="88" fillId="0" borderId="72" xfId="0" applyNumberFormat="1" applyFont="1" applyFill="1" applyBorder="1" applyAlignment="1">
      <alignment horizontal="right" vertical="center"/>
    </xf>
    <xf numFmtId="0" fontId="90" fillId="0" borderId="13" xfId="64" applyFont="1" applyBorder="1" applyAlignment="1">
      <alignment horizontal="center" vertical="center" wrapText="1"/>
    </xf>
    <xf numFmtId="0" fontId="70" fillId="0" borderId="81" xfId="128" applyFont="1" applyBorder="1" applyAlignment="1">
      <alignment horizontal="center" vertical="center"/>
    </xf>
    <xf numFmtId="0" fontId="70" fillId="0" borderId="54" xfId="128" applyFont="1" applyBorder="1" applyAlignment="1">
      <alignment horizontal="center" vertical="center"/>
    </xf>
    <xf numFmtId="0" fontId="70" fillId="0" borderId="91" xfId="128" applyFont="1" applyBorder="1" applyAlignment="1">
      <alignment horizontal="center" vertical="center"/>
    </xf>
    <xf numFmtId="165" fontId="70" fillId="0" borderId="49" xfId="128" applyNumberFormat="1" applyFont="1" applyBorder="1" applyAlignment="1">
      <alignment vertical="center"/>
    </xf>
    <xf numFmtId="0" fontId="70" fillId="0" borderId="82" xfId="128" applyFont="1" applyBorder="1" applyAlignment="1">
      <alignment horizontal="center" vertical="center"/>
    </xf>
    <xf numFmtId="0" fontId="70" fillId="0" borderId="77" xfId="128" applyFont="1" applyBorder="1" applyAlignment="1">
      <alignment horizontal="center" vertical="center"/>
    </xf>
    <xf numFmtId="0" fontId="70" fillId="0" borderId="87" xfId="128" applyFont="1" applyBorder="1" applyAlignment="1">
      <alignment horizontal="center" vertical="center"/>
    </xf>
    <xf numFmtId="0" fontId="70" fillId="0" borderId="48" xfId="128" applyFont="1" applyBorder="1" applyAlignment="1">
      <alignment horizontal="center" vertical="center"/>
    </xf>
    <xf numFmtId="0" fontId="70" fillId="0" borderId="14" xfId="128" applyFont="1" applyBorder="1" applyAlignment="1">
      <alignment horizontal="center" vertical="center"/>
    </xf>
    <xf numFmtId="0" fontId="70" fillId="0" borderId="22" xfId="128" applyFont="1" applyBorder="1" applyAlignment="1">
      <alignment horizontal="center" vertical="center"/>
    </xf>
    <xf numFmtId="169" fontId="70" fillId="0" borderId="70" xfId="128" applyNumberFormat="1" applyFont="1" applyBorder="1" applyAlignment="1">
      <alignment vertical="center"/>
    </xf>
    <xf numFmtId="169" fontId="71" fillId="0" borderId="71" xfId="128" applyNumberFormat="1" applyFont="1" applyBorder="1" applyAlignment="1">
      <alignment vertical="center"/>
    </xf>
    <xf numFmtId="169" fontId="71" fillId="0" borderId="72" xfId="128" applyNumberFormat="1" applyFont="1" applyBorder="1" applyAlignment="1">
      <alignment vertical="center"/>
    </xf>
    <xf numFmtId="165" fontId="71" fillId="0" borderId="58" xfId="0" applyNumberFormat="1" applyFont="1" applyBorder="1" applyAlignment="1">
      <alignment vertical="center"/>
    </xf>
    <xf numFmtId="0" fontId="70" fillId="0" borderId="57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 wrapText="1"/>
    </xf>
    <xf numFmtId="0" fontId="70" fillId="0" borderId="91" xfId="0" applyFont="1" applyBorder="1" applyAlignment="1">
      <alignment horizontal="center" vertical="center" wrapText="1"/>
    </xf>
    <xf numFmtId="0" fontId="70" fillId="0" borderId="88" xfId="169" applyFont="1" applyBorder="1" applyAlignment="1">
      <alignment horizontal="center" vertical="center" wrapText="1"/>
    </xf>
    <xf numFmtId="0" fontId="70" fillId="0" borderId="10" xfId="169" applyFont="1" applyBorder="1" applyAlignment="1">
      <alignment horizontal="center" vertical="center" wrapText="1"/>
    </xf>
    <xf numFmtId="0" fontId="70" fillId="0" borderId="87" xfId="169" applyFont="1" applyBorder="1" applyAlignment="1">
      <alignment horizontal="center" vertical="center" wrapText="1"/>
    </xf>
    <xf numFmtId="0" fontId="70" fillId="0" borderId="14" xfId="169" applyFont="1" applyBorder="1" applyAlignment="1">
      <alignment horizontal="center" vertical="center" wrapText="1"/>
    </xf>
    <xf numFmtId="0" fontId="70" fillId="0" borderId="22" xfId="169" applyFont="1" applyBorder="1" applyAlignment="1">
      <alignment horizontal="center" vertical="center" wrapText="1"/>
    </xf>
    <xf numFmtId="0" fontId="70" fillId="0" borderId="87" xfId="0" applyFont="1" applyBorder="1" applyAlignment="1">
      <alignment horizontal="center" vertical="center"/>
    </xf>
    <xf numFmtId="0" fontId="70" fillId="0" borderId="88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0" fillId="0" borderId="22" xfId="0" applyFont="1" applyBorder="1" applyAlignment="1">
      <alignment horizontal="center" vertical="center"/>
    </xf>
    <xf numFmtId="169" fontId="70" fillId="0" borderId="70" xfId="0" applyNumberFormat="1" applyFont="1" applyBorder="1" applyAlignment="1">
      <alignment vertical="center"/>
    </xf>
    <xf numFmtId="169" fontId="71" fillId="0" borderId="71" xfId="0" applyNumberFormat="1" applyFont="1" applyBorder="1" applyAlignment="1">
      <alignment vertical="center"/>
    </xf>
    <xf numFmtId="169" fontId="71" fillId="0" borderId="72" xfId="0" applyNumberFormat="1" applyFont="1" applyBorder="1" applyAlignment="1">
      <alignment vertical="center"/>
    </xf>
    <xf numFmtId="0" fontId="70" fillId="0" borderId="60" xfId="74" applyFont="1" applyBorder="1" applyAlignment="1">
      <alignment horizontal="center" vertical="center" wrapText="1"/>
    </xf>
    <xf numFmtId="0" fontId="70" fillId="0" borderId="63" xfId="74" applyFont="1" applyBorder="1" applyAlignment="1">
      <alignment horizontal="center" vertical="center" wrapText="1"/>
    </xf>
    <xf numFmtId="0" fontId="70" fillId="0" borderId="49" xfId="70" applyFont="1" applyBorder="1" applyAlignment="1">
      <alignment vertical="center"/>
    </xf>
    <xf numFmtId="170" fontId="70" fillId="0" borderId="56" xfId="70" applyNumberFormat="1" applyFont="1" applyBorder="1" applyAlignment="1">
      <alignment vertical="center"/>
    </xf>
    <xf numFmtId="170" fontId="71" fillId="0" borderId="57" xfId="70" applyNumberFormat="1" applyFont="1" applyBorder="1" applyAlignment="1">
      <alignment vertical="center"/>
    </xf>
    <xf numFmtId="165" fontId="71" fillId="0" borderId="41" xfId="70" applyNumberFormat="1" applyFont="1" applyBorder="1" applyAlignment="1">
      <alignment vertical="center"/>
    </xf>
    <xf numFmtId="170" fontId="71" fillId="0" borderId="59" xfId="70" applyNumberFormat="1" applyFont="1" applyBorder="1" applyAlignment="1">
      <alignment vertical="center"/>
    </xf>
    <xf numFmtId="0" fontId="90" fillId="0" borderId="68" xfId="70" applyFont="1" applyBorder="1" applyAlignment="1">
      <alignment horizontal="center" vertical="center"/>
    </xf>
    <xf numFmtId="0" fontId="71" fillId="0" borderId="26" xfId="70" applyFont="1" applyBorder="1" applyAlignment="1">
      <alignment vertical="center"/>
    </xf>
    <xf numFmtId="0" fontId="71" fillId="0" borderId="44" xfId="70" applyFont="1" applyBorder="1" applyAlignment="1">
      <alignment vertical="center"/>
    </xf>
    <xf numFmtId="0" fontId="90" fillId="0" borderId="10" xfId="70" applyFont="1" applyBorder="1" applyAlignment="1">
      <alignment horizontal="center" vertical="center"/>
    </xf>
    <xf numFmtId="169" fontId="70" fillId="0" borderId="70" xfId="70" applyNumberFormat="1" applyFont="1" applyBorder="1" applyAlignment="1">
      <alignment vertical="center"/>
    </xf>
    <xf numFmtId="169" fontId="71" fillId="0" borderId="71" xfId="70" applyNumberFormat="1" applyFont="1" applyBorder="1" applyAlignment="1">
      <alignment vertical="center"/>
    </xf>
    <xf numFmtId="169" fontId="71" fillId="0" borderId="72" xfId="70" applyNumberFormat="1" applyFont="1" applyBorder="1" applyAlignment="1">
      <alignment vertical="center"/>
    </xf>
    <xf numFmtId="165" fontId="70" fillId="0" borderId="49" xfId="70" applyNumberFormat="1" applyFont="1" applyBorder="1" applyAlignment="1">
      <alignment vertical="center"/>
    </xf>
    <xf numFmtId="0" fontId="70" fillId="0" borderId="23" xfId="169" applyFont="1" applyBorder="1" applyAlignment="1">
      <alignment horizontal="center" vertical="center" wrapText="1"/>
    </xf>
    <xf numFmtId="0" fontId="70" fillId="0" borderId="48" xfId="169" applyFont="1" applyBorder="1" applyAlignment="1">
      <alignment horizontal="center" vertical="center" wrapText="1"/>
    </xf>
    <xf numFmtId="0" fontId="70" fillId="0" borderId="47" xfId="169" applyFont="1" applyBorder="1" applyAlignment="1">
      <alignment horizontal="center" vertical="center" wrapText="1"/>
    </xf>
    <xf numFmtId="0" fontId="70" fillId="0" borderId="90" xfId="169" applyFont="1" applyBorder="1" applyAlignment="1">
      <alignment horizontal="center" vertical="center" wrapText="1"/>
    </xf>
    <xf numFmtId="0" fontId="71" fillId="0" borderId="63" xfId="150" applyFont="1" applyBorder="1" applyAlignment="1">
      <alignment horizontal="center"/>
    </xf>
    <xf numFmtId="0" fontId="90" fillId="0" borderId="16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90" fillId="0" borderId="83" xfId="128" applyFont="1" applyBorder="1" applyAlignment="1">
      <alignment horizontal="center" vertical="center"/>
    </xf>
    <xf numFmtId="0" fontId="90" fillId="0" borderId="84" xfId="128" applyFont="1" applyBorder="1" applyAlignment="1">
      <alignment horizontal="center" vertical="center"/>
    </xf>
    <xf numFmtId="0" fontId="90" fillId="0" borderId="85" xfId="128" applyFont="1" applyBorder="1" applyAlignment="1">
      <alignment horizontal="center" vertical="center"/>
    </xf>
    <xf numFmtId="0" fontId="90" fillId="0" borderId="94" xfId="128" applyFont="1" applyBorder="1" applyAlignment="1">
      <alignment horizontal="center" vertical="center" wrapText="1"/>
    </xf>
    <xf numFmtId="0" fontId="90" fillId="0" borderId="88" xfId="128" applyFont="1" applyBorder="1" applyAlignment="1">
      <alignment horizontal="center" vertical="center"/>
    </xf>
    <xf numFmtId="0" fontId="90" fillId="0" borderId="22" xfId="128" applyFont="1" applyBorder="1" applyAlignment="1">
      <alignment horizontal="center" vertical="center"/>
    </xf>
    <xf numFmtId="0" fontId="70" fillId="0" borderId="72" xfId="64" applyFont="1" applyBorder="1" applyAlignment="1">
      <alignment horizontal="justify" wrapText="1"/>
    </xf>
    <xf numFmtId="164" fontId="70" fillId="0" borderId="40" xfId="64" applyNumberFormat="1" applyFont="1" applyFill="1" applyBorder="1" applyAlignment="1">
      <alignment horizontal="right" vertical="center" wrapText="1" indent="1"/>
    </xf>
    <xf numFmtId="164" fontId="70" fillId="0" borderId="56" xfId="64" applyNumberFormat="1" applyFont="1" applyFill="1" applyBorder="1" applyAlignment="1">
      <alignment horizontal="right" vertical="center" wrapText="1" indent="1"/>
    </xf>
    <xf numFmtId="164" fontId="70" fillId="0" borderId="49" xfId="64" applyNumberFormat="1" applyFont="1" applyFill="1" applyBorder="1" applyAlignment="1">
      <alignment horizontal="right" vertical="center" wrapText="1" indent="1"/>
    </xf>
    <xf numFmtId="4" fontId="71" fillId="0" borderId="27" xfId="64" applyNumberFormat="1" applyFont="1" applyFill="1" applyBorder="1" applyAlignment="1">
      <alignment horizontal="right" vertical="center" wrapText="1" indent="1"/>
    </xf>
    <xf numFmtId="4" fontId="88" fillId="0" borderId="70" xfId="0" applyNumberFormat="1" applyFont="1" applyFill="1" applyBorder="1" applyAlignment="1">
      <alignment horizontal="right" vertical="center"/>
    </xf>
    <xf numFmtId="0" fontId="70" fillId="0" borderId="94" xfId="128" applyFont="1" applyBorder="1" applyAlignment="1">
      <alignment horizontal="center" vertical="center"/>
    </xf>
    <xf numFmtId="0" fontId="70" fillId="0" borderId="59" xfId="128" applyFont="1" applyBorder="1" applyAlignment="1">
      <alignment horizontal="center" vertical="center"/>
    </xf>
    <xf numFmtId="0" fontId="70" fillId="0" borderId="58" xfId="128" applyFont="1" applyBorder="1" applyAlignment="1">
      <alignment horizontal="center" vertical="center"/>
    </xf>
    <xf numFmtId="165" fontId="71" fillId="0" borderId="50" xfId="128" applyNumberFormat="1" applyFont="1" applyBorder="1" applyAlignment="1">
      <alignment horizontal="center" vertical="center"/>
    </xf>
    <xf numFmtId="0" fontId="70" fillId="0" borderId="88" xfId="128" applyFont="1" applyBorder="1" applyAlignment="1">
      <alignment horizontal="center" vertical="center"/>
    </xf>
    <xf numFmtId="165" fontId="0" fillId="0" borderId="0" xfId="0" applyNumberFormat="1"/>
    <xf numFmtId="168" fontId="71" fillId="0" borderId="49" xfId="128" applyNumberFormat="1" applyFont="1" applyBorder="1"/>
    <xf numFmtId="168" fontId="71" fillId="0" borderId="83" xfId="128" applyNumberFormat="1" applyFont="1" applyBorder="1"/>
    <xf numFmtId="168" fontId="71" fillId="0" borderId="84" xfId="128" applyNumberFormat="1" applyFont="1" applyBorder="1"/>
    <xf numFmtId="169" fontId="71" fillId="0" borderId="84" xfId="128" applyNumberFormat="1" applyFont="1" applyBorder="1"/>
    <xf numFmtId="169" fontId="71" fillId="0" borderId="88" xfId="128" applyNumberFormat="1" applyFont="1" applyBorder="1"/>
    <xf numFmtId="0" fontId="70" fillId="0" borderId="25" xfId="312" applyFont="1" applyBorder="1" applyAlignment="1">
      <alignment horizontal="center" vertical="center"/>
    </xf>
    <xf numFmtId="168" fontId="71" fillId="0" borderId="50" xfId="128" applyNumberFormat="1" applyFont="1" applyBorder="1"/>
    <xf numFmtId="168" fontId="71" fillId="0" borderId="25" xfId="128" applyNumberFormat="1" applyFont="1" applyBorder="1"/>
    <xf numFmtId="168" fontId="71" fillId="0" borderId="58" xfId="128" applyNumberFormat="1" applyFont="1" applyBorder="1"/>
    <xf numFmtId="168" fontId="71" fillId="0" borderId="41" xfId="128" applyNumberFormat="1" applyFont="1" applyBorder="1"/>
    <xf numFmtId="0" fontId="87" fillId="0" borderId="49" xfId="312" applyNumberFormat="1" applyFont="1" applyBorder="1" applyAlignment="1">
      <alignment horizontal="center" vertical="center"/>
    </xf>
    <xf numFmtId="0" fontId="87" fillId="0" borderId="40" xfId="312" applyNumberFormat="1" applyFont="1" applyBorder="1" applyAlignment="1">
      <alignment horizontal="center" vertical="center"/>
    </xf>
    <xf numFmtId="169" fontId="88" fillId="0" borderId="40" xfId="312" applyNumberFormat="1" applyFont="1" applyBorder="1" applyAlignment="1">
      <alignment horizontal="right" vertical="center"/>
    </xf>
    <xf numFmtId="170" fontId="70" fillId="0" borderId="56" xfId="128" applyNumberFormat="1" applyFont="1" applyBorder="1" applyAlignment="1">
      <alignment horizontal="right" vertical="center"/>
    </xf>
    <xf numFmtId="3" fontId="71" fillId="0" borderId="91" xfId="312" applyNumberFormat="1" applyFont="1" applyBorder="1" applyAlignment="1">
      <alignment horizontal="center" vertical="center"/>
    </xf>
    <xf numFmtId="169" fontId="88" fillId="0" borderId="42" xfId="312" applyNumberFormat="1" applyFont="1" applyBorder="1" applyAlignment="1">
      <alignment horizontal="right" vertical="center"/>
    </xf>
    <xf numFmtId="0" fontId="71" fillId="0" borderId="57" xfId="128" applyFont="1" applyBorder="1"/>
    <xf numFmtId="0" fontId="71" fillId="0" borderId="59" xfId="128" applyFont="1" applyBorder="1"/>
    <xf numFmtId="0" fontId="70" fillId="0" borderId="50" xfId="312" applyFont="1" applyBorder="1" applyAlignment="1">
      <alignment horizontal="center" vertical="center"/>
    </xf>
    <xf numFmtId="169" fontId="88" fillId="0" borderId="49" xfId="312" applyNumberFormat="1" applyFont="1" applyBorder="1" applyAlignment="1">
      <alignment horizontal="right" vertical="center"/>
    </xf>
    <xf numFmtId="0" fontId="91" fillId="0" borderId="10" xfId="312" applyNumberFormat="1" applyFont="1" applyBorder="1" applyAlignment="1">
      <alignment horizontal="center" vertical="center"/>
    </xf>
    <xf numFmtId="169" fontId="88" fillId="0" borderId="70" xfId="312" applyNumberFormat="1" applyFont="1" applyBorder="1" applyAlignment="1">
      <alignment horizontal="right" vertical="center"/>
    </xf>
    <xf numFmtId="169" fontId="71" fillId="0" borderId="71" xfId="128" applyNumberFormat="1" applyFont="1" applyBorder="1"/>
    <xf numFmtId="169" fontId="71" fillId="0" borderId="72" xfId="128" applyNumberFormat="1" applyFont="1" applyBorder="1"/>
    <xf numFmtId="165" fontId="71" fillId="0" borderId="0" xfId="128" applyNumberFormat="1" applyFont="1"/>
    <xf numFmtId="0" fontId="70" fillId="0" borderId="82" xfId="169" applyFont="1" applyBorder="1" applyAlignment="1">
      <alignment horizontal="center" vertical="center" wrapText="1"/>
    </xf>
    <xf numFmtId="0" fontId="70" fillId="0" borderId="91" xfId="169" applyFont="1" applyBorder="1" applyAlignment="1">
      <alignment horizontal="center" vertical="center" wrapText="1"/>
    </xf>
    <xf numFmtId="165" fontId="71" fillId="0" borderId="71" xfId="128" applyNumberFormat="1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71" fillId="0" borderId="68" xfId="150" applyFont="1" applyBorder="1" applyAlignment="1">
      <alignment horizontal="center"/>
    </xf>
    <xf numFmtId="4" fontId="70" fillId="0" borderId="42" xfId="128" applyNumberFormat="1" applyFont="1" applyBorder="1" applyAlignment="1">
      <alignment vertical="center"/>
    </xf>
    <xf numFmtId="4" fontId="70" fillId="0" borderId="27" xfId="128" applyNumberFormat="1" applyFont="1" applyBorder="1" applyAlignment="1">
      <alignment vertical="center"/>
    </xf>
    <xf numFmtId="4" fontId="70" fillId="0" borderId="43" xfId="128" applyNumberFormat="1" applyFont="1" applyBorder="1" applyAlignment="1">
      <alignment vertical="center"/>
    </xf>
    <xf numFmtId="0" fontId="70" fillId="0" borderId="72" xfId="64" applyFont="1" applyBorder="1" applyAlignment="1">
      <alignment horizontal="justify" vertical="center" wrapText="1"/>
    </xf>
    <xf numFmtId="4" fontId="70" fillId="0" borderId="70" xfId="128" applyNumberFormat="1" applyFont="1" applyBorder="1" applyAlignment="1">
      <alignment vertical="center"/>
    </xf>
    <xf numFmtId="4" fontId="70" fillId="0" borderId="71" xfId="128" applyNumberFormat="1" applyFont="1" applyBorder="1" applyAlignment="1">
      <alignment vertical="center"/>
    </xf>
    <xf numFmtId="4" fontId="71" fillId="0" borderId="71" xfId="128" applyNumberFormat="1" applyFont="1" applyBorder="1" applyAlignment="1">
      <alignment vertical="center"/>
    </xf>
    <xf numFmtId="4" fontId="70" fillId="0" borderId="72" xfId="128" applyNumberFormat="1" applyFont="1" applyBorder="1" applyAlignment="1">
      <alignment vertical="center"/>
    </xf>
    <xf numFmtId="4" fontId="70" fillId="0" borderId="29" xfId="128" applyNumberFormat="1" applyFont="1" applyBorder="1" applyAlignment="1">
      <alignment vertical="center"/>
    </xf>
    <xf numFmtId="4" fontId="70" fillId="0" borderId="26" xfId="128" applyNumberFormat="1" applyFont="1" applyBorder="1" applyAlignment="1">
      <alignment vertical="center"/>
    </xf>
    <xf numFmtId="4" fontId="71" fillId="0" borderId="26" xfId="128" applyNumberFormat="1" applyFont="1" applyBorder="1" applyAlignment="1">
      <alignment vertical="center"/>
    </xf>
    <xf numFmtId="4" fontId="70" fillId="0" borderId="44" xfId="128" applyNumberFormat="1" applyFont="1" applyBorder="1" applyAlignment="1">
      <alignment vertical="center"/>
    </xf>
    <xf numFmtId="170" fontId="71" fillId="0" borderId="94" xfId="128" applyNumberFormat="1" applyFont="1" applyBorder="1"/>
    <xf numFmtId="0" fontId="71" fillId="0" borderId="29" xfId="128" applyFont="1" applyBorder="1"/>
    <xf numFmtId="0" fontId="71" fillId="0" borderId="94" xfId="128" applyFont="1" applyBorder="1"/>
    <xf numFmtId="169" fontId="71" fillId="0" borderId="83" xfId="128" applyNumberFormat="1" applyFont="1" applyBorder="1"/>
    <xf numFmtId="170" fontId="71" fillId="0" borderId="85" xfId="128" applyNumberFormat="1" applyFont="1" applyBorder="1"/>
    <xf numFmtId="169" fontId="88" fillId="0" borderId="56" xfId="312" applyNumberFormat="1" applyFont="1" applyBorder="1" applyAlignment="1">
      <alignment horizontal="right" vertical="center"/>
    </xf>
    <xf numFmtId="169" fontId="88" fillId="0" borderId="42" xfId="312" applyNumberFormat="1" applyFont="1" applyBorder="1" applyAlignment="1">
      <alignment horizontal="center" vertical="center"/>
    </xf>
    <xf numFmtId="169" fontId="88" fillId="0" borderId="70" xfId="312" applyNumberFormat="1" applyFont="1" applyBorder="1" applyAlignment="1">
      <alignment horizontal="center" vertical="center"/>
    </xf>
    <xf numFmtId="165" fontId="69" fillId="0" borderId="0" xfId="0" applyNumberFormat="1" applyFont="1"/>
    <xf numFmtId="165" fontId="7" fillId="0" borderId="0" xfId="83" applyNumberFormat="1"/>
    <xf numFmtId="0" fontId="71" fillId="0" borderId="60" xfId="128" applyFont="1" applyBorder="1" applyAlignment="1">
      <alignment horizontal="center" vertical="center"/>
    </xf>
    <xf numFmtId="0" fontId="71" fillId="0" borderId="61" xfId="128" applyFont="1" applyBorder="1" applyAlignment="1">
      <alignment horizontal="center" vertical="center"/>
    </xf>
    <xf numFmtId="0" fontId="71" fillId="0" borderId="62" xfId="128" applyFont="1" applyBorder="1" applyAlignment="1">
      <alignment horizontal="center" vertical="center"/>
    </xf>
    <xf numFmtId="0" fontId="71" fillId="0" borderId="63" xfId="128" applyFont="1" applyBorder="1" applyAlignment="1">
      <alignment horizontal="center" vertical="center"/>
    </xf>
    <xf numFmtId="0" fontId="71" fillId="0" borderId="68" xfId="128" applyFont="1" applyBorder="1" applyAlignment="1">
      <alignment horizontal="center" vertical="center" wrapText="1"/>
    </xf>
    <xf numFmtId="0" fontId="71" fillId="0" borderId="10" xfId="128" applyFont="1" applyBorder="1" applyAlignment="1">
      <alignment horizontal="center" vertical="center"/>
    </xf>
    <xf numFmtId="0" fontId="70" fillId="0" borderId="63" xfId="150" applyFont="1" applyBorder="1" applyAlignment="1">
      <alignment horizontal="center"/>
    </xf>
    <xf numFmtId="165" fontId="13" fillId="0" borderId="0" xfId="0" applyNumberFormat="1" applyFont="1"/>
    <xf numFmtId="0" fontId="11" fillId="0" borderId="47" xfId="79" applyFont="1" applyBorder="1" applyAlignment="1">
      <alignment horizontal="center" vertical="center" wrapText="1"/>
    </xf>
    <xf numFmtId="20" fontId="11" fillId="0" borderId="90" xfId="79" quotePrefix="1" applyNumberFormat="1" applyFont="1" applyBorder="1" applyAlignment="1">
      <alignment horizontal="center" vertical="center" wrapText="1"/>
    </xf>
    <xf numFmtId="0" fontId="9" fillId="0" borderId="68" xfId="79" applyFont="1" applyBorder="1" applyAlignment="1">
      <alignment horizontal="center" vertical="center" wrapText="1"/>
    </xf>
    <xf numFmtId="0" fontId="11" fillId="0" borderId="51" xfId="79" applyFont="1" applyBorder="1" applyAlignment="1">
      <alignment horizontal="center" vertical="center" wrapText="1"/>
    </xf>
    <xf numFmtId="0" fontId="11" fillId="0" borderId="55" xfId="79" applyFont="1" applyBorder="1" applyAlignment="1">
      <alignment horizontal="center" vertical="center" wrapText="1"/>
    </xf>
    <xf numFmtId="20" fontId="11" fillId="0" borderId="91" xfId="79" quotePrefix="1" applyNumberFormat="1" applyFont="1" applyBorder="1" applyAlignment="1">
      <alignment horizontal="center" vertical="center" wrapText="1"/>
    </xf>
    <xf numFmtId="0" fontId="9" fillId="0" borderId="63" xfId="79" applyFont="1" applyBorder="1" applyAlignment="1">
      <alignment horizontal="center" vertical="center" wrapText="1"/>
    </xf>
    <xf numFmtId="20" fontId="11" fillId="0" borderId="76" xfId="79" quotePrefix="1" applyNumberFormat="1" applyFont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3" fontId="71" fillId="0" borderId="77" xfId="312" applyNumberFormat="1" applyFont="1" applyBorder="1" applyAlignment="1">
      <alignment horizontal="center" vertical="center"/>
    </xf>
    <xf numFmtId="0" fontId="90" fillId="0" borderId="62" xfId="64" applyFont="1" applyFill="1" applyBorder="1" applyAlignment="1">
      <alignment horizontal="center" vertical="center" wrapText="1"/>
    </xf>
    <xf numFmtId="0" fontId="90" fillId="0" borderId="63" xfId="64" applyFont="1" applyFill="1" applyBorder="1" applyAlignment="1">
      <alignment horizontal="center" vertical="center" wrapText="1"/>
    </xf>
    <xf numFmtId="0" fontId="90" fillId="0" borderId="61" xfId="64" applyFont="1" applyFill="1" applyBorder="1" applyAlignment="1">
      <alignment horizontal="center" vertical="center" wrapText="1"/>
    </xf>
    <xf numFmtId="0" fontId="90" fillId="0" borderId="10" xfId="64" applyFont="1" applyFill="1" applyBorder="1" applyAlignment="1">
      <alignment horizontal="center" vertical="center" wrapText="1"/>
    </xf>
    <xf numFmtId="0" fontId="90" fillId="0" borderId="68" xfId="64" applyFont="1" applyFill="1" applyBorder="1" applyAlignment="1">
      <alignment horizontal="center" vertical="center" wrapText="1"/>
    </xf>
    <xf numFmtId="0" fontId="90" fillId="0" borderId="60" xfId="64" applyFont="1" applyFill="1" applyBorder="1" applyAlignment="1">
      <alignment horizontal="center" vertical="center" wrapText="1"/>
    </xf>
    <xf numFmtId="0" fontId="69" fillId="0" borderId="0" xfId="79" applyFont="1"/>
    <xf numFmtId="0" fontId="71" fillId="0" borderId="82" xfId="79" applyFont="1" applyBorder="1" applyAlignment="1">
      <alignment horizontal="center" vertical="center" wrapText="1"/>
    </xf>
    <xf numFmtId="0" fontId="71" fillId="0" borderId="81" xfId="79" applyFont="1" applyBorder="1" applyAlignment="1">
      <alignment horizontal="center" vertical="center" wrapText="1"/>
    </xf>
    <xf numFmtId="0" fontId="71" fillId="0" borderId="14" xfId="79" applyFont="1" applyBorder="1" applyAlignment="1">
      <alignment horizontal="center" vertical="center" wrapText="1"/>
    </xf>
    <xf numFmtId="0" fontId="69" fillId="0" borderId="0" xfId="79" applyFont="1" applyAlignment="1">
      <alignment vertical="center"/>
    </xf>
    <xf numFmtId="49" fontId="71" fillId="0" borderId="50" xfId="0" applyNumberFormat="1" applyFont="1" applyBorder="1"/>
    <xf numFmtId="49" fontId="71" fillId="0" borderId="25" xfId="0" applyNumberFormat="1" applyFont="1" applyBorder="1"/>
    <xf numFmtId="0" fontId="84" fillId="0" borderId="50" xfId="60" applyFont="1" applyFill="1" applyBorder="1"/>
    <xf numFmtId="0" fontId="84" fillId="0" borderId="25" xfId="60" applyFont="1" applyFill="1" applyBorder="1"/>
    <xf numFmtId="49" fontId="71" fillId="0" borderId="25" xfId="0" applyNumberFormat="1" applyFont="1" applyFill="1" applyBorder="1"/>
    <xf numFmtId="0" fontId="84" fillId="0" borderId="50" xfId="60" applyFont="1" applyBorder="1"/>
    <xf numFmtId="0" fontId="84" fillId="0" borderId="25" xfId="60" applyFont="1" applyBorder="1"/>
    <xf numFmtId="49" fontId="71" fillId="0" borderId="49" xfId="0" applyNumberFormat="1" applyFont="1" applyBorder="1"/>
    <xf numFmtId="49" fontId="71" fillId="0" borderId="40" xfId="0" applyNumberFormat="1" applyFont="1" applyBorder="1"/>
    <xf numFmtId="0" fontId="90" fillId="20" borderId="83" xfId="105" applyFont="1" applyFill="1" applyBorder="1" applyAlignment="1">
      <alignment horizontal="center" vertical="center"/>
    </xf>
    <xf numFmtId="0" fontId="90" fillId="20" borderId="84" xfId="105" applyFont="1" applyFill="1" applyBorder="1" applyAlignment="1">
      <alignment horizontal="center" vertical="center"/>
    </xf>
    <xf numFmtId="0" fontId="90" fillId="20" borderId="85" xfId="105" applyFont="1" applyFill="1" applyBorder="1" applyAlignment="1">
      <alignment horizontal="center" vertical="center"/>
    </xf>
    <xf numFmtId="0" fontId="90" fillId="20" borderId="88" xfId="105" applyFont="1" applyFill="1" applyBorder="1" applyAlignment="1">
      <alignment horizontal="center" vertical="center"/>
    </xf>
    <xf numFmtId="3" fontId="71" fillId="20" borderId="42" xfId="105" applyNumberFormat="1" applyFont="1" applyFill="1" applyBorder="1"/>
    <xf numFmtId="3" fontId="71" fillId="20" borderId="27" xfId="105" applyNumberFormat="1" applyFont="1" applyFill="1" applyBorder="1" applyAlignment="1">
      <alignment horizontal="right"/>
    </xf>
    <xf numFmtId="3" fontId="71" fillId="20" borderId="27" xfId="105" applyNumberFormat="1" applyFont="1" applyFill="1" applyBorder="1"/>
    <xf numFmtId="3" fontId="71" fillId="0" borderId="27" xfId="105" applyNumberFormat="1" applyFont="1" applyFill="1" applyBorder="1"/>
    <xf numFmtId="3" fontId="71" fillId="0" borderId="27" xfId="105" applyNumberFormat="1" applyFont="1" applyBorder="1"/>
    <xf numFmtId="3" fontId="71" fillId="0" borderId="27" xfId="105" applyNumberFormat="1" applyFont="1" applyFill="1" applyBorder="1" applyAlignment="1">
      <alignment horizontal="right"/>
    </xf>
    <xf numFmtId="0" fontId="71" fillId="0" borderId="56" xfId="0" applyFont="1" applyBorder="1"/>
    <xf numFmtId="0" fontId="71" fillId="0" borderId="57" xfId="0" applyFont="1" applyBorder="1"/>
    <xf numFmtId="0" fontId="84" fillId="0" borderId="57" xfId="60" applyFont="1" applyFill="1" applyBorder="1"/>
    <xf numFmtId="0" fontId="84" fillId="0" borderId="57" xfId="60" applyFont="1" applyBorder="1"/>
    <xf numFmtId="0" fontId="71" fillId="0" borderId="57" xfId="60" applyFont="1" applyBorder="1"/>
    <xf numFmtId="3" fontId="71" fillId="0" borderId="27" xfId="105" applyNumberFormat="1" applyFont="1" applyBorder="1" applyAlignment="1">
      <alignment horizontal="right"/>
    </xf>
    <xf numFmtId="0" fontId="90" fillId="20" borderId="10" xfId="105" applyFont="1" applyFill="1" applyBorder="1" applyAlignment="1">
      <alignment horizontal="center" vertical="center"/>
    </xf>
    <xf numFmtId="3" fontId="71" fillId="20" borderId="70" xfId="105" applyNumberFormat="1" applyFont="1" applyFill="1" applyBorder="1"/>
    <xf numFmtId="3" fontId="71" fillId="20" borderId="71" xfId="105" applyNumberFormat="1" applyFont="1" applyFill="1" applyBorder="1" applyAlignment="1">
      <alignment horizontal="right"/>
    </xf>
    <xf numFmtId="3" fontId="71" fillId="20" borderId="71" xfId="105" applyNumberFormat="1" applyFont="1" applyFill="1" applyBorder="1"/>
    <xf numFmtId="165" fontId="71" fillId="20" borderId="71" xfId="105" applyNumberFormat="1" applyFont="1" applyFill="1" applyBorder="1" applyAlignment="1">
      <alignment horizontal="right"/>
    </xf>
    <xf numFmtId="3" fontId="71" fillId="0" borderId="71" xfId="105" applyNumberFormat="1" applyFont="1" applyFill="1" applyBorder="1"/>
    <xf numFmtId="49" fontId="71" fillId="20" borderId="71" xfId="105" applyNumberFormat="1" applyFont="1" applyFill="1" applyBorder="1" applyAlignment="1">
      <alignment horizontal="right"/>
    </xf>
    <xf numFmtId="3" fontId="71" fillId="0" borderId="71" xfId="105" applyNumberFormat="1" applyFont="1" applyBorder="1"/>
    <xf numFmtId="0" fontId="90" fillId="20" borderId="94" xfId="105" applyFont="1" applyFill="1" applyBorder="1" applyAlignment="1">
      <alignment horizontal="center" vertical="center"/>
    </xf>
    <xf numFmtId="3" fontId="71" fillId="20" borderId="29" xfId="105" applyNumberFormat="1" applyFont="1" applyFill="1" applyBorder="1"/>
    <xf numFmtId="3" fontId="71" fillId="20" borderId="26" xfId="105" applyNumberFormat="1" applyFont="1" applyFill="1" applyBorder="1" applyAlignment="1">
      <alignment horizontal="right"/>
    </xf>
    <xf numFmtId="3" fontId="71" fillId="20" borderId="26" xfId="105" applyNumberFormat="1" applyFont="1" applyFill="1" applyBorder="1"/>
    <xf numFmtId="3" fontId="71" fillId="0" borderId="26" xfId="105" applyNumberFormat="1" applyFont="1" applyFill="1" applyBorder="1" applyAlignment="1">
      <alignment horizontal="right"/>
    </xf>
    <xf numFmtId="3" fontId="71" fillId="0" borderId="26" xfId="105" applyNumberFormat="1" applyFont="1" applyFill="1" applyBorder="1"/>
    <xf numFmtId="3" fontId="71" fillId="0" borderId="26" xfId="105" applyNumberFormat="1" applyFont="1" applyBorder="1" applyAlignment="1">
      <alignment horizontal="right"/>
    </xf>
    <xf numFmtId="0" fontId="90" fillId="20" borderId="22" xfId="105" applyFont="1" applyFill="1" applyBorder="1" applyAlignment="1">
      <alignment horizontal="center" vertical="center"/>
    </xf>
    <xf numFmtId="165" fontId="71" fillId="20" borderId="70" xfId="105" applyNumberFormat="1" applyFont="1" applyFill="1" applyBorder="1" applyAlignment="1">
      <alignment horizontal="right"/>
    </xf>
    <xf numFmtId="165" fontId="70" fillId="20" borderId="71" xfId="105" applyNumberFormat="1" applyFont="1" applyFill="1" applyBorder="1" applyAlignment="1">
      <alignment horizontal="right"/>
    </xf>
    <xf numFmtId="49" fontId="70" fillId="20" borderId="71" xfId="105" applyNumberFormat="1" applyFont="1" applyFill="1" applyBorder="1" applyAlignment="1">
      <alignment horizontal="right"/>
    </xf>
    <xf numFmtId="0" fontId="70" fillId="20" borderId="87" xfId="105" applyFont="1" applyFill="1" applyBorder="1" applyAlignment="1">
      <alignment horizontal="center" vertical="center" wrapText="1"/>
    </xf>
    <xf numFmtId="0" fontId="70" fillId="20" borderId="80" xfId="105" applyFont="1" applyFill="1" applyBorder="1" applyAlignment="1">
      <alignment horizontal="center" vertical="center" wrapText="1"/>
    </xf>
    <xf numFmtId="0" fontId="70" fillId="20" borderId="81" xfId="105" applyFont="1" applyFill="1" applyBorder="1" applyAlignment="1">
      <alignment horizontal="center" vertical="center" wrapText="1"/>
    </xf>
    <xf numFmtId="0" fontId="70" fillId="20" borderId="14" xfId="105" applyFont="1" applyFill="1" applyBorder="1" applyAlignment="1">
      <alignment horizontal="center" vertical="center" wrapText="1"/>
    </xf>
    <xf numFmtId="0" fontId="71" fillId="20" borderId="10" xfId="105" applyFont="1" applyFill="1" applyBorder="1" applyAlignment="1">
      <alignment horizontal="center" vertical="center" wrapText="1"/>
    </xf>
    <xf numFmtId="49" fontId="71" fillId="0" borderId="55" xfId="0" applyNumberFormat="1" applyFont="1" applyBorder="1"/>
    <xf numFmtId="49" fontId="71" fillId="0" borderId="47" xfId="0" applyNumberFormat="1" applyFont="1" applyBorder="1"/>
    <xf numFmtId="0" fontId="71" fillId="0" borderId="91" xfId="0" applyFont="1" applyBorder="1"/>
    <xf numFmtId="3" fontId="71" fillId="0" borderId="76" xfId="105" applyNumberFormat="1" applyFont="1" applyFill="1" applyBorder="1" applyAlignment="1">
      <alignment horizontal="right"/>
    </xf>
    <xf numFmtId="3" fontId="71" fillId="0" borderId="51" xfId="105" applyNumberFormat="1" applyFont="1" applyFill="1" applyBorder="1" applyAlignment="1">
      <alignment horizontal="right"/>
    </xf>
    <xf numFmtId="3" fontId="71" fillId="0" borderId="90" xfId="105" applyNumberFormat="1" applyFont="1" applyFill="1" applyBorder="1" applyAlignment="1">
      <alignment horizontal="right"/>
    </xf>
    <xf numFmtId="165" fontId="71" fillId="20" borderId="76" xfId="105" applyNumberFormat="1" applyFont="1" applyFill="1" applyBorder="1" applyAlignment="1">
      <alignment horizontal="right"/>
    </xf>
    <xf numFmtId="3" fontId="70" fillId="19" borderId="10" xfId="105" applyNumberFormat="1" applyFont="1" applyFill="1" applyBorder="1" applyAlignment="1">
      <alignment horizontal="right"/>
    </xf>
    <xf numFmtId="3" fontId="70" fillId="19" borderId="61" xfId="105" applyNumberFormat="1" applyFont="1" applyFill="1" applyBorder="1" applyAlignment="1">
      <alignment horizontal="right"/>
    </xf>
    <xf numFmtId="3" fontId="70" fillId="19" borderId="68" xfId="105" applyNumberFormat="1" applyFont="1" applyFill="1" applyBorder="1" applyAlignment="1">
      <alignment horizontal="right"/>
    </xf>
    <xf numFmtId="49" fontId="71" fillId="0" borderId="50" xfId="0" applyNumberFormat="1" applyFont="1" applyFill="1" applyBorder="1" applyAlignment="1">
      <alignment horizontal="center"/>
    </xf>
    <xf numFmtId="49" fontId="71" fillId="0" borderId="25" xfId="0" applyNumberFormat="1" applyFont="1" applyFill="1" applyBorder="1" applyAlignment="1">
      <alignment horizontal="center"/>
    </xf>
    <xf numFmtId="1" fontId="71" fillId="0" borderId="25" xfId="0" applyNumberFormat="1" applyFont="1" applyFill="1" applyBorder="1" applyAlignment="1">
      <alignment horizontal="center"/>
    </xf>
    <xf numFmtId="49" fontId="71" fillId="0" borderId="49" xfId="0" applyNumberFormat="1" applyFont="1" applyFill="1" applyBorder="1" applyAlignment="1">
      <alignment horizontal="center"/>
    </xf>
    <xf numFmtId="49" fontId="71" fillId="0" borderId="40" xfId="0" applyNumberFormat="1" applyFont="1" applyFill="1" applyBorder="1" applyAlignment="1">
      <alignment horizontal="center"/>
    </xf>
    <xf numFmtId="0" fontId="90" fillId="0" borderId="83" xfId="105" applyFont="1" applyBorder="1" applyAlignment="1">
      <alignment horizontal="center" vertical="center"/>
    </xf>
    <xf numFmtId="0" fontId="90" fillId="0" borderId="84" xfId="105" applyFont="1" applyBorder="1" applyAlignment="1">
      <alignment horizontal="center" vertical="center"/>
    </xf>
    <xf numFmtId="0" fontId="90" fillId="0" borderId="85" xfId="105" applyFont="1" applyBorder="1" applyAlignment="1">
      <alignment horizontal="center" vertical="center"/>
    </xf>
    <xf numFmtId="0" fontId="90" fillId="0" borderId="88" xfId="105" applyFont="1" applyBorder="1" applyAlignment="1">
      <alignment horizontal="center" vertical="center"/>
    </xf>
    <xf numFmtId="3" fontId="71" fillId="20" borderId="42" xfId="0" applyNumberFormat="1" applyFont="1" applyFill="1" applyBorder="1"/>
    <xf numFmtId="3" fontId="71" fillId="20" borderId="27" xfId="0" applyNumberFormat="1" applyFont="1" applyFill="1" applyBorder="1"/>
    <xf numFmtId="3" fontId="71" fillId="20" borderId="27" xfId="0" applyNumberFormat="1" applyFont="1" applyFill="1" applyBorder="1" applyAlignment="1">
      <alignment horizontal="right"/>
    </xf>
    <xf numFmtId="0" fontId="70" fillId="0" borderId="61" xfId="105" applyFont="1" applyBorder="1" applyAlignment="1">
      <alignment horizontal="center" vertical="center" wrapText="1"/>
    </xf>
    <xf numFmtId="0" fontId="70" fillId="0" borderId="10" xfId="105" applyFont="1" applyBorder="1" applyAlignment="1">
      <alignment horizontal="center" vertical="center" wrapText="1"/>
    </xf>
    <xf numFmtId="0" fontId="90" fillId="0" borderId="10" xfId="105" applyFont="1" applyBorder="1" applyAlignment="1">
      <alignment horizontal="center" vertical="center"/>
    </xf>
    <xf numFmtId="3" fontId="71" fillId="20" borderId="70" xfId="0" applyNumberFormat="1" applyFont="1" applyFill="1" applyBorder="1"/>
    <xf numFmtId="3" fontId="71" fillId="20" borderId="71" xfId="0" applyNumberFormat="1" applyFont="1" applyFill="1" applyBorder="1"/>
    <xf numFmtId="3" fontId="71" fillId="20" borderId="71" xfId="0" applyNumberFormat="1" applyFont="1" applyFill="1" applyBorder="1" applyAlignment="1">
      <alignment horizontal="right"/>
    </xf>
    <xf numFmtId="3" fontId="71" fillId="0" borderId="71" xfId="105" applyNumberFormat="1" applyFont="1" applyBorder="1" applyAlignment="1">
      <alignment horizontal="right"/>
    </xf>
    <xf numFmtId="0" fontId="70" fillId="0" borderId="68" xfId="105" applyFont="1" applyBorder="1" applyAlignment="1">
      <alignment horizontal="center" vertical="center" wrapText="1"/>
    </xf>
    <xf numFmtId="0" fontId="90" fillId="0" borderId="94" xfId="105" applyFont="1" applyBorder="1" applyAlignment="1">
      <alignment horizontal="center" vertical="center"/>
    </xf>
    <xf numFmtId="3" fontId="71" fillId="20" borderId="29" xfId="0" applyNumberFormat="1" applyFont="1" applyFill="1" applyBorder="1"/>
    <xf numFmtId="3" fontId="71" fillId="20" borderId="26" xfId="0" applyNumberFormat="1" applyFont="1" applyFill="1" applyBorder="1"/>
    <xf numFmtId="3" fontId="71" fillId="0" borderId="26" xfId="105" applyNumberFormat="1" applyFont="1" applyBorder="1"/>
    <xf numFmtId="3" fontId="71" fillId="20" borderId="26" xfId="0" applyNumberFormat="1" applyFont="1" applyFill="1" applyBorder="1" applyAlignment="1">
      <alignment horizontal="right"/>
    </xf>
    <xf numFmtId="0" fontId="71" fillId="0" borderId="22" xfId="105" applyFont="1" applyBorder="1" applyAlignment="1">
      <alignment horizontal="center" vertical="center" wrapText="1"/>
    </xf>
    <xf numFmtId="0" fontId="90" fillId="0" borderId="22" xfId="105" applyFont="1" applyBorder="1" applyAlignment="1">
      <alignment horizontal="center" vertical="center"/>
    </xf>
    <xf numFmtId="49" fontId="71" fillId="0" borderId="55" xfId="0" applyNumberFormat="1" applyFont="1" applyFill="1" applyBorder="1" applyAlignment="1">
      <alignment horizontal="center"/>
    </xf>
    <xf numFmtId="1" fontId="71" fillId="0" borderId="47" xfId="0" applyNumberFormat="1" applyFont="1" applyFill="1" applyBorder="1" applyAlignment="1">
      <alignment horizontal="center"/>
    </xf>
    <xf numFmtId="3" fontId="71" fillId="0" borderId="76" xfId="105" applyNumberFormat="1" applyFont="1" applyBorder="1" applyAlignment="1">
      <alignment horizontal="right"/>
    </xf>
    <xf numFmtId="3" fontId="71" fillId="0" borderId="51" xfId="105" applyNumberFormat="1" applyFont="1" applyBorder="1" applyAlignment="1">
      <alignment horizontal="right"/>
    </xf>
    <xf numFmtId="3" fontId="71" fillId="0" borderId="90" xfId="105" applyNumberFormat="1" applyFont="1" applyBorder="1" applyAlignment="1">
      <alignment horizontal="right"/>
    </xf>
    <xf numFmtId="3" fontId="70" fillId="0" borderId="10" xfId="105" applyNumberFormat="1" applyFont="1" applyBorder="1" applyAlignment="1">
      <alignment horizontal="right"/>
    </xf>
    <xf numFmtId="3" fontId="70" fillId="0" borderId="61" xfId="105" applyNumberFormat="1" applyFont="1" applyBorder="1" applyAlignment="1">
      <alignment horizontal="right"/>
    </xf>
    <xf numFmtId="3" fontId="70" fillId="0" borderId="68" xfId="105" applyNumberFormat="1" applyFont="1" applyBorder="1" applyAlignment="1">
      <alignment horizontal="right"/>
    </xf>
    <xf numFmtId="0" fontId="70" fillId="0" borderId="10" xfId="105" applyFont="1" applyBorder="1"/>
    <xf numFmtId="49" fontId="71" fillId="0" borderId="50" xfId="0" applyNumberFormat="1" applyFont="1" applyFill="1" applyBorder="1" applyAlignment="1">
      <alignment horizontal="center" vertical="center"/>
    </xf>
    <xf numFmtId="1" fontId="71" fillId="0" borderId="25" xfId="0" applyNumberFormat="1" applyFont="1" applyFill="1" applyBorder="1" applyAlignment="1">
      <alignment horizontal="center" vertical="center"/>
    </xf>
    <xf numFmtId="49" fontId="71" fillId="0" borderId="49" xfId="0" applyNumberFormat="1" applyFont="1" applyFill="1" applyBorder="1" applyAlignment="1">
      <alignment horizontal="center" vertical="center"/>
    </xf>
    <xf numFmtId="1" fontId="71" fillId="0" borderId="40" xfId="0" applyNumberFormat="1" applyFont="1" applyFill="1" applyBorder="1" applyAlignment="1">
      <alignment horizontal="center" vertical="center"/>
    </xf>
    <xf numFmtId="0" fontId="90" fillId="19" borderId="83" xfId="105" applyFont="1" applyFill="1" applyBorder="1" applyAlignment="1">
      <alignment horizontal="center" vertical="center"/>
    </xf>
    <xf numFmtId="0" fontId="90" fillId="19" borderId="84" xfId="105" applyFont="1" applyFill="1" applyBorder="1" applyAlignment="1">
      <alignment horizontal="center" vertical="center"/>
    </xf>
    <xf numFmtId="0" fontId="90" fillId="19" borderId="85" xfId="105" applyFont="1" applyFill="1" applyBorder="1" applyAlignment="1">
      <alignment horizontal="center" vertical="center"/>
    </xf>
    <xf numFmtId="0" fontId="70" fillId="19" borderId="61" xfId="105" applyFont="1" applyFill="1" applyBorder="1" applyAlignment="1">
      <alignment horizontal="center" vertical="center" wrapText="1"/>
    </xf>
    <xf numFmtId="0" fontId="90" fillId="19" borderId="88" xfId="105" applyFont="1" applyFill="1" applyBorder="1" applyAlignment="1">
      <alignment horizontal="center" vertical="center"/>
    </xf>
    <xf numFmtId="3" fontId="71" fillId="19" borderId="42" xfId="105" applyNumberFormat="1" applyFont="1" applyFill="1" applyBorder="1"/>
    <xf numFmtId="3" fontId="71" fillId="19" borderId="27" xfId="105" applyNumberFormat="1" applyFont="1" applyFill="1" applyBorder="1"/>
    <xf numFmtId="0" fontId="70" fillId="19" borderId="10" xfId="105" applyFont="1" applyFill="1" applyBorder="1" applyAlignment="1">
      <alignment horizontal="center" vertical="center" wrapText="1"/>
    </xf>
    <xf numFmtId="4" fontId="71" fillId="0" borderId="27" xfId="105" applyNumberFormat="1" applyFont="1" applyBorder="1" applyAlignment="1">
      <alignment horizontal="right"/>
    </xf>
    <xf numFmtId="0" fontId="90" fillId="19" borderId="10" xfId="105" applyFont="1" applyFill="1" applyBorder="1" applyAlignment="1">
      <alignment horizontal="center" vertical="center"/>
    </xf>
    <xf numFmtId="3" fontId="71" fillId="19" borderId="70" xfId="105" applyNumberFormat="1" applyFont="1" applyFill="1" applyBorder="1"/>
    <xf numFmtId="3" fontId="71" fillId="19" borderId="71" xfId="105" applyNumberFormat="1" applyFont="1" applyFill="1" applyBorder="1"/>
    <xf numFmtId="0" fontId="70" fillId="19" borderId="68" xfId="105" applyFont="1" applyFill="1" applyBorder="1" applyAlignment="1">
      <alignment horizontal="center" vertical="center" wrapText="1"/>
    </xf>
    <xf numFmtId="0" fontId="90" fillId="19" borderId="94" xfId="105" applyFont="1" applyFill="1" applyBorder="1" applyAlignment="1">
      <alignment horizontal="center" vertical="center"/>
    </xf>
    <xf numFmtId="3" fontId="71" fillId="19" borderId="29" xfId="105" applyNumberFormat="1" applyFont="1" applyFill="1" applyBorder="1"/>
    <xf numFmtId="3" fontId="71" fillId="19" borderId="26" xfId="105" applyNumberFormat="1" applyFont="1" applyFill="1" applyBorder="1"/>
    <xf numFmtId="4" fontId="71" fillId="0" borderId="26" xfId="105" applyNumberFormat="1" applyFont="1" applyBorder="1" applyAlignment="1">
      <alignment horizontal="right"/>
    </xf>
    <xf numFmtId="0" fontId="71" fillId="19" borderId="22" xfId="105" applyFont="1" applyFill="1" applyBorder="1" applyAlignment="1">
      <alignment horizontal="center" vertical="center" wrapText="1"/>
    </xf>
    <xf numFmtId="0" fontId="90" fillId="19" borderId="22" xfId="105" applyFont="1" applyFill="1" applyBorder="1" applyAlignment="1">
      <alignment horizontal="center" vertical="center"/>
    </xf>
    <xf numFmtId="49" fontId="71" fillId="0" borderId="55" xfId="0" applyNumberFormat="1" applyFont="1" applyFill="1" applyBorder="1" applyAlignment="1">
      <alignment horizontal="center" vertical="center"/>
    </xf>
    <xf numFmtId="49" fontId="71" fillId="0" borderId="47" xfId="0" applyNumberFormat="1" applyFont="1" applyFill="1" applyBorder="1" applyAlignment="1">
      <alignment horizontal="center" vertical="center"/>
    </xf>
    <xf numFmtId="0" fontId="71" fillId="0" borderId="91" xfId="0" applyFont="1" applyFill="1" applyBorder="1"/>
    <xf numFmtId="165" fontId="71" fillId="19" borderId="71" xfId="105" applyNumberFormat="1" applyFont="1" applyFill="1" applyBorder="1" applyAlignment="1">
      <alignment horizontal="right"/>
    </xf>
    <xf numFmtId="165" fontId="71" fillId="19" borderId="76" xfId="105" applyNumberFormat="1" applyFont="1" applyFill="1" applyBorder="1" applyAlignment="1">
      <alignment horizontal="right"/>
    </xf>
    <xf numFmtId="165" fontId="71" fillId="19" borderId="70" xfId="105" applyNumberFormat="1" applyFont="1" applyFill="1" applyBorder="1" applyAlignment="1">
      <alignment horizontal="right"/>
    </xf>
    <xf numFmtId="0" fontId="70" fillId="0" borderId="87" xfId="105" applyFont="1" applyBorder="1" applyAlignment="1">
      <alignment horizontal="center" vertical="center" wrapText="1"/>
    </xf>
    <xf numFmtId="49" fontId="71" fillId="0" borderId="78" xfId="105" applyNumberFormat="1" applyFont="1" applyBorder="1" applyAlignment="1">
      <alignment horizontal="center" vertical="center"/>
    </xf>
    <xf numFmtId="0" fontId="71" fillId="0" borderId="77" xfId="105" applyFont="1" applyBorder="1" applyAlignment="1">
      <alignment vertical="center"/>
    </xf>
    <xf numFmtId="3" fontId="71" fillId="0" borderId="48" xfId="105" applyNumberFormat="1" applyFont="1" applyBorder="1" applyAlignment="1">
      <alignment vertical="center"/>
    </xf>
    <xf numFmtId="3" fontId="70" fillId="0" borderId="61" xfId="105" applyNumberFormat="1" applyFont="1" applyBorder="1"/>
    <xf numFmtId="3" fontId="71" fillId="0" borderId="23" xfId="105" applyNumberFormat="1" applyFont="1" applyBorder="1" applyAlignment="1">
      <alignment vertical="center"/>
    </xf>
    <xf numFmtId="3" fontId="70" fillId="0" borderId="10" xfId="105" applyNumberFormat="1" applyFont="1" applyBorder="1"/>
    <xf numFmtId="0" fontId="70" fillId="0" borderId="81" xfId="105" applyFont="1" applyBorder="1" applyAlignment="1">
      <alignment horizontal="center" vertical="center" wrapText="1"/>
    </xf>
    <xf numFmtId="3" fontId="71" fillId="0" borderId="28" xfId="105" applyNumberFormat="1" applyFont="1" applyBorder="1" applyAlignment="1">
      <alignment vertical="center"/>
    </xf>
    <xf numFmtId="3" fontId="70" fillId="0" borderId="68" xfId="105" applyNumberFormat="1" applyFont="1" applyBorder="1"/>
    <xf numFmtId="0" fontId="70" fillId="0" borderId="14" xfId="105" applyFont="1" applyBorder="1" applyAlignment="1">
      <alignment horizontal="center" vertical="center" wrapText="1"/>
    </xf>
    <xf numFmtId="0" fontId="71" fillId="0" borderId="10" xfId="105" applyFont="1" applyBorder="1" applyAlignment="1">
      <alignment horizontal="center" vertical="center" wrapText="1"/>
    </xf>
    <xf numFmtId="165" fontId="71" fillId="0" borderId="23" xfId="105" applyNumberFormat="1" applyFont="1" applyBorder="1" applyAlignment="1">
      <alignment vertical="center"/>
    </xf>
    <xf numFmtId="165" fontId="70" fillId="0" borderId="10" xfId="105" applyNumberFormat="1" applyFont="1" applyBorder="1"/>
    <xf numFmtId="170" fontId="70" fillId="0" borderId="56" xfId="128" applyNumberFormat="1" applyFont="1" applyFill="1" applyBorder="1" applyAlignment="1">
      <alignment vertical="center"/>
    </xf>
    <xf numFmtId="169" fontId="70" fillId="0" borderId="40" xfId="128" applyNumberFormat="1" applyFont="1" applyFill="1" applyBorder="1" applyAlignment="1">
      <alignment vertical="center"/>
    </xf>
    <xf numFmtId="169" fontId="70" fillId="0" borderId="42" xfId="128" applyNumberFormat="1" applyFont="1" applyFill="1" applyBorder="1" applyAlignment="1">
      <alignment vertical="center"/>
    </xf>
    <xf numFmtId="169" fontId="70" fillId="0" borderId="49" xfId="128" applyNumberFormat="1" applyFont="1" applyFill="1" applyBorder="1" applyAlignment="1">
      <alignment vertical="center"/>
    </xf>
    <xf numFmtId="0" fontId="71" fillId="0" borderId="0" xfId="66" applyFont="1"/>
    <xf numFmtId="0" fontId="71" fillId="0" borderId="50" xfId="186" quotePrefix="1" applyNumberFormat="1" applyFont="1" applyFill="1" applyBorder="1"/>
    <xf numFmtId="0" fontId="71" fillId="0" borderId="49" xfId="186" quotePrefix="1" applyNumberFormat="1" applyFont="1" applyFill="1" applyBorder="1"/>
    <xf numFmtId="0" fontId="71" fillId="0" borderId="29" xfId="186" quotePrefix="1" applyNumberFormat="1" applyFont="1" applyFill="1" applyBorder="1"/>
    <xf numFmtId="0" fontId="71" fillId="0" borderId="26" xfId="186" quotePrefix="1" applyNumberFormat="1" applyFont="1" applyFill="1" applyBorder="1"/>
    <xf numFmtId="172" fontId="71" fillId="0" borderId="49" xfId="160" applyNumberFormat="1" applyFont="1" applyFill="1" applyBorder="1"/>
    <xf numFmtId="172" fontId="71" fillId="0" borderId="50" xfId="160" applyNumberFormat="1" applyFont="1" applyFill="1" applyBorder="1"/>
    <xf numFmtId="0" fontId="90" fillId="0" borderId="60" xfId="75" applyFont="1" applyBorder="1" applyAlignment="1">
      <alignment horizontal="center" vertical="center"/>
    </xf>
    <xf numFmtId="0" fontId="90" fillId="0" borderId="68" xfId="75" applyFont="1" applyBorder="1" applyAlignment="1">
      <alignment horizontal="center" vertical="center"/>
    </xf>
    <xf numFmtId="0" fontId="71" fillId="0" borderId="55" xfId="186" quotePrefix="1" applyNumberFormat="1" applyFont="1" applyFill="1" applyBorder="1"/>
    <xf numFmtId="0" fontId="71" fillId="0" borderId="90" xfId="186" quotePrefix="1" applyNumberFormat="1" applyFont="1" applyFill="1" applyBorder="1"/>
    <xf numFmtId="172" fontId="71" fillId="0" borderId="55" xfId="160" applyNumberFormat="1" applyFont="1" applyFill="1" applyBorder="1"/>
    <xf numFmtId="172" fontId="70" fillId="0" borderId="60" xfId="160" applyNumberFormat="1" applyFont="1" applyBorder="1"/>
    <xf numFmtId="0" fontId="71" fillId="0" borderId="0" xfId="71" applyFont="1" applyFill="1"/>
    <xf numFmtId="0" fontId="71" fillId="0" borderId="0" xfId="71" applyFont="1" applyFill="1" applyAlignment="1">
      <alignment vertical="center"/>
    </xf>
    <xf numFmtId="0" fontId="71" fillId="0" borderId="50" xfId="71" applyFont="1" applyFill="1" applyBorder="1" applyAlignment="1">
      <alignment horizontal="center" vertical="center"/>
    </xf>
    <xf numFmtId="3" fontId="71" fillId="0" borderId="25" xfId="71" applyNumberFormat="1" applyFont="1" applyFill="1" applyBorder="1" applyAlignment="1">
      <alignment horizontal="right" vertical="center"/>
    </xf>
    <xf numFmtId="164" fontId="71" fillId="0" borderId="57" xfId="71" applyNumberFormat="1" applyFont="1" applyFill="1" applyBorder="1" applyAlignment="1">
      <alignment horizontal="right" vertical="center"/>
    </xf>
    <xf numFmtId="0" fontId="71" fillId="0" borderId="49" xfId="71" applyFont="1" applyFill="1" applyBorder="1" applyAlignment="1">
      <alignment horizontal="center" vertical="center"/>
    </xf>
    <xf numFmtId="3" fontId="71" fillId="0" borderId="40" xfId="71" applyNumberFormat="1" applyFont="1" applyFill="1" applyBorder="1" applyAlignment="1">
      <alignment horizontal="right" vertical="center"/>
    </xf>
    <xf numFmtId="164" fontId="71" fillId="0" borderId="56" xfId="71" applyNumberFormat="1" applyFont="1" applyFill="1" applyBorder="1" applyAlignment="1">
      <alignment horizontal="right" vertical="center"/>
    </xf>
    <xf numFmtId="3" fontId="71" fillId="0" borderId="42" xfId="71" applyNumberFormat="1" applyFont="1" applyFill="1" applyBorder="1" applyAlignment="1">
      <alignment horizontal="right" vertical="center"/>
    </xf>
    <xf numFmtId="3" fontId="71" fillId="0" borderId="27" xfId="71" applyNumberFormat="1" applyFont="1" applyFill="1" applyBorder="1" applyAlignment="1">
      <alignment horizontal="right" vertical="center"/>
    </xf>
    <xf numFmtId="0" fontId="71" fillId="0" borderId="56" xfId="71" applyFont="1" applyFill="1" applyBorder="1" applyAlignment="1">
      <alignment vertical="center" wrapText="1"/>
    </xf>
    <xf numFmtId="0" fontId="71" fillId="0" borderId="57" xfId="71" applyFont="1" applyFill="1" applyBorder="1" applyAlignment="1">
      <alignment vertical="center" wrapText="1"/>
    </xf>
    <xf numFmtId="0" fontId="71" fillId="0" borderId="55" xfId="71" applyFont="1" applyFill="1" applyBorder="1" applyAlignment="1">
      <alignment horizontal="center" vertical="center"/>
    </xf>
    <xf numFmtId="0" fontId="71" fillId="0" borderId="91" xfId="71" applyFont="1" applyFill="1" applyBorder="1" applyAlignment="1">
      <alignment vertical="center" wrapText="1"/>
    </xf>
    <xf numFmtId="3" fontId="71" fillId="0" borderId="51" xfId="71" applyNumberFormat="1" applyFont="1" applyFill="1" applyBorder="1" applyAlignment="1">
      <alignment horizontal="right" vertical="center"/>
    </xf>
    <xf numFmtId="3" fontId="71" fillId="0" borderId="47" xfId="71" applyNumberFormat="1" applyFont="1" applyFill="1" applyBorder="1" applyAlignment="1">
      <alignment horizontal="right" vertical="center"/>
    </xf>
    <xf numFmtId="164" fontId="71" fillId="0" borderId="91" xfId="71" applyNumberFormat="1" applyFont="1" applyFill="1" applyBorder="1" applyAlignment="1">
      <alignment horizontal="right" vertical="center"/>
    </xf>
    <xf numFmtId="3" fontId="70" fillId="0" borderId="61" xfId="71" applyNumberFormat="1" applyFont="1" applyFill="1" applyBorder="1" applyAlignment="1">
      <alignment horizontal="right" vertical="center"/>
    </xf>
    <xf numFmtId="3" fontId="70" fillId="0" borderId="62" xfId="71" applyNumberFormat="1" applyFont="1" applyFill="1" applyBorder="1" applyAlignment="1">
      <alignment horizontal="right" vertical="center"/>
    </xf>
    <xf numFmtId="164" fontId="70" fillId="0" borderId="63" xfId="71" applyNumberFormat="1" applyFont="1" applyFill="1" applyBorder="1" applyAlignment="1">
      <alignment horizontal="right" vertical="center"/>
    </xf>
    <xf numFmtId="0" fontId="70" fillId="0" borderId="41" xfId="71" applyFont="1" applyFill="1" applyBorder="1" applyAlignment="1">
      <alignment horizontal="center" vertical="center" wrapText="1"/>
    </xf>
    <xf numFmtId="0" fontId="70" fillId="0" borderId="59" xfId="71" applyFont="1" applyFill="1" applyBorder="1" applyAlignment="1">
      <alignment horizontal="center" vertical="center" wrapText="1"/>
    </xf>
    <xf numFmtId="3" fontId="71" fillId="0" borderId="52" xfId="71" applyNumberFormat="1" applyFont="1" applyFill="1" applyBorder="1" applyAlignment="1">
      <alignment horizontal="right" vertical="center"/>
    </xf>
    <xf numFmtId="3" fontId="71" fillId="0" borderId="53" xfId="71" applyNumberFormat="1" applyFont="1" applyFill="1" applyBorder="1" applyAlignment="1">
      <alignment horizontal="right" vertical="center"/>
    </xf>
    <xf numFmtId="3" fontId="71" fillId="0" borderId="54" xfId="71" applyNumberFormat="1" applyFont="1" applyFill="1" applyBorder="1" applyAlignment="1">
      <alignment horizontal="right" vertical="center"/>
    </xf>
    <xf numFmtId="3" fontId="71" fillId="0" borderId="50" xfId="71" applyNumberFormat="1" applyFont="1" applyFill="1" applyBorder="1" applyAlignment="1">
      <alignment horizontal="right" vertical="center"/>
    </xf>
    <xf numFmtId="3" fontId="71" fillId="0" borderId="57" xfId="71" applyNumberFormat="1" applyFont="1" applyFill="1" applyBorder="1" applyAlignment="1">
      <alignment horizontal="right" vertical="center"/>
    </xf>
    <xf numFmtId="3" fontId="71" fillId="0" borderId="55" xfId="71" applyNumberFormat="1" applyFont="1" applyFill="1" applyBorder="1" applyAlignment="1">
      <alignment horizontal="right" vertical="center"/>
    </xf>
    <xf numFmtId="3" fontId="71" fillId="0" borderId="91" xfId="71" applyNumberFormat="1" applyFont="1" applyFill="1" applyBorder="1" applyAlignment="1">
      <alignment horizontal="right" vertical="center"/>
    </xf>
    <xf numFmtId="3" fontId="70" fillId="0" borderId="60" xfId="71" applyNumberFormat="1" applyFont="1" applyFill="1" applyBorder="1" applyAlignment="1">
      <alignment horizontal="right" vertical="center"/>
    </xf>
    <xf numFmtId="3" fontId="70" fillId="0" borderId="63" xfId="71" applyNumberFormat="1" applyFont="1" applyFill="1" applyBorder="1" applyAlignment="1">
      <alignment horizontal="right" vertical="center"/>
    </xf>
    <xf numFmtId="0" fontId="71" fillId="0" borderId="0" xfId="70" applyFont="1" applyAlignment="1">
      <alignment vertical="center"/>
    </xf>
    <xf numFmtId="0" fontId="71" fillId="0" borderId="0" xfId="76" applyFont="1" applyAlignment="1">
      <alignment vertical="center"/>
    </xf>
    <xf numFmtId="168" fontId="71" fillId="0" borderId="0" xfId="186" applyNumberFormat="1" applyFont="1" applyAlignment="1">
      <alignment vertical="center"/>
    </xf>
    <xf numFmtId="0" fontId="71" fillId="0" borderId="0" xfId="186" applyFont="1" applyAlignment="1">
      <alignment horizontal="left" vertical="center"/>
    </xf>
    <xf numFmtId="0" fontId="71" fillId="0" borderId="0" xfId="186" applyFont="1" applyAlignment="1">
      <alignment vertical="center"/>
    </xf>
    <xf numFmtId="0" fontId="71" fillId="0" borderId="0" xfId="186" applyFont="1" applyFill="1" applyAlignment="1">
      <alignment vertical="center"/>
    </xf>
    <xf numFmtId="168" fontId="71" fillId="0" borderId="50" xfId="0" applyNumberFormat="1" applyFont="1" applyBorder="1" applyAlignment="1">
      <alignment horizontal="left"/>
    </xf>
    <xf numFmtId="168" fontId="71" fillId="0" borderId="25" xfId="0" applyNumberFormat="1" applyFont="1" applyBorder="1" applyAlignment="1">
      <alignment horizontal="left"/>
    </xf>
    <xf numFmtId="168" fontId="71" fillId="0" borderId="49" xfId="0" applyNumberFormat="1" applyFont="1" applyBorder="1" applyAlignment="1">
      <alignment horizontal="left"/>
    </xf>
    <xf numFmtId="168" fontId="71" fillId="0" borderId="40" xfId="0" applyNumberFormat="1" applyFont="1" applyBorder="1" applyAlignment="1">
      <alignment horizontal="left"/>
    </xf>
    <xf numFmtId="172" fontId="71" fillId="0" borderId="42" xfId="41" applyNumberFormat="1" applyFont="1" applyBorder="1"/>
    <xf numFmtId="172" fontId="71" fillId="0" borderId="27" xfId="41" applyNumberFormat="1" applyFont="1" applyBorder="1"/>
    <xf numFmtId="0" fontId="71" fillId="0" borderId="56" xfId="0" applyFont="1" applyBorder="1" applyAlignment="1">
      <alignment horizontal="left"/>
    </xf>
    <xf numFmtId="0" fontId="71" fillId="0" borderId="57" xfId="0" applyFont="1" applyBorder="1" applyAlignment="1">
      <alignment horizontal="left"/>
    </xf>
    <xf numFmtId="0" fontId="90" fillId="0" borderId="83" xfId="186" quotePrefix="1" applyNumberFormat="1" applyFont="1" applyBorder="1" applyAlignment="1">
      <alignment horizontal="center" vertical="center"/>
    </xf>
    <xf numFmtId="0" fontId="90" fillId="0" borderId="84" xfId="186" quotePrefix="1" applyNumberFormat="1" applyFont="1" applyBorder="1" applyAlignment="1">
      <alignment horizontal="center" vertical="center"/>
    </xf>
    <xf numFmtId="0" fontId="90" fillId="0" borderId="85" xfId="186" quotePrefix="1" applyNumberFormat="1" applyFont="1" applyBorder="1" applyAlignment="1">
      <alignment horizontal="center" vertical="center"/>
    </xf>
    <xf numFmtId="0" fontId="90" fillId="0" borderId="88" xfId="186" quotePrefix="1" applyNumberFormat="1" applyFont="1" applyBorder="1" applyAlignment="1">
      <alignment horizontal="center" vertical="center"/>
    </xf>
    <xf numFmtId="168" fontId="71" fillId="0" borderId="0" xfId="186" applyNumberFormat="1" applyFont="1"/>
    <xf numFmtId="0" fontId="71" fillId="0" borderId="0" xfId="186" applyFont="1" applyAlignment="1">
      <alignment horizontal="left"/>
    </xf>
    <xf numFmtId="0" fontId="71" fillId="0" borderId="0" xfId="186" applyFont="1"/>
    <xf numFmtId="0" fontId="71" fillId="0" borderId="0" xfId="186" applyFont="1" applyFill="1"/>
    <xf numFmtId="0" fontId="70" fillId="0" borderId="0" xfId="70" applyFont="1"/>
    <xf numFmtId="0" fontId="90" fillId="0" borderId="60" xfId="186" quotePrefix="1" applyNumberFormat="1" applyFont="1" applyBorder="1" applyAlignment="1">
      <alignment horizontal="center" vertical="center"/>
    </xf>
    <xf numFmtId="0" fontId="90" fillId="0" borderId="62" xfId="186" quotePrefix="1" applyNumberFormat="1" applyFont="1" applyBorder="1" applyAlignment="1">
      <alignment horizontal="center" vertical="center"/>
    </xf>
    <xf numFmtId="0" fontId="90" fillId="0" borderId="63" xfId="186" quotePrefix="1" applyNumberFormat="1" applyFont="1" applyBorder="1" applyAlignment="1">
      <alignment horizontal="center" vertical="center"/>
    </xf>
    <xf numFmtId="0" fontId="90" fillId="0" borderId="61" xfId="186" quotePrefix="1" applyNumberFormat="1" applyFont="1" applyBorder="1" applyAlignment="1">
      <alignment horizontal="center" vertical="center"/>
    </xf>
    <xf numFmtId="172" fontId="71" fillId="0" borderId="42" xfId="185" applyNumberFormat="1" applyFont="1" applyBorder="1"/>
    <xf numFmtId="172" fontId="71" fillId="0" borderId="27" xfId="185" applyNumberFormat="1" applyFont="1" applyBorder="1"/>
    <xf numFmtId="0" fontId="70" fillId="0" borderId="54" xfId="75" applyFont="1" applyFill="1" applyBorder="1" applyAlignment="1">
      <alignment horizontal="left" vertical="center" wrapText="1"/>
    </xf>
    <xf numFmtId="0" fontId="90" fillId="0" borderId="63" xfId="186" quotePrefix="1" applyNumberFormat="1" applyFont="1" applyFill="1" applyBorder="1" applyAlignment="1">
      <alignment horizontal="center" vertical="center"/>
    </xf>
    <xf numFmtId="172" fontId="71" fillId="0" borderId="49" xfId="185" applyNumberFormat="1" applyFont="1" applyBorder="1"/>
    <xf numFmtId="172" fontId="71" fillId="0" borderId="56" xfId="185" applyNumberFormat="1" applyFont="1" applyFill="1" applyBorder="1"/>
    <xf numFmtId="172" fontId="71" fillId="0" borderId="50" xfId="185" applyNumberFormat="1" applyFont="1" applyBorder="1"/>
    <xf numFmtId="172" fontId="71" fillId="0" borderId="57" xfId="185" applyNumberFormat="1" applyFont="1" applyFill="1" applyBorder="1"/>
    <xf numFmtId="0" fontId="90" fillId="0" borderId="68" xfId="186" quotePrefix="1" applyNumberFormat="1" applyFont="1" applyBorder="1" applyAlignment="1">
      <alignment horizontal="center" vertical="center"/>
    </xf>
    <xf numFmtId="172" fontId="71" fillId="0" borderId="29" xfId="185" applyNumberFormat="1" applyFont="1" applyBorder="1"/>
    <xf numFmtId="172" fontId="71" fillId="0" borderId="26" xfId="185" applyNumberFormat="1" applyFont="1" applyBorder="1"/>
    <xf numFmtId="0" fontId="90" fillId="0" borderId="13" xfId="186" quotePrefix="1" applyNumberFormat="1" applyFont="1" applyBorder="1" applyAlignment="1">
      <alignment horizontal="center" vertical="center"/>
    </xf>
    <xf numFmtId="164" fontId="71" fillId="0" borderId="92" xfId="186" applyNumberFormat="1" applyFont="1" applyBorder="1"/>
    <xf numFmtId="164" fontId="71" fillId="0" borderId="93" xfId="186" applyNumberFormat="1" applyFont="1" applyBorder="1"/>
    <xf numFmtId="0" fontId="90" fillId="0" borderId="10" xfId="186" quotePrefix="1" applyNumberFormat="1" applyFont="1" applyBorder="1" applyAlignment="1">
      <alignment horizontal="center" vertical="center"/>
    </xf>
    <xf numFmtId="172" fontId="71" fillId="0" borderId="70" xfId="185" applyNumberFormat="1" applyFont="1" applyBorder="1"/>
    <xf numFmtId="172" fontId="71" fillId="0" borderId="71" xfId="185" applyNumberFormat="1" applyFont="1" applyBorder="1"/>
    <xf numFmtId="0" fontId="71" fillId="0" borderId="10" xfId="186" applyFont="1" applyBorder="1" applyAlignment="1">
      <alignment horizontal="center" vertical="center" wrapText="1"/>
    </xf>
    <xf numFmtId="168" fontId="71" fillId="0" borderId="55" xfId="0" applyNumberFormat="1" applyFont="1" applyBorder="1" applyAlignment="1">
      <alignment horizontal="left"/>
    </xf>
    <xf numFmtId="168" fontId="71" fillId="0" borderId="47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/>
    </xf>
    <xf numFmtId="172" fontId="71" fillId="0" borderId="55" xfId="185" applyNumberFormat="1" applyFont="1" applyBorder="1"/>
    <xf numFmtId="172" fontId="71" fillId="0" borderId="91" xfId="185" applyNumberFormat="1" applyFont="1" applyFill="1" applyBorder="1"/>
    <xf numFmtId="172" fontId="71" fillId="0" borderId="51" xfId="185" applyNumberFormat="1" applyFont="1" applyBorder="1"/>
    <xf numFmtId="172" fontId="71" fillId="0" borderId="90" xfId="185" applyNumberFormat="1" applyFont="1" applyBorder="1"/>
    <xf numFmtId="172" fontId="71" fillId="0" borderId="76" xfId="185" applyNumberFormat="1" applyFont="1" applyBorder="1"/>
    <xf numFmtId="164" fontId="71" fillId="0" borderId="95" xfId="186" applyNumberFormat="1" applyFont="1" applyBorder="1"/>
    <xf numFmtId="172" fontId="70" fillId="0" borderId="63" xfId="160" applyNumberFormat="1" applyFont="1" applyFill="1" applyBorder="1"/>
    <xf numFmtId="172" fontId="70" fillId="0" borderId="61" xfId="160" applyNumberFormat="1" applyFont="1" applyBorder="1"/>
    <xf numFmtId="172" fontId="70" fillId="0" borderId="68" xfId="160" applyNumberFormat="1" applyFont="1" applyBorder="1"/>
    <xf numFmtId="172" fontId="70" fillId="0" borderId="10" xfId="160" applyNumberFormat="1" applyFont="1" applyBorder="1"/>
    <xf numFmtId="164" fontId="70" fillId="0" borderId="13" xfId="186" applyNumberFormat="1" applyFont="1" applyBorder="1"/>
    <xf numFmtId="0" fontId="70" fillId="0" borderId="0" xfId="71" applyFont="1" applyFill="1" applyBorder="1" applyAlignment="1">
      <alignment horizontal="left" vertical="center" wrapText="1"/>
    </xf>
    <xf numFmtId="0" fontId="71" fillId="0" borderId="0" xfId="82" applyFont="1" applyAlignment="1">
      <alignment vertical="center"/>
    </xf>
    <xf numFmtId="168" fontId="71" fillId="0" borderId="50" xfId="0" applyNumberFormat="1" applyFont="1" applyBorder="1" applyAlignment="1">
      <alignment horizontal="center"/>
    </xf>
    <xf numFmtId="168" fontId="71" fillId="0" borderId="55" xfId="0" applyNumberFormat="1" applyFont="1" applyBorder="1" applyAlignment="1">
      <alignment horizontal="center"/>
    </xf>
    <xf numFmtId="168" fontId="71" fillId="0" borderId="49" xfId="0" applyNumberFormat="1" applyFont="1" applyBorder="1" applyAlignment="1">
      <alignment horizontal="center"/>
    </xf>
    <xf numFmtId="172" fontId="70" fillId="0" borderId="61" xfId="160" applyNumberFormat="1" applyFont="1" applyBorder="1" applyAlignment="1">
      <alignment vertical="center"/>
    </xf>
    <xf numFmtId="172" fontId="70" fillId="0" borderId="60" xfId="160" applyNumberFormat="1" applyFont="1" applyBorder="1" applyAlignment="1">
      <alignment vertical="center"/>
    </xf>
    <xf numFmtId="172" fontId="70" fillId="0" borderId="63" xfId="160" applyNumberFormat="1" applyFont="1" applyFill="1" applyBorder="1" applyAlignment="1">
      <alignment vertical="center"/>
    </xf>
    <xf numFmtId="172" fontId="70" fillId="0" borderId="68" xfId="160" applyNumberFormat="1" applyFont="1" applyBorder="1" applyAlignment="1">
      <alignment vertical="center"/>
    </xf>
    <xf numFmtId="2" fontId="71" fillId="0" borderId="92" xfId="186" applyNumberFormat="1" applyFont="1" applyBorder="1" applyAlignment="1">
      <alignment vertical="center"/>
    </xf>
    <xf numFmtId="2" fontId="71" fillId="0" borderId="93" xfId="186" applyNumberFormat="1" applyFont="1" applyBorder="1" applyAlignment="1">
      <alignment vertical="center"/>
    </xf>
    <xf numFmtId="2" fontId="71" fillId="0" borderId="95" xfId="186" applyNumberFormat="1" applyFont="1" applyBorder="1" applyAlignment="1">
      <alignment vertical="center"/>
    </xf>
    <xf numFmtId="2" fontId="70" fillId="0" borderId="13" xfId="186" applyNumberFormat="1" applyFont="1" applyBorder="1" applyAlignment="1">
      <alignment vertical="center"/>
    </xf>
    <xf numFmtId="172" fontId="70" fillId="0" borderId="10" xfId="160" applyNumberFormat="1" applyFont="1" applyBorder="1" applyAlignment="1">
      <alignment vertical="center"/>
    </xf>
    <xf numFmtId="0" fontId="70" fillId="0" borderId="51" xfId="75" applyFont="1" applyBorder="1" applyAlignment="1">
      <alignment horizontal="center" vertical="center" wrapText="1"/>
    </xf>
    <xf numFmtId="0" fontId="70" fillId="0" borderId="59" xfId="75" applyFont="1" applyFill="1" applyBorder="1" applyAlignment="1">
      <alignment horizontal="center" vertical="center" wrapText="1"/>
    </xf>
    <xf numFmtId="0" fontId="70" fillId="0" borderId="90" xfId="75" applyFont="1" applyBorder="1" applyAlignment="1">
      <alignment horizontal="center" vertical="center" wrapText="1"/>
    </xf>
    <xf numFmtId="0" fontId="70" fillId="0" borderId="56" xfId="75" applyFont="1" applyFill="1" applyBorder="1" applyAlignment="1">
      <alignment horizontal="left" vertical="center" wrapText="1"/>
    </xf>
    <xf numFmtId="0" fontId="90" fillId="0" borderId="61" xfId="75" applyFont="1" applyBorder="1" applyAlignment="1">
      <alignment horizontal="center" vertical="center"/>
    </xf>
    <xf numFmtId="172" fontId="71" fillId="0" borderId="42" xfId="160" applyNumberFormat="1" applyFont="1" applyFill="1" applyBorder="1"/>
    <xf numFmtId="172" fontId="71" fillId="0" borderId="27" xfId="160" applyNumberFormat="1" applyFont="1" applyFill="1" applyBorder="1"/>
    <xf numFmtId="172" fontId="71" fillId="0" borderId="51" xfId="160" applyNumberFormat="1" applyFont="1" applyFill="1" applyBorder="1"/>
    <xf numFmtId="0" fontId="90" fillId="0" borderId="63" xfId="75" applyFont="1" applyFill="1" applyBorder="1" applyAlignment="1">
      <alignment horizontal="center" vertical="center"/>
    </xf>
    <xf numFmtId="172" fontId="71" fillId="0" borderId="56" xfId="160" applyNumberFormat="1" applyFont="1" applyFill="1" applyBorder="1"/>
    <xf numFmtId="172" fontId="71" fillId="0" borderId="57" xfId="160" applyNumberFormat="1" applyFont="1" applyFill="1" applyBorder="1"/>
    <xf numFmtId="172" fontId="71" fillId="0" borderId="91" xfId="160" applyNumberFormat="1" applyFont="1" applyFill="1" applyBorder="1"/>
    <xf numFmtId="172" fontId="71" fillId="0" borderId="29" xfId="160" applyNumberFormat="1" applyFont="1" applyFill="1" applyBorder="1"/>
    <xf numFmtId="172" fontId="71" fillId="0" borderId="26" xfId="160" applyNumberFormat="1" applyFont="1" applyFill="1" applyBorder="1"/>
    <xf numFmtId="172" fontId="71" fillId="0" borderId="90" xfId="160" applyNumberFormat="1" applyFont="1" applyFill="1" applyBorder="1"/>
    <xf numFmtId="0" fontId="90" fillId="0" borderId="13" xfId="75" applyFont="1" applyBorder="1" applyAlignment="1">
      <alignment horizontal="center" vertical="center"/>
    </xf>
    <xf numFmtId="164" fontId="71" fillId="0" borderId="92" xfId="75" applyNumberFormat="1" applyFont="1" applyBorder="1"/>
    <xf numFmtId="164" fontId="71" fillId="0" borderId="93" xfId="75" applyNumberFormat="1" applyFont="1" applyBorder="1"/>
    <xf numFmtId="164" fontId="71" fillId="0" borderId="95" xfId="75" applyNumberFormat="1" applyFont="1" applyBorder="1"/>
    <xf numFmtId="164" fontId="70" fillId="0" borderId="13" xfId="75" applyNumberFormat="1" applyFont="1" applyBorder="1"/>
    <xf numFmtId="0" fontId="90" fillId="0" borderId="10" xfId="75" applyFont="1" applyBorder="1" applyAlignment="1">
      <alignment horizontal="center" vertical="center"/>
    </xf>
    <xf numFmtId="172" fontId="71" fillId="0" borderId="70" xfId="160" applyNumberFormat="1" applyFont="1" applyFill="1" applyBorder="1"/>
    <xf numFmtId="172" fontId="71" fillId="0" borderId="71" xfId="160" applyNumberFormat="1" applyFont="1" applyFill="1" applyBorder="1"/>
    <xf numFmtId="172" fontId="71" fillId="0" borderId="76" xfId="160" applyNumberFormat="1" applyFont="1" applyFill="1" applyBorder="1"/>
    <xf numFmtId="172" fontId="71" fillId="0" borderId="49" xfId="41" applyNumberFormat="1" applyFont="1" applyBorder="1"/>
    <xf numFmtId="172" fontId="71" fillId="0" borderId="56" xfId="41" applyNumberFormat="1" applyFont="1" applyFill="1" applyBorder="1"/>
    <xf numFmtId="172" fontId="71" fillId="0" borderId="50" xfId="41" applyNumberFormat="1" applyFont="1" applyBorder="1"/>
    <xf numFmtId="172" fontId="71" fillId="0" borderId="57" xfId="41" applyNumberFormat="1" applyFont="1" applyFill="1" applyBorder="1"/>
    <xf numFmtId="0" fontId="90" fillId="0" borderId="94" xfId="186" quotePrefix="1" applyNumberFormat="1" applyFont="1" applyBorder="1" applyAlignment="1">
      <alignment horizontal="center" vertical="center"/>
    </xf>
    <xf numFmtId="172" fontId="71" fillId="0" borderId="29" xfId="41" applyNumberFormat="1" applyFont="1" applyBorder="1"/>
    <xf numFmtId="172" fontId="71" fillId="0" borderId="26" xfId="41" applyNumberFormat="1" applyFont="1" applyBorder="1"/>
    <xf numFmtId="0" fontId="90" fillId="0" borderId="19" xfId="186" quotePrefix="1" applyNumberFormat="1" applyFont="1" applyBorder="1" applyAlignment="1">
      <alignment horizontal="center" vertical="center"/>
    </xf>
    <xf numFmtId="172" fontId="71" fillId="0" borderId="70" xfId="41" applyNumberFormat="1" applyFont="1" applyBorder="1"/>
    <xf numFmtId="172" fontId="71" fillId="0" borderId="71" xfId="41" applyNumberFormat="1" applyFont="1" applyBorder="1"/>
    <xf numFmtId="0" fontId="71" fillId="0" borderId="10" xfId="75" applyFont="1" applyBorder="1" applyAlignment="1">
      <alignment horizontal="center" vertical="center" wrapText="1"/>
    </xf>
    <xf numFmtId="172" fontId="71" fillId="0" borderId="55" xfId="41" applyNumberFormat="1" applyFont="1" applyBorder="1"/>
    <xf numFmtId="172" fontId="71" fillId="0" borderId="91" xfId="41" applyNumberFormat="1" applyFont="1" applyFill="1" applyBorder="1"/>
    <xf numFmtId="172" fontId="71" fillId="0" borderId="51" xfId="41" applyNumberFormat="1" applyFont="1" applyBorder="1"/>
    <xf numFmtId="172" fontId="71" fillId="0" borderId="90" xfId="41" applyNumberFormat="1" applyFont="1" applyBorder="1"/>
    <xf numFmtId="172" fontId="71" fillId="0" borderId="76" xfId="41" applyNumberFormat="1" applyFont="1" applyBorder="1"/>
    <xf numFmtId="0" fontId="71" fillId="0" borderId="10" xfId="82" applyFont="1" applyBorder="1" applyAlignment="1">
      <alignment horizontal="center" vertical="center" wrapText="1"/>
    </xf>
    <xf numFmtId="0" fontId="70" fillId="0" borderId="52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 wrapText="1"/>
    </xf>
    <xf numFmtId="0" fontId="70" fillId="0" borderId="47" xfId="0" applyFont="1" applyBorder="1" applyAlignment="1">
      <alignment horizontal="center" vertical="center" wrapText="1"/>
    </xf>
    <xf numFmtId="0" fontId="70" fillId="0" borderId="91" xfId="0" applyFont="1" applyBorder="1" applyAlignment="1">
      <alignment horizontal="center" vertical="center" wrapText="1"/>
    </xf>
    <xf numFmtId="0" fontId="70" fillId="0" borderId="58" xfId="7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57" fillId="0" borderId="0" xfId="70"/>
    <xf numFmtId="0" fontId="71" fillId="0" borderId="0" xfId="70" applyFont="1" applyAlignment="1">
      <alignment vertical="center"/>
    </xf>
    <xf numFmtId="0" fontId="71" fillId="0" borderId="0" xfId="70" applyFont="1"/>
    <xf numFmtId="165" fontId="70" fillId="0" borderId="56" xfId="70" applyNumberFormat="1" applyFont="1" applyBorder="1" applyAlignment="1">
      <alignment vertical="center"/>
    </xf>
    <xf numFmtId="165" fontId="71" fillId="0" borderId="57" xfId="70" applyNumberFormat="1" applyFont="1" applyBorder="1" applyAlignment="1">
      <alignment vertical="center"/>
    </xf>
    <xf numFmtId="165" fontId="71" fillId="0" borderId="59" xfId="70" applyNumberFormat="1" applyFont="1" applyBorder="1" applyAlignment="1">
      <alignment vertical="center"/>
    </xf>
    <xf numFmtId="169" fontId="71" fillId="0" borderId="25" xfId="70" applyNumberFormat="1" applyFont="1" applyBorder="1" applyAlignment="1">
      <alignment vertical="center" wrapText="1"/>
    </xf>
    <xf numFmtId="169" fontId="71" fillId="0" borderId="41" xfId="70" applyNumberFormat="1" applyFont="1" applyBorder="1" applyAlignment="1">
      <alignment vertical="center" wrapText="1"/>
    </xf>
    <xf numFmtId="0" fontId="70" fillId="0" borderId="69" xfId="70" applyFont="1" applyBorder="1" applyAlignment="1">
      <alignment horizontal="center" vertical="center"/>
    </xf>
    <xf numFmtId="0" fontId="71" fillId="0" borderId="71" xfId="70" applyFont="1" applyBorder="1" applyAlignment="1">
      <alignment vertical="center" wrapText="1"/>
    </xf>
    <xf numFmtId="169" fontId="70" fillId="0" borderId="40" xfId="70" applyNumberFormat="1" applyFont="1" applyBorder="1" applyAlignment="1">
      <alignment vertical="center" wrapText="1"/>
    </xf>
    <xf numFmtId="0" fontId="70" fillId="0" borderId="54" xfId="70" applyFont="1" applyBorder="1"/>
    <xf numFmtId="0" fontId="71" fillId="0" borderId="71" xfId="70" applyFont="1" applyBorder="1" applyAlignment="1">
      <alignment horizontal="left" vertical="center" wrapText="1"/>
    </xf>
    <xf numFmtId="0" fontId="71" fillId="0" borderId="72" xfId="70" quotePrefix="1" applyFont="1" applyBorder="1" applyAlignment="1">
      <alignment vertical="center" wrapText="1"/>
    </xf>
    <xf numFmtId="0" fontId="70" fillId="0" borderId="52" xfId="70" applyFont="1" applyBorder="1" applyAlignment="1">
      <alignment horizontal="center" vertical="center"/>
    </xf>
    <xf numFmtId="0" fontId="71" fillId="0" borderId="0" xfId="70" applyFont="1" applyAlignment="1">
      <alignment vertical="center"/>
    </xf>
    <xf numFmtId="169" fontId="71" fillId="0" borderId="25" xfId="70" applyNumberFormat="1" applyFont="1" applyBorder="1" applyAlignment="1">
      <alignment vertical="center"/>
    </xf>
    <xf numFmtId="0" fontId="71" fillId="0" borderId="50" xfId="70" applyFont="1" applyBorder="1" applyAlignment="1">
      <alignment horizontal="center" vertical="center"/>
    </xf>
    <xf numFmtId="165" fontId="71" fillId="0" borderId="57" xfId="70" applyNumberFormat="1" applyFont="1" applyBorder="1" applyAlignment="1">
      <alignment vertical="center"/>
    </xf>
    <xf numFmtId="0" fontId="71" fillId="0" borderId="58" xfId="70" applyFont="1" applyBorder="1" applyAlignment="1">
      <alignment horizontal="center" vertical="center"/>
    </xf>
    <xf numFmtId="169" fontId="71" fillId="0" borderId="41" xfId="70" applyNumberFormat="1" applyFont="1" applyBorder="1" applyAlignment="1">
      <alignment vertical="center"/>
    </xf>
    <xf numFmtId="165" fontId="71" fillId="0" borderId="59" xfId="70" applyNumberFormat="1" applyFont="1" applyBorder="1" applyAlignment="1">
      <alignment vertical="center"/>
    </xf>
    <xf numFmtId="0" fontId="70" fillId="0" borderId="49" xfId="70" applyFont="1" applyBorder="1" applyAlignment="1">
      <alignment horizontal="center" vertical="center"/>
    </xf>
    <xf numFmtId="169" fontId="70" fillId="0" borderId="40" xfId="70" applyNumberFormat="1" applyFont="1" applyBorder="1" applyAlignment="1">
      <alignment vertical="center"/>
    </xf>
    <xf numFmtId="165" fontId="71" fillId="0" borderId="50" xfId="70" applyNumberFormat="1" applyFont="1" applyBorder="1" applyAlignment="1">
      <alignment vertical="center"/>
    </xf>
    <xf numFmtId="165" fontId="71" fillId="0" borderId="58" xfId="70" applyNumberFormat="1" applyFont="1" applyBorder="1" applyAlignment="1">
      <alignment vertical="center"/>
    </xf>
    <xf numFmtId="20" fontId="70" fillId="0" borderId="91" xfId="70" applyNumberFormat="1" applyFont="1" applyBorder="1" applyAlignment="1">
      <alignment horizontal="center" vertical="center"/>
    </xf>
    <xf numFmtId="0" fontId="70" fillId="0" borderId="75" xfId="70" applyFont="1" applyBorder="1" applyAlignment="1">
      <alignment horizontal="center" vertical="center"/>
    </xf>
    <xf numFmtId="0" fontId="70" fillId="0" borderId="72" xfId="70" applyFont="1" applyBorder="1" applyAlignment="1">
      <alignment horizontal="center" vertical="center"/>
    </xf>
    <xf numFmtId="169" fontId="70" fillId="0" borderId="70" xfId="70" applyNumberFormat="1" applyFont="1" applyBorder="1" applyAlignment="1">
      <alignment vertical="center" wrapText="1"/>
    </xf>
    <xf numFmtId="169" fontId="71" fillId="0" borderId="71" xfId="70" applyNumberFormat="1" applyFont="1" applyBorder="1" applyAlignment="1">
      <alignment vertical="center" wrapText="1"/>
    </xf>
    <xf numFmtId="169" fontId="71" fillId="0" borderId="72" xfId="70" applyNumberFormat="1" applyFont="1" applyBorder="1" applyAlignment="1">
      <alignment vertical="center" wrapText="1"/>
    </xf>
    <xf numFmtId="20" fontId="70" fillId="0" borderId="51" xfId="70" applyNumberFormat="1" applyFont="1" applyBorder="1" applyAlignment="1">
      <alignment horizontal="center" vertical="center"/>
    </xf>
    <xf numFmtId="0" fontId="70" fillId="0" borderId="41" xfId="70" applyFont="1" applyBorder="1" applyAlignment="1">
      <alignment horizontal="center"/>
    </xf>
    <xf numFmtId="0" fontId="70" fillId="0" borderId="59" xfId="70" applyFont="1" applyBorder="1" applyAlignment="1">
      <alignment horizontal="center"/>
    </xf>
    <xf numFmtId="165" fontId="70" fillId="0" borderId="42" xfId="70" applyNumberFormat="1" applyFont="1" applyBorder="1" applyAlignment="1">
      <alignment vertical="center"/>
    </xf>
    <xf numFmtId="165" fontId="71" fillId="0" borderId="27" xfId="70" applyNumberFormat="1" applyFont="1" applyBorder="1" applyAlignment="1">
      <alignment vertical="center"/>
    </xf>
    <xf numFmtId="165" fontId="71" fillId="0" borderId="43" xfId="70" applyNumberFormat="1" applyFont="1" applyBorder="1" applyAlignment="1">
      <alignment vertical="center"/>
    </xf>
    <xf numFmtId="169" fontId="70" fillId="0" borderId="49" xfId="70" applyNumberFormat="1" applyFont="1" applyBorder="1" applyAlignment="1">
      <alignment vertical="center" wrapText="1"/>
    </xf>
    <xf numFmtId="169" fontId="70" fillId="0" borderId="56" xfId="70" applyNumberFormat="1" applyFont="1" applyBorder="1" applyAlignment="1">
      <alignment vertical="center" wrapText="1"/>
    </xf>
    <xf numFmtId="169" fontId="71" fillId="0" borderId="50" xfId="70" applyNumberFormat="1" applyFont="1" applyBorder="1" applyAlignment="1">
      <alignment vertical="center" wrapText="1"/>
    </xf>
    <xf numFmtId="169" fontId="71" fillId="0" borderId="58" xfId="70" applyNumberFormat="1" applyFont="1" applyBorder="1" applyAlignment="1">
      <alignment vertical="center" wrapText="1"/>
    </xf>
    <xf numFmtId="168" fontId="71" fillId="0" borderId="50" xfId="0" applyNumberFormat="1" applyFont="1" applyBorder="1" applyAlignment="1">
      <alignment vertical="center"/>
    </xf>
    <xf numFmtId="168" fontId="71" fillId="0" borderId="25" xfId="0" applyNumberFormat="1" applyFont="1" applyBorder="1" applyAlignment="1">
      <alignment horizontal="center" vertical="center"/>
    </xf>
    <xf numFmtId="0" fontId="84" fillId="0" borderId="57" xfId="63" applyFont="1" applyBorder="1" applyAlignment="1">
      <alignment vertical="center" wrapText="1"/>
    </xf>
    <xf numFmtId="0" fontId="70" fillId="0" borderId="86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 wrapText="1"/>
    </xf>
    <xf numFmtId="169" fontId="70" fillId="0" borderId="69" xfId="0" applyNumberFormat="1" applyFont="1" applyBorder="1" applyAlignment="1">
      <alignment vertical="center"/>
    </xf>
    <xf numFmtId="169" fontId="70" fillId="0" borderId="53" xfId="0" applyNumberFormat="1" applyFont="1" applyBorder="1" applyAlignment="1">
      <alignment vertical="center"/>
    </xf>
    <xf numFmtId="165" fontId="70" fillId="0" borderId="52" xfId="0" applyNumberFormat="1" applyFont="1" applyBorder="1" applyAlignment="1">
      <alignment vertical="center"/>
    </xf>
    <xf numFmtId="165" fontId="70" fillId="0" borderId="53" xfId="0" applyNumberFormat="1" applyFont="1" applyBorder="1" applyAlignment="1">
      <alignment vertical="center"/>
    </xf>
    <xf numFmtId="165" fontId="70" fillId="0" borderId="54" xfId="0" applyNumberFormat="1" applyFont="1" applyBorder="1" applyAlignment="1">
      <alignment vertical="center"/>
    </xf>
    <xf numFmtId="168" fontId="71" fillId="0" borderId="58" xfId="0" applyNumberFormat="1" applyFont="1" applyBorder="1" applyAlignment="1">
      <alignment vertical="center"/>
    </xf>
    <xf numFmtId="168" fontId="71" fillId="0" borderId="41" xfId="0" applyNumberFormat="1" applyFont="1" applyBorder="1" applyAlignment="1">
      <alignment horizontal="center" vertical="center"/>
    </xf>
    <xf numFmtId="0" fontId="84" fillId="0" borderId="59" xfId="63" applyFont="1" applyBorder="1" applyAlignment="1">
      <alignment vertical="center" wrapText="1"/>
    </xf>
    <xf numFmtId="0" fontId="13" fillId="0" borderId="0" xfId="128"/>
    <xf numFmtId="169" fontId="71" fillId="0" borderId="25" xfId="128" applyNumberFormat="1" applyFont="1" applyBorder="1" applyAlignment="1">
      <alignment vertical="center"/>
    </xf>
    <xf numFmtId="0" fontId="71" fillId="0" borderId="0" xfId="128" applyFont="1" applyAlignment="1">
      <alignment horizontal="left" vertical="center"/>
    </xf>
    <xf numFmtId="0" fontId="70" fillId="0" borderId="57" xfId="128" applyFont="1" applyBorder="1" applyAlignment="1">
      <alignment horizontal="center" vertical="center"/>
    </xf>
    <xf numFmtId="0" fontId="71" fillId="0" borderId="50" xfId="128" applyFont="1" applyBorder="1" applyAlignment="1">
      <alignment horizontal="center" vertical="center"/>
    </xf>
    <xf numFmtId="0" fontId="71" fillId="0" borderId="58" xfId="128" applyFont="1" applyBorder="1" applyAlignment="1">
      <alignment horizontal="center" vertical="center"/>
    </xf>
    <xf numFmtId="169" fontId="71" fillId="0" borderId="41" xfId="128" applyNumberFormat="1" applyFont="1" applyBorder="1" applyAlignment="1">
      <alignment vertical="center"/>
    </xf>
    <xf numFmtId="0" fontId="70" fillId="0" borderId="49" xfId="128" applyFont="1" applyBorder="1" applyAlignment="1">
      <alignment horizontal="center" vertical="center"/>
    </xf>
    <xf numFmtId="169" fontId="70" fillId="0" borderId="40" xfId="128" applyNumberFormat="1" applyFont="1" applyBorder="1" applyAlignment="1">
      <alignment vertical="center"/>
    </xf>
    <xf numFmtId="169" fontId="70" fillId="0" borderId="42" xfId="128" applyNumberFormat="1" applyFont="1" applyBorder="1" applyAlignment="1">
      <alignment vertical="center"/>
    </xf>
    <xf numFmtId="169" fontId="71" fillId="0" borderId="27" xfId="128" applyNumberFormat="1" applyFont="1" applyBorder="1" applyAlignment="1">
      <alignment vertical="center"/>
    </xf>
    <xf numFmtId="169" fontId="71" fillId="0" borderId="43" xfId="128" applyNumberFormat="1" applyFont="1" applyBorder="1" applyAlignment="1">
      <alignment vertical="center"/>
    </xf>
    <xf numFmtId="0" fontId="84" fillId="0" borderId="57" xfId="495" applyFont="1" applyBorder="1" applyAlignment="1">
      <alignment vertical="center" wrapText="1"/>
    </xf>
    <xf numFmtId="0" fontId="84" fillId="0" borderId="59" xfId="495" applyFont="1" applyBorder="1" applyAlignment="1">
      <alignment vertical="center" wrapText="1"/>
    </xf>
    <xf numFmtId="169" fontId="70" fillId="0" borderId="56" xfId="128" applyNumberFormat="1" applyFont="1" applyBorder="1" applyAlignment="1">
      <alignment vertical="center"/>
    </xf>
    <xf numFmtId="169" fontId="71" fillId="0" borderId="57" xfId="128" applyNumberFormat="1" applyFont="1" applyBorder="1" applyAlignment="1">
      <alignment vertical="center"/>
    </xf>
    <xf numFmtId="169" fontId="71" fillId="0" borderId="59" xfId="128" applyNumberFormat="1" applyFont="1" applyBorder="1" applyAlignment="1">
      <alignment vertical="center"/>
    </xf>
    <xf numFmtId="3" fontId="87" fillId="0" borderId="0" xfId="0" applyNumberFormat="1" applyFont="1" applyFill="1" applyBorder="1" applyAlignment="1">
      <alignment horizontal="left" vertical="center"/>
    </xf>
    <xf numFmtId="3" fontId="87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vertical="center"/>
    </xf>
    <xf numFmtId="165" fontId="87" fillId="0" borderId="0" xfId="0" applyNumberFormat="1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horizontal="left" vertical="center"/>
    </xf>
    <xf numFmtId="0" fontId="71" fillId="0" borderId="0" xfId="0" applyFont="1" applyFill="1" applyAlignment="1">
      <alignment vertical="center"/>
    </xf>
    <xf numFmtId="165" fontId="87" fillId="0" borderId="0" xfId="0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left" vertical="center" wrapText="1" indent="1"/>
    </xf>
    <xf numFmtId="165" fontId="71" fillId="0" borderId="0" xfId="0" applyNumberFormat="1" applyFont="1" applyFill="1"/>
    <xf numFmtId="0" fontId="71" fillId="0" borderId="0" xfId="0" applyFont="1" applyFill="1"/>
    <xf numFmtId="0" fontId="88" fillId="0" borderId="10" xfId="0" applyFont="1" applyFill="1" applyBorder="1" applyAlignment="1">
      <alignment horizontal="left" vertical="center" wrapText="1"/>
    </xf>
    <xf numFmtId="165" fontId="71" fillId="0" borderId="0" xfId="0" applyNumberFormat="1" applyFont="1" applyFill="1" applyAlignment="1">
      <alignment horizontal="right" vertical="center"/>
    </xf>
    <xf numFmtId="0" fontId="70" fillId="0" borderId="10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center" vertical="center" wrapText="1"/>
    </xf>
    <xf numFmtId="4" fontId="71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left" vertical="center"/>
    </xf>
    <xf numFmtId="3" fontId="70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/>
    <xf numFmtId="165" fontId="88" fillId="0" borderId="25" xfId="0" applyNumberFormat="1" applyFont="1" applyFill="1" applyBorder="1" applyAlignment="1">
      <alignment horizontal="right" vertical="center"/>
    </xf>
    <xf numFmtId="165" fontId="88" fillId="0" borderId="57" xfId="0" applyNumberFormat="1" applyFont="1" applyFill="1" applyBorder="1" applyAlignment="1">
      <alignment horizontal="right" vertical="center"/>
    </xf>
    <xf numFmtId="165" fontId="87" fillId="0" borderId="25" xfId="0" applyNumberFormat="1" applyFont="1" applyFill="1" applyBorder="1" applyAlignment="1">
      <alignment horizontal="right" vertical="center"/>
    </xf>
    <xf numFmtId="165" fontId="87" fillId="0" borderId="57" xfId="0" applyNumberFormat="1" applyFont="1" applyFill="1" applyBorder="1" applyAlignment="1">
      <alignment horizontal="right" vertical="center"/>
    </xf>
    <xf numFmtId="4" fontId="87" fillId="0" borderId="41" xfId="0" applyNumberFormat="1" applyFont="1" applyFill="1" applyBorder="1" applyAlignment="1">
      <alignment horizontal="right" vertical="center"/>
    </xf>
    <xf numFmtId="165" fontId="87" fillId="0" borderId="59" xfId="0" applyNumberFormat="1" applyFont="1" applyFill="1" applyBorder="1" applyAlignment="1">
      <alignment horizontal="right" vertical="center"/>
    </xf>
    <xf numFmtId="165" fontId="88" fillId="0" borderId="40" xfId="0" applyNumberFormat="1" applyFont="1" applyFill="1" applyBorder="1" applyAlignment="1">
      <alignment horizontal="right" vertical="center"/>
    </xf>
    <xf numFmtId="165" fontId="88" fillId="0" borderId="56" xfId="0" applyNumberFormat="1" applyFont="1" applyFill="1" applyBorder="1" applyAlignment="1">
      <alignment horizontal="right" vertical="center"/>
    </xf>
    <xf numFmtId="0" fontId="91" fillId="0" borderId="60" xfId="0" applyFont="1" applyFill="1" applyBorder="1" applyAlignment="1">
      <alignment horizontal="center" vertical="center"/>
    </xf>
    <xf numFmtId="0" fontId="90" fillId="0" borderId="62" xfId="0" applyFont="1" applyFill="1" applyBorder="1" applyAlignment="1">
      <alignment horizontal="center" vertical="center"/>
    </xf>
    <xf numFmtId="0" fontId="91" fillId="0" borderId="62" xfId="0" applyFont="1" applyFill="1" applyBorder="1" applyAlignment="1">
      <alignment horizontal="center" vertical="center"/>
    </xf>
    <xf numFmtId="0" fontId="90" fillId="0" borderId="63" xfId="0" applyFont="1" applyFill="1" applyBorder="1" applyAlignment="1">
      <alignment horizontal="center" vertical="center"/>
    </xf>
    <xf numFmtId="0" fontId="90" fillId="0" borderId="61" xfId="0" applyFont="1" applyFill="1" applyBorder="1" applyAlignment="1">
      <alignment horizontal="center" vertical="center"/>
    </xf>
    <xf numFmtId="4" fontId="87" fillId="0" borderId="43" xfId="0" applyNumberFormat="1" applyFont="1" applyFill="1" applyBorder="1" applyAlignment="1">
      <alignment horizontal="right" vertical="center"/>
    </xf>
    <xf numFmtId="0" fontId="91" fillId="0" borderId="10" xfId="0" applyFont="1" applyFill="1" applyBorder="1" applyAlignment="1">
      <alignment horizontal="center" vertical="center"/>
    </xf>
    <xf numFmtId="0" fontId="88" fillId="0" borderId="70" xfId="0" applyFont="1" applyFill="1" applyBorder="1" applyAlignment="1">
      <alignment horizontal="left" vertical="center" wrapText="1"/>
    </xf>
    <xf numFmtId="0" fontId="88" fillId="0" borderId="71" xfId="0" applyFont="1" applyFill="1" applyBorder="1" applyAlignment="1">
      <alignment horizontal="left" vertical="center" wrapText="1"/>
    </xf>
    <xf numFmtId="0" fontId="87" fillId="0" borderId="71" xfId="0" applyFont="1" applyFill="1" applyBorder="1" applyAlignment="1">
      <alignment horizontal="left" vertical="center" wrapText="1" indent="1"/>
    </xf>
    <xf numFmtId="0" fontId="87" fillId="0" borderId="72" xfId="0" applyFont="1" applyFill="1" applyBorder="1" applyAlignment="1">
      <alignment horizontal="left" vertical="center" wrapText="1" indent="1"/>
    </xf>
    <xf numFmtId="0" fontId="91" fillId="0" borderId="68" xfId="0" applyFont="1" applyFill="1" applyBorder="1" applyAlignment="1">
      <alignment horizontal="center" vertical="center"/>
    </xf>
    <xf numFmtId="4" fontId="87" fillId="0" borderId="44" xfId="0" applyNumberFormat="1" applyFont="1" applyFill="1" applyBorder="1" applyAlignment="1">
      <alignment horizontal="right" vertical="center"/>
    </xf>
    <xf numFmtId="0" fontId="90" fillId="0" borderId="60" xfId="0" applyFont="1" applyFill="1" applyBorder="1" applyAlignment="1">
      <alignment horizontal="center" vertical="center"/>
    </xf>
    <xf numFmtId="165" fontId="88" fillId="0" borderId="49" xfId="0" applyNumberFormat="1" applyFont="1" applyFill="1" applyBorder="1" applyAlignment="1">
      <alignment horizontal="right" vertical="center"/>
    </xf>
    <xf numFmtId="165" fontId="88" fillId="0" borderId="50" xfId="0" applyNumberFormat="1" applyFont="1" applyFill="1" applyBorder="1" applyAlignment="1">
      <alignment horizontal="right" vertical="center"/>
    </xf>
    <xf numFmtId="165" fontId="87" fillId="0" borderId="50" xfId="0" applyNumberFormat="1" applyFont="1" applyFill="1" applyBorder="1" applyAlignment="1">
      <alignment horizontal="right" vertical="center"/>
    </xf>
    <xf numFmtId="165" fontId="87" fillId="0" borderId="58" xfId="0" applyNumberFormat="1" applyFont="1" applyFill="1" applyBorder="1" applyAlignment="1">
      <alignment horizontal="right" vertical="center"/>
    </xf>
    <xf numFmtId="0" fontId="88" fillId="0" borderId="87" xfId="0" applyFont="1" applyFill="1" applyBorder="1" applyAlignment="1">
      <alignment horizontal="center" vertical="center" wrapText="1"/>
    </xf>
    <xf numFmtId="0" fontId="88" fillId="0" borderId="80" xfId="0" applyFont="1" applyFill="1" applyBorder="1" applyAlignment="1">
      <alignment horizontal="center" vertical="center" wrapText="1"/>
    </xf>
    <xf numFmtId="0" fontId="88" fillId="0" borderId="81" xfId="0" applyFont="1" applyFill="1" applyBorder="1" applyAlignment="1">
      <alignment horizontal="center" vertical="center" wrapText="1"/>
    </xf>
    <xf numFmtId="0" fontId="88" fillId="0" borderId="79" xfId="0" applyFont="1" applyFill="1" applyBorder="1" applyAlignment="1">
      <alignment horizontal="center" vertical="center"/>
    </xf>
    <xf numFmtId="0" fontId="88" fillId="0" borderId="82" xfId="0" applyFont="1" applyFill="1" applyBorder="1" applyAlignment="1">
      <alignment horizontal="center" vertical="center" wrapText="1"/>
    </xf>
    <xf numFmtId="4" fontId="88" fillId="0" borderId="53" xfId="0" applyNumberFormat="1" applyFont="1" applyFill="1" applyBorder="1" applyAlignment="1">
      <alignment horizontal="right" vertical="center"/>
    </xf>
    <xf numFmtId="165" fontId="88" fillId="0" borderId="53" xfId="0" applyNumberFormat="1" applyFont="1" applyFill="1" applyBorder="1" applyAlignment="1">
      <alignment horizontal="right" vertical="center"/>
    </xf>
    <xf numFmtId="165" fontId="88" fillId="0" borderId="54" xfId="0" applyNumberFormat="1" applyFont="1" applyFill="1" applyBorder="1" applyAlignment="1">
      <alignment horizontal="right" vertical="center"/>
    </xf>
    <xf numFmtId="4" fontId="88" fillId="0" borderId="69" xfId="0" applyNumberFormat="1" applyFont="1" applyFill="1" applyBorder="1" applyAlignment="1">
      <alignment horizontal="right" vertical="center"/>
    </xf>
    <xf numFmtId="0" fontId="88" fillId="0" borderId="75" xfId="0" applyFont="1" applyFill="1" applyBorder="1" applyAlignment="1">
      <alignment horizontal="left" vertical="center" wrapText="1"/>
    </xf>
    <xf numFmtId="0" fontId="87" fillId="0" borderId="71" xfId="0" applyFont="1" applyFill="1" applyBorder="1" applyAlignment="1">
      <alignment horizontal="left" vertical="center" wrapText="1" indent="2"/>
    </xf>
    <xf numFmtId="165" fontId="88" fillId="0" borderId="52" xfId="0" applyNumberFormat="1" applyFont="1" applyFill="1" applyBorder="1" applyAlignment="1">
      <alignment horizontal="right" vertical="center"/>
    </xf>
    <xf numFmtId="4" fontId="71" fillId="0" borderId="25" xfId="0" applyNumberFormat="1" applyFont="1" applyFill="1" applyBorder="1" applyAlignment="1">
      <alignment horizontal="right" vertical="center"/>
    </xf>
    <xf numFmtId="165" fontId="71" fillId="0" borderId="57" xfId="0" applyNumberFormat="1" applyFont="1" applyFill="1" applyBorder="1" applyAlignment="1">
      <alignment horizontal="right" vertical="center"/>
    </xf>
    <xf numFmtId="4" fontId="71" fillId="0" borderId="41" xfId="0" applyNumberFormat="1" applyFont="1" applyFill="1" applyBorder="1" applyAlignment="1">
      <alignment horizontal="right" vertical="center"/>
    </xf>
    <xf numFmtId="165" fontId="71" fillId="0" borderId="41" xfId="0" applyNumberFormat="1" applyFont="1" applyFill="1" applyBorder="1" applyAlignment="1">
      <alignment horizontal="right" vertical="center"/>
    </xf>
    <xf numFmtId="165" fontId="71" fillId="0" borderId="59" xfId="0" applyNumberFormat="1" applyFont="1" applyFill="1" applyBorder="1" applyAlignment="1">
      <alignment horizontal="right" vertical="center"/>
    </xf>
    <xf numFmtId="4" fontId="71" fillId="0" borderId="40" xfId="0" applyNumberFormat="1" applyFont="1" applyFill="1" applyBorder="1" applyAlignment="1">
      <alignment horizontal="right" vertical="center"/>
    </xf>
    <xf numFmtId="165" fontId="71" fillId="0" borderId="40" xfId="0" applyNumberFormat="1" applyFont="1" applyFill="1" applyBorder="1" applyAlignment="1">
      <alignment horizontal="right" vertical="center"/>
    </xf>
    <xf numFmtId="165" fontId="71" fillId="0" borderId="56" xfId="0" applyNumberFormat="1" applyFont="1" applyFill="1" applyBorder="1" applyAlignment="1">
      <alignment horizontal="right" vertical="center"/>
    </xf>
    <xf numFmtId="4" fontId="70" fillId="0" borderId="62" xfId="0" applyNumberFormat="1" applyFont="1" applyFill="1" applyBorder="1" applyAlignment="1">
      <alignment horizontal="right" vertical="center"/>
    </xf>
    <xf numFmtId="4" fontId="70" fillId="0" borderId="61" xfId="0" applyNumberFormat="1" applyFont="1" applyFill="1" applyBorder="1" applyAlignment="1">
      <alignment horizontal="right" vertical="center"/>
    </xf>
    <xf numFmtId="4" fontId="71" fillId="0" borderId="42" xfId="0" applyNumberFormat="1" applyFont="1" applyFill="1" applyBorder="1" applyAlignment="1">
      <alignment horizontal="right" vertical="center"/>
    </xf>
    <xf numFmtId="4" fontId="71" fillId="0" borderId="43" xfId="0" applyNumberFormat="1" applyFont="1" applyFill="1" applyBorder="1" applyAlignment="1">
      <alignment horizontal="right" vertical="center"/>
    </xf>
    <xf numFmtId="0" fontId="70" fillId="0" borderId="70" xfId="0" applyFont="1" applyFill="1" applyBorder="1" applyAlignment="1">
      <alignment horizontal="right" vertical="center" wrapText="1"/>
    </xf>
    <xf numFmtId="0" fontId="70" fillId="0" borderId="72" xfId="0" applyFont="1" applyFill="1" applyBorder="1" applyAlignment="1">
      <alignment horizontal="right" vertical="center" wrapText="1"/>
    </xf>
    <xf numFmtId="4" fontId="70" fillId="0" borderId="68" xfId="0" applyNumberFormat="1" applyFont="1" applyFill="1" applyBorder="1" applyAlignment="1">
      <alignment horizontal="right" vertical="center"/>
    </xf>
    <xf numFmtId="4" fontId="71" fillId="0" borderId="29" xfId="0" applyNumberFormat="1" applyFont="1" applyFill="1" applyBorder="1" applyAlignment="1">
      <alignment horizontal="right" vertical="center"/>
    </xf>
    <xf numFmtId="4" fontId="71" fillId="0" borderId="44" xfId="0" applyNumberFormat="1" applyFont="1" applyFill="1" applyBorder="1" applyAlignment="1">
      <alignment horizontal="right" vertical="center"/>
    </xf>
    <xf numFmtId="165" fontId="71" fillId="0" borderId="49" xfId="0" applyNumberFormat="1" applyFont="1" applyFill="1" applyBorder="1" applyAlignment="1">
      <alignment horizontal="right" vertical="center"/>
    </xf>
    <xf numFmtId="165" fontId="71" fillId="0" borderId="58" xfId="0" applyNumberFormat="1" applyFont="1" applyFill="1" applyBorder="1" applyAlignment="1">
      <alignment horizontal="right" vertical="center"/>
    </xf>
    <xf numFmtId="165" fontId="70" fillId="0" borderId="60" xfId="0" applyNumberFormat="1" applyFont="1" applyFill="1" applyBorder="1" applyAlignment="1">
      <alignment horizontal="right" vertical="center"/>
    </xf>
    <xf numFmtId="165" fontId="70" fillId="0" borderId="63" xfId="0" applyNumberFormat="1" applyFont="1" applyFill="1" applyBorder="1" applyAlignment="1">
      <alignment horizontal="right" vertical="center"/>
    </xf>
    <xf numFmtId="4" fontId="70" fillId="0" borderId="25" xfId="0" applyNumberFormat="1" applyFont="1" applyFill="1" applyBorder="1" applyAlignment="1">
      <alignment horizontal="right" vertical="center"/>
    </xf>
    <xf numFmtId="165" fontId="70" fillId="0" borderId="57" xfId="0" applyNumberFormat="1" applyFont="1" applyFill="1" applyBorder="1" applyAlignment="1">
      <alignment horizontal="right" vertical="center"/>
    </xf>
    <xf numFmtId="4" fontId="88" fillId="0" borderId="25" xfId="0" applyNumberFormat="1" applyFont="1" applyFill="1" applyBorder="1" applyAlignment="1">
      <alignment horizontal="right" vertical="center" wrapText="1"/>
    </xf>
    <xf numFmtId="4" fontId="70" fillId="0" borderId="25" xfId="0" applyNumberFormat="1" applyFont="1" applyFill="1" applyBorder="1" applyAlignment="1">
      <alignment vertical="center" wrapText="1"/>
    </xf>
    <xf numFmtId="4" fontId="87" fillId="0" borderId="40" xfId="0" applyNumberFormat="1" applyFont="1" applyFill="1" applyBorder="1" applyAlignment="1">
      <alignment horizontal="right" vertical="center"/>
    </xf>
    <xf numFmtId="4" fontId="87" fillId="0" borderId="29" xfId="0" applyNumberFormat="1" applyFont="1" applyFill="1" applyBorder="1" applyAlignment="1">
      <alignment horizontal="right" vertical="center"/>
    </xf>
    <xf numFmtId="4" fontId="88" fillId="0" borderId="67" xfId="0" applyNumberFormat="1" applyFont="1" applyFill="1" applyBorder="1" applyAlignment="1">
      <alignment horizontal="right" vertical="center"/>
    </xf>
    <xf numFmtId="4" fontId="88" fillId="0" borderId="40" xfId="0" applyNumberFormat="1" applyFont="1" applyFill="1" applyBorder="1" applyAlignment="1">
      <alignment horizontal="right" vertical="center" wrapText="1"/>
    </xf>
    <xf numFmtId="4" fontId="70" fillId="0" borderId="40" xfId="0" applyNumberFormat="1" applyFont="1" applyFill="1" applyBorder="1" applyAlignment="1">
      <alignment horizontal="right" vertical="center"/>
    </xf>
    <xf numFmtId="165" fontId="70" fillId="0" borderId="56" xfId="0" applyNumberFormat="1" applyFont="1" applyFill="1" applyBorder="1" applyAlignment="1">
      <alignment horizontal="right" vertical="center"/>
    </xf>
    <xf numFmtId="4" fontId="70" fillId="0" borderId="42" xfId="0" applyNumberFormat="1" applyFont="1" applyFill="1" applyBorder="1" applyAlignment="1">
      <alignment horizontal="right" vertical="center"/>
    </xf>
    <xf numFmtId="4" fontId="88" fillId="0" borderId="27" xfId="0" applyNumberFormat="1" applyFont="1" applyFill="1" applyBorder="1" applyAlignment="1">
      <alignment horizontal="right" vertical="center" wrapText="1"/>
    </xf>
    <xf numFmtId="4" fontId="70" fillId="0" borderId="27" xfId="0" applyNumberFormat="1" applyFont="1" applyFill="1" applyBorder="1" applyAlignment="1">
      <alignment horizontal="right" vertical="center"/>
    </xf>
    <xf numFmtId="4" fontId="70" fillId="0" borderId="27" xfId="0" applyNumberFormat="1" applyFont="1" applyFill="1" applyBorder="1" applyAlignment="1">
      <alignment vertical="center" wrapText="1"/>
    </xf>
    <xf numFmtId="165" fontId="70" fillId="0" borderId="49" xfId="0" applyNumberFormat="1" applyFont="1" applyFill="1" applyBorder="1" applyAlignment="1">
      <alignment horizontal="right" vertical="center"/>
    </xf>
    <xf numFmtId="165" fontId="70" fillId="0" borderId="50" xfId="0" applyNumberFormat="1" applyFont="1" applyFill="1" applyBorder="1" applyAlignment="1">
      <alignment horizontal="right" vertical="center"/>
    </xf>
    <xf numFmtId="165" fontId="71" fillId="0" borderId="50" xfId="0" applyNumberFormat="1" applyFont="1" applyFill="1" applyBorder="1" applyAlignment="1">
      <alignment horizontal="right" vertical="center"/>
    </xf>
    <xf numFmtId="0" fontId="70" fillId="0" borderId="41" xfId="0" applyFont="1" applyFill="1" applyBorder="1" applyAlignment="1">
      <alignment horizontal="center" vertical="center" wrapText="1"/>
    </xf>
    <xf numFmtId="4" fontId="88" fillId="0" borderId="42" xfId="0" applyNumberFormat="1" applyFont="1" applyFill="1" applyBorder="1" applyAlignment="1">
      <alignment horizontal="right" vertical="center" wrapText="1"/>
    </xf>
    <xf numFmtId="4" fontId="71" fillId="0" borderId="41" xfId="0" applyNumberFormat="1" applyFont="1" applyFill="1" applyBorder="1" applyAlignment="1">
      <alignment horizontal="right" vertical="center" wrapText="1"/>
    </xf>
    <xf numFmtId="165" fontId="70" fillId="0" borderId="59" xfId="0" applyNumberFormat="1" applyFont="1" applyFill="1" applyBorder="1" applyAlignment="1">
      <alignment horizontal="right" vertical="center"/>
    </xf>
    <xf numFmtId="4" fontId="71" fillId="0" borderId="43" xfId="0" applyNumberFormat="1" applyFont="1" applyFill="1" applyBorder="1" applyAlignment="1">
      <alignment horizontal="right" vertical="center" wrapText="1"/>
    </xf>
    <xf numFmtId="0" fontId="70" fillId="0" borderId="14" xfId="0" applyFont="1" applyFill="1" applyBorder="1" applyAlignment="1">
      <alignment horizontal="center" vertical="center"/>
    </xf>
    <xf numFmtId="4" fontId="71" fillId="0" borderId="42" xfId="0" applyNumberFormat="1" applyFont="1" applyFill="1" applyBorder="1" applyAlignment="1">
      <alignment horizontal="right" vertical="center" wrapText="1"/>
    </xf>
    <xf numFmtId="4" fontId="71" fillId="0" borderId="40" xfId="0" applyNumberFormat="1" applyFont="1" applyFill="1" applyBorder="1" applyAlignment="1">
      <alignment horizontal="right" vertical="center" wrapText="1"/>
    </xf>
    <xf numFmtId="165" fontId="70" fillId="0" borderId="62" xfId="0" applyNumberFormat="1" applyFont="1" applyFill="1" applyBorder="1" applyAlignment="1">
      <alignment horizontal="right" vertical="center"/>
    </xf>
    <xf numFmtId="165" fontId="70" fillId="0" borderId="58" xfId="0" applyNumberFormat="1" applyFont="1" applyFill="1" applyBorder="1" applyAlignment="1">
      <alignment horizontal="right" vertical="center"/>
    </xf>
    <xf numFmtId="0" fontId="70" fillId="0" borderId="62" xfId="0" applyFont="1" applyFill="1" applyBorder="1" applyAlignment="1">
      <alignment horizontal="center" vertical="center"/>
    </xf>
    <xf numFmtId="0" fontId="70" fillId="0" borderId="63" xfId="0" applyFont="1" applyFill="1" applyBorder="1" applyAlignment="1">
      <alignment horizontal="center" vertical="center"/>
    </xf>
    <xf numFmtId="0" fontId="90" fillId="0" borderId="62" xfId="0" applyFont="1" applyFill="1" applyBorder="1" applyAlignment="1">
      <alignment horizontal="center"/>
    </xf>
    <xf numFmtId="0" fontId="90" fillId="0" borderId="63" xfId="0" applyFont="1" applyFill="1" applyBorder="1" applyAlignment="1">
      <alignment horizontal="center"/>
    </xf>
    <xf numFmtId="0" fontId="90" fillId="0" borderId="61" xfId="0" applyFont="1" applyFill="1" applyBorder="1" applyAlignment="1">
      <alignment horizontal="center"/>
    </xf>
    <xf numFmtId="4" fontId="71" fillId="0" borderId="27" xfId="0" applyNumberFormat="1" applyFont="1" applyFill="1" applyBorder="1" applyAlignment="1">
      <alignment horizontal="right" vertical="center"/>
    </xf>
    <xf numFmtId="0" fontId="90" fillId="0" borderId="10" xfId="0" applyNumberFormat="1" applyFont="1" applyFill="1" applyBorder="1" applyAlignment="1">
      <alignment horizontal="center" vertical="center" wrapText="1"/>
    </xf>
    <xf numFmtId="0" fontId="70" fillId="0" borderId="70" xfId="0" applyFont="1" applyFill="1" applyBorder="1" applyAlignment="1">
      <alignment horizontal="left" vertical="center" wrapText="1"/>
    </xf>
    <xf numFmtId="0" fontId="71" fillId="0" borderId="71" xfId="0" applyFont="1" applyFill="1" applyBorder="1" applyAlignment="1">
      <alignment horizontal="left" vertical="center" wrapText="1"/>
    </xf>
    <xf numFmtId="0" fontId="71" fillId="0" borderId="71" xfId="0" applyFont="1" applyFill="1" applyBorder="1" applyAlignment="1">
      <alignment horizontal="left" vertical="center" wrapText="1" indent="1"/>
    </xf>
    <xf numFmtId="0" fontId="70" fillId="0" borderId="71" xfId="0" applyFont="1" applyFill="1" applyBorder="1" applyAlignment="1">
      <alignment horizontal="left" vertical="center" wrapText="1"/>
    </xf>
    <xf numFmtId="0" fontId="71" fillId="0" borderId="72" xfId="0" applyFont="1" applyFill="1" applyBorder="1" applyAlignment="1">
      <alignment horizontal="left" vertical="center" wrapText="1"/>
    </xf>
    <xf numFmtId="0" fontId="90" fillId="0" borderId="68" xfId="0" applyFont="1" applyFill="1" applyBorder="1" applyAlignment="1">
      <alignment horizontal="center"/>
    </xf>
    <xf numFmtId="4" fontId="70" fillId="0" borderId="29" xfId="0" applyNumberFormat="1" applyFont="1" applyFill="1" applyBorder="1" applyAlignment="1">
      <alignment horizontal="right" vertical="center"/>
    </xf>
    <xf numFmtId="4" fontId="70" fillId="0" borderId="26" xfId="0" applyNumberFormat="1" applyFont="1" applyFill="1" applyBorder="1" applyAlignment="1">
      <alignment horizontal="right" vertical="center"/>
    </xf>
    <xf numFmtId="0" fontId="70" fillId="0" borderId="60" xfId="0" applyFont="1" applyFill="1" applyBorder="1" applyAlignment="1">
      <alignment horizontal="center" vertical="center"/>
    </xf>
    <xf numFmtId="0" fontId="90" fillId="0" borderId="60" xfId="0" applyFont="1" applyFill="1" applyBorder="1" applyAlignment="1">
      <alignment horizontal="center"/>
    </xf>
    <xf numFmtId="165" fontId="70" fillId="0" borderId="49" xfId="161" applyNumberFormat="1" applyFont="1" applyFill="1" applyBorder="1" applyAlignment="1">
      <alignment horizontal="right" vertical="center"/>
    </xf>
    <xf numFmtId="165" fontId="70" fillId="0" borderId="50" xfId="161" applyNumberFormat="1" applyFont="1" applyFill="1" applyBorder="1" applyAlignment="1">
      <alignment horizontal="right" vertical="center"/>
    </xf>
    <xf numFmtId="0" fontId="70" fillId="0" borderId="61" xfId="0" applyFont="1" applyFill="1" applyBorder="1" applyAlignment="1">
      <alignment horizontal="center" vertical="center" wrapText="1"/>
    </xf>
    <xf numFmtId="165" fontId="71" fillId="0" borderId="49" xfId="161" applyNumberFormat="1" applyFont="1" applyFill="1" applyBorder="1" applyAlignment="1">
      <alignment horizontal="right" vertical="center"/>
    </xf>
    <xf numFmtId="165" fontId="71" fillId="0" borderId="50" xfId="161" applyNumberFormat="1" applyFont="1" applyFill="1" applyBorder="1" applyAlignment="1">
      <alignment horizontal="right" vertical="center"/>
    </xf>
    <xf numFmtId="165" fontId="71" fillId="0" borderId="58" xfId="161" applyNumberFormat="1" applyFont="1" applyFill="1" applyBorder="1" applyAlignment="1">
      <alignment horizontal="right" vertical="center"/>
    </xf>
    <xf numFmtId="0" fontId="70" fillId="0" borderId="82" xfId="0" applyFont="1" applyFill="1" applyBorder="1" applyAlignment="1">
      <alignment horizontal="center" vertical="center"/>
    </xf>
    <xf numFmtId="0" fontId="90" fillId="0" borderId="84" xfId="0" applyFont="1" applyFill="1" applyBorder="1" applyAlignment="1">
      <alignment horizontal="center"/>
    </xf>
    <xf numFmtId="0" fontId="90" fillId="0" borderId="85" xfId="0" applyFont="1" applyFill="1" applyBorder="1" applyAlignment="1">
      <alignment horizontal="center"/>
    </xf>
    <xf numFmtId="0" fontId="70" fillId="0" borderId="87" xfId="0" applyFont="1" applyFill="1" applyBorder="1" applyAlignment="1">
      <alignment horizontal="center" vertical="center" wrapText="1"/>
    </xf>
    <xf numFmtId="0" fontId="90" fillId="0" borderId="88" xfId="0" applyFont="1" applyFill="1" applyBorder="1" applyAlignment="1">
      <alignment horizontal="center"/>
    </xf>
    <xf numFmtId="0" fontId="90" fillId="0" borderId="22" xfId="0" applyNumberFormat="1" applyFont="1" applyFill="1" applyBorder="1" applyAlignment="1">
      <alignment horizontal="center" vertical="center" wrapText="1"/>
    </xf>
    <xf numFmtId="0" fontId="71" fillId="0" borderId="0" xfId="89" applyFont="1" applyFill="1" applyAlignment="1">
      <alignment horizontal="center" vertical="center" wrapText="1"/>
    </xf>
    <xf numFmtId="0" fontId="71" fillId="0" borderId="0" xfId="89" applyFont="1" applyFill="1" applyBorder="1" applyAlignment="1">
      <alignment horizontal="center" vertical="center" wrapText="1"/>
    </xf>
    <xf numFmtId="0" fontId="70" fillId="0" borderId="0" xfId="89" applyFont="1" applyFill="1" applyAlignment="1">
      <alignment horizontal="center" vertical="center" wrapText="1"/>
    </xf>
    <xf numFmtId="0" fontId="71" fillId="0" borderId="0" xfId="0" applyFont="1" applyFill="1" applyBorder="1" applyAlignment="1">
      <alignment horizontal="left" indent="1"/>
    </xf>
    <xf numFmtId="4" fontId="71" fillId="0" borderId="0" xfId="89" applyNumberFormat="1" applyFont="1" applyFill="1" applyBorder="1" applyAlignment="1">
      <alignment horizontal="right" vertical="center" wrapText="1"/>
    </xf>
    <xf numFmtId="4" fontId="71" fillId="0" borderId="25" xfId="89" applyNumberFormat="1" applyFont="1" applyFill="1" applyBorder="1" applyAlignment="1">
      <alignment horizontal="right" vertical="center" wrapText="1"/>
    </xf>
    <xf numFmtId="4" fontId="71" fillId="0" borderId="57" xfId="89" applyNumberFormat="1" applyFont="1" applyFill="1" applyBorder="1" applyAlignment="1">
      <alignment horizontal="right" vertical="center" wrapText="1"/>
    </xf>
    <xf numFmtId="4" fontId="71" fillId="0" borderId="41" xfId="89" applyNumberFormat="1" applyFont="1" applyFill="1" applyBorder="1" applyAlignment="1">
      <alignment horizontal="right" vertical="center" wrapText="1"/>
    </xf>
    <xf numFmtId="4" fontId="71" fillId="0" borderId="59" xfId="89" applyNumberFormat="1" applyFont="1" applyFill="1" applyBorder="1" applyAlignment="1">
      <alignment horizontal="right" vertical="center" wrapText="1"/>
    </xf>
    <xf numFmtId="4" fontId="71" fillId="0" borderId="40" xfId="89" applyNumberFormat="1" applyFont="1" applyFill="1" applyBorder="1" applyAlignment="1">
      <alignment horizontal="right" vertical="center" wrapText="1"/>
    </xf>
    <xf numFmtId="4" fontId="71" fillId="0" borderId="56" xfId="89" applyNumberFormat="1" applyFont="1" applyFill="1" applyBorder="1" applyAlignment="1">
      <alignment horizontal="right" vertical="center" wrapText="1"/>
    </xf>
    <xf numFmtId="0" fontId="71" fillId="0" borderId="84" xfId="89" applyFont="1" applyFill="1" applyBorder="1" applyAlignment="1">
      <alignment horizontal="center" vertical="center" wrapText="1"/>
    </xf>
    <xf numFmtId="0" fontId="71" fillId="0" borderId="85" xfId="89" applyFont="1" applyFill="1" applyBorder="1" applyAlignment="1">
      <alignment horizontal="center" vertical="center" wrapText="1"/>
    </xf>
    <xf numFmtId="0" fontId="71" fillId="0" borderId="88" xfId="89" applyFont="1" applyFill="1" applyBorder="1" applyAlignment="1">
      <alignment horizontal="center" vertical="center" wrapText="1"/>
    </xf>
    <xf numFmtId="4" fontId="71" fillId="0" borderId="42" xfId="89" applyNumberFormat="1" applyFont="1" applyFill="1" applyBorder="1" applyAlignment="1">
      <alignment horizontal="right" vertical="center" wrapText="1"/>
    </xf>
    <xf numFmtId="4" fontId="71" fillId="0" borderId="27" xfId="89" applyNumberFormat="1" applyFont="1" applyFill="1" applyBorder="1" applyAlignment="1">
      <alignment horizontal="right" vertical="center" wrapText="1"/>
    </xf>
    <xf numFmtId="4" fontId="71" fillId="0" borderId="43" xfId="89" applyNumberFormat="1" applyFont="1" applyFill="1" applyBorder="1" applyAlignment="1">
      <alignment horizontal="right" vertical="center" wrapText="1"/>
    </xf>
    <xf numFmtId="0" fontId="70" fillId="0" borderId="70" xfId="89" applyFont="1" applyFill="1" applyBorder="1" applyAlignment="1">
      <alignment horizontal="left" vertical="top" wrapText="1"/>
    </xf>
    <xf numFmtId="0" fontId="70" fillId="0" borderId="71" xfId="89" applyFont="1" applyFill="1" applyBorder="1" applyAlignment="1">
      <alignment horizontal="left" vertical="top" wrapText="1"/>
    </xf>
    <xf numFmtId="0" fontId="71" fillId="0" borderId="71" xfId="89" applyFont="1" applyFill="1" applyBorder="1" applyAlignment="1">
      <alignment horizontal="left" vertical="center" wrapText="1"/>
    </xf>
    <xf numFmtId="0" fontId="70" fillId="0" borderId="71" xfId="89" applyFont="1" applyFill="1" applyBorder="1" applyAlignment="1">
      <alignment horizontal="left" vertical="center" wrapText="1"/>
    </xf>
    <xf numFmtId="0" fontId="71" fillId="0" borderId="71" xfId="89" applyFont="1" applyFill="1" applyBorder="1" applyAlignment="1">
      <alignment horizontal="left" vertical="top" wrapText="1"/>
    </xf>
    <xf numFmtId="0" fontId="71" fillId="0" borderId="72" xfId="89" applyFont="1" applyFill="1" applyBorder="1" applyAlignment="1">
      <alignment horizontal="left" vertical="top" wrapText="1"/>
    </xf>
    <xf numFmtId="4" fontId="71" fillId="0" borderId="29" xfId="89" applyNumberFormat="1" applyFont="1" applyFill="1" applyBorder="1" applyAlignment="1">
      <alignment horizontal="right" vertical="center" wrapText="1"/>
    </xf>
    <xf numFmtId="4" fontId="71" fillId="0" borderId="26" xfId="89" applyNumberFormat="1" applyFont="1" applyFill="1" applyBorder="1" applyAlignment="1">
      <alignment horizontal="right" vertical="center" wrapText="1"/>
    </xf>
    <xf numFmtId="4" fontId="71" fillId="0" borderId="44" xfId="89" applyNumberFormat="1" applyFont="1" applyFill="1" applyBorder="1" applyAlignment="1">
      <alignment horizontal="right" vertical="center" wrapText="1"/>
    </xf>
    <xf numFmtId="4" fontId="71" fillId="0" borderId="49" xfId="89" applyNumberFormat="1" applyFont="1" applyFill="1" applyBorder="1" applyAlignment="1">
      <alignment horizontal="right" vertical="center" wrapText="1"/>
    </xf>
    <xf numFmtId="4" fontId="71" fillId="0" borderId="50" xfId="89" applyNumberFormat="1" applyFont="1" applyFill="1" applyBorder="1" applyAlignment="1">
      <alignment horizontal="right" vertical="center" wrapText="1"/>
    </xf>
    <xf numFmtId="4" fontId="71" fillId="0" borderId="58" xfId="89" applyNumberFormat="1" applyFont="1" applyFill="1" applyBorder="1" applyAlignment="1">
      <alignment horizontal="right" vertical="center" wrapText="1"/>
    </xf>
    <xf numFmtId="4" fontId="71" fillId="0" borderId="70" xfId="89" applyNumberFormat="1" applyFont="1" applyFill="1" applyBorder="1" applyAlignment="1">
      <alignment horizontal="right" vertical="center" wrapText="1"/>
    </xf>
    <xf numFmtId="4" fontId="71" fillId="0" borderId="71" xfId="89" applyNumberFormat="1" applyFont="1" applyFill="1" applyBorder="1" applyAlignment="1">
      <alignment horizontal="right" vertical="center" wrapText="1"/>
    </xf>
    <xf numFmtId="4" fontId="71" fillId="0" borderId="72" xfId="89" applyNumberFormat="1" applyFont="1" applyFill="1" applyBorder="1" applyAlignment="1">
      <alignment horizontal="right" vertical="center" wrapText="1"/>
    </xf>
    <xf numFmtId="4" fontId="71" fillId="0" borderId="25" xfId="89" applyNumberFormat="1" applyFont="1" applyFill="1" applyBorder="1" applyAlignment="1">
      <alignment vertical="center" wrapText="1"/>
    </xf>
    <xf numFmtId="4" fontId="71" fillId="0" borderId="57" xfId="89" applyNumberFormat="1" applyFont="1" applyFill="1" applyBorder="1" applyAlignment="1">
      <alignment vertical="center" wrapText="1"/>
    </xf>
    <xf numFmtId="4" fontId="71" fillId="0" borderId="41" xfId="89" applyNumberFormat="1" applyFont="1" applyFill="1" applyBorder="1" applyAlignment="1">
      <alignment vertical="center" wrapText="1"/>
    </xf>
    <xf numFmtId="4" fontId="71" fillId="0" borderId="59" xfId="89" applyNumberFormat="1" applyFont="1" applyFill="1" applyBorder="1" applyAlignment="1">
      <alignment vertical="center" wrapText="1"/>
    </xf>
    <xf numFmtId="4" fontId="71" fillId="0" borderId="40" xfId="89" applyNumberFormat="1" applyFont="1" applyFill="1" applyBorder="1" applyAlignment="1">
      <alignment vertical="center" wrapText="1"/>
    </xf>
    <xf numFmtId="4" fontId="71" fillId="0" borderId="56" xfId="89" applyNumberFormat="1" applyFont="1" applyFill="1" applyBorder="1" applyAlignment="1">
      <alignment vertical="center" wrapText="1"/>
    </xf>
    <xf numFmtId="0" fontId="90" fillId="0" borderId="22" xfId="89" applyFont="1" applyFill="1" applyBorder="1" applyAlignment="1">
      <alignment horizontal="center" vertical="center" wrapText="1"/>
    </xf>
    <xf numFmtId="0" fontId="90" fillId="0" borderId="88" xfId="89" applyFont="1" applyFill="1" applyBorder="1" applyAlignment="1">
      <alignment horizontal="center" vertical="center" wrapText="1"/>
    </xf>
    <xf numFmtId="0" fontId="90" fillId="0" borderId="84" xfId="89" applyFont="1" applyFill="1" applyBorder="1" applyAlignment="1">
      <alignment horizontal="center" vertical="center" wrapText="1"/>
    </xf>
    <xf numFmtId="0" fontId="90" fillId="0" borderId="94" xfId="89" applyFont="1" applyFill="1" applyBorder="1" applyAlignment="1">
      <alignment horizontal="center" vertical="center" wrapText="1"/>
    </xf>
    <xf numFmtId="0" fontId="90" fillId="0" borderId="83" xfId="89" applyFont="1" applyFill="1" applyBorder="1" applyAlignment="1">
      <alignment horizontal="center" vertical="center" wrapText="1"/>
    </xf>
    <xf numFmtId="0" fontId="90" fillId="0" borderId="85" xfId="89" applyFont="1" applyFill="1" applyBorder="1" applyAlignment="1">
      <alignment horizontal="center" vertical="center" wrapText="1"/>
    </xf>
    <xf numFmtId="0" fontId="90" fillId="0" borderId="15" xfId="89" applyFont="1" applyFill="1" applyBorder="1" applyAlignment="1">
      <alignment horizontal="center" vertical="center" wrapText="1"/>
    </xf>
    <xf numFmtId="0" fontId="70" fillId="0" borderId="97" xfId="89" applyFont="1" applyFill="1" applyBorder="1" applyAlignment="1">
      <alignment horizontal="left" vertical="center" wrapText="1"/>
    </xf>
    <xf numFmtId="0" fontId="70" fillId="0" borderId="74" xfId="0" applyFont="1" applyFill="1" applyBorder="1" applyAlignment="1">
      <alignment vertical="top" wrapText="1"/>
    </xf>
    <xf numFmtId="0" fontId="71" fillId="0" borderId="74" xfId="0" applyFont="1" applyFill="1" applyBorder="1" applyAlignment="1">
      <alignment vertical="top" wrapText="1"/>
    </xf>
    <xf numFmtId="0" fontId="71" fillId="0" borderId="64" xfId="0" applyFont="1" applyFill="1" applyBorder="1" applyAlignment="1">
      <alignment vertical="top" wrapText="1"/>
    </xf>
    <xf numFmtId="4" fontId="71" fillId="0" borderId="42" xfId="89" applyNumberFormat="1" applyFont="1" applyFill="1" applyBorder="1" applyAlignment="1">
      <alignment vertical="center" wrapText="1"/>
    </xf>
    <xf numFmtId="4" fontId="71" fillId="0" borderId="27" xfId="89" applyNumberFormat="1" applyFont="1" applyFill="1" applyBorder="1" applyAlignment="1">
      <alignment vertical="center" wrapText="1"/>
    </xf>
    <xf numFmtId="4" fontId="71" fillId="0" borderId="43" xfId="89" applyNumberFormat="1" applyFont="1" applyFill="1" applyBorder="1" applyAlignment="1">
      <alignment vertical="center" wrapText="1"/>
    </xf>
    <xf numFmtId="4" fontId="71" fillId="0" borderId="70" xfId="89" applyNumberFormat="1" applyFont="1" applyFill="1" applyBorder="1" applyAlignment="1">
      <alignment vertical="center" wrapText="1"/>
    </xf>
    <xf numFmtId="4" fontId="71" fillId="0" borderId="71" xfId="89" applyNumberFormat="1" applyFont="1" applyFill="1" applyBorder="1" applyAlignment="1">
      <alignment vertical="center" wrapText="1"/>
    </xf>
    <xf numFmtId="4" fontId="71" fillId="0" borderId="72" xfId="89" applyNumberFormat="1" applyFont="1" applyFill="1" applyBorder="1" applyAlignment="1">
      <alignment vertical="center" wrapText="1"/>
    </xf>
    <xf numFmtId="4" fontId="71" fillId="0" borderId="29" xfId="89" applyNumberFormat="1" applyFont="1" applyFill="1" applyBorder="1" applyAlignment="1">
      <alignment vertical="center" wrapText="1"/>
    </xf>
    <xf numFmtId="4" fontId="71" fillId="0" borderId="26" xfId="89" applyNumberFormat="1" applyFont="1" applyFill="1" applyBorder="1" applyAlignment="1">
      <alignment vertical="center" wrapText="1"/>
    </xf>
    <xf numFmtId="4" fontId="71" fillId="0" borderId="44" xfId="89" applyNumberFormat="1" applyFont="1" applyFill="1" applyBorder="1" applyAlignment="1">
      <alignment vertical="center" wrapText="1"/>
    </xf>
    <xf numFmtId="4" fontId="71" fillId="0" borderId="49" xfId="89" applyNumberFormat="1" applyFont="1" applyFill="1" applyBorder="1" applyAlignment="1">
      <alignment vertical="center" wrapText="1"/>
    </xf>
    <xf numFmtId="4" fontId="71" fillId="0" borderId="50" xfId="89" applyNumberFormat="1" applyFont="1" applyFill="1" applyBorder="1" applyAlignment="1">
      <alignment vertical="center" wrapText="1"/>
    </xf>
    <xf numFmtId="4" fontId="71" fillId="0" borderId="58" xfId="89" applyNumberFormat="1" applyFont="1" applyFill="1" applyBorder="1" applyAlignment="1">
      <alignment vertical="center" wrapText="1"/>
    </xf>
    <xf numFmtId="0" fontId="90" fillId="0" borderId="61" xfId="89" applyFont="1" applyFill="1" applyBorder="1" applyAlignment="1">
      <alignment horizontal="center" vertical="center" wrapText="1"/>
    </xf>
    <xf numFmtId="0" fontId="90" fillId="0" borderId="62" xfId="89" applyFont="1" applyFill="1" applyBorder="1" applyAlignment="1">
      <alignment horizontal="center" vertical="center" wrapText="1"/>
    </xf>
    <xf numFmtId="0" fontId="90" fillId="0" borderId="63" xfId="89" applyFont="1" applyFill="1" applyBorder="1" applyAlignment="1">
      <alignment horizontal="center" vertical="center" wrapText="1"/>
    </xf>
    <xf numFmtId="0" fontId="90" fillId="0" borderId="10" xfId="89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left" vertical="center" wrapText="1"/>
    </xf>
    <xf numFmtId="4" fontId="88" fillId="0" borderId="0" xfId="0" applyNumberFormat="1" applyFont="1" applyFill="1" applyBorder="1" applyAlignment="1">
      <alignment horizontal="right" vertical="center" wrapText="1"/>
    </xf>
    <xf numFmtId="0" fontId="88" fillId="0" borderId="1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center" vertical="center"/>
    </xf>
    <xf numFmtId="0" fontId="91" fillId="0" borderId="83" xfId="0" applyFont="1" applyFill="1" applyBorder="1" applyAlignment="1">
      <alignment horizontal="center" vertical="center"/>
    </xf>
    <xf numFmtId="0" fontId="90" fillId="0" borderId="84" xfId="0" applyFont="1" applyFill="1" applyBorder="1" applyAlignment="1">
      <alignment horizontal="center" vertical="center"/>
    </xf>
    <xf numFmtId="0" fontId="91" fillId="0" borderId="84" xfId="0" applyFont="1" applyFill="1" applyBorder="1" applyAlignment="1">
      <alignment horizontal="center" vertical="center"/>
    </xf>
    <xf numFmtId="0" fontId="90" fillId="0" borderId="85" xfId="0" applyFont="1" applyFill="1" applyBorder="1" applyAlignment="1">
      <alignment horizontal="center" vertical="center"/>
    </xf>
    <xf numFmtId="4" fontId="88" fillId="0" borderId="62" xfId="0" applyNumberFormat="1" applyFont="1" applyFill="1" applyBorder="1" applyAlignment="1">
      <alignment horizontal="right" vertical="center"/>
    </xf>
    <xf numFmtId="4" fontId="88" fillId="0" borderId="61" xfId="0" applyNumberFormat="1" applyFont="1" applyFill="1" applyBorder="1" applyAlignment="1">
      <alignment horizontal="right" vertical="center"/>
    </xf>
    <xf numFmtId="4" fontId="87" fillId="0" borderId="42" xfId="0" applyNumberFormat="1" applyFont="1" applyFill="1" applyBorder="1" applyAlignment="1">
      <alignment horizontal="right" vertical="center"/>
    </xf>
    <xf numFmtId="0" fontId="88" fillId="0" borderId="70" xfId="0" applyFont="1" applyFill="1" applyBorder="1" applyAlignment="1">
      <alignment horizontal="right" vertical="center" wrapText="1" indent="1"/>
    </xf>
    <xf numFmtId="0" fontId="88" fillId="0" borderId="72" xfId="0" applyFont="1" applyFill="1" applyBorder="1" applyAlignment="1">
      <alignment horizontal="right" vertical="center" wrapText="1" indent="1"/>
    </xf>
    <xf numFmtId="4" fontId="88" fillId="0" borderId="68" xfId="0" applyNumberFormat="1" applyFont="1" applyFill="1" applyBorder="1" applyAlignment="1">
      <alignment horizontal="right" vertical="center"/>
    </xf>
    <xf numFmtId="165" fontId="87" fillId="0" borderId="49" xfId="0" applyNumberFormat="1" applyFont="1" applyFill="1" applyBorder="1" applyAlignment="1">
      <alignment horizontal="center" vertical="center"/>
    </xf>
    <xf numFmtId="165" fontId="87" fillId="0" borderId="58" xfId="0" applyNumberFormat="1" applyFont="1" applyFill="1" applyBorder="1" applyAlignment="1">
      <alignment horizontal="center" vertical="center"/>
    </xf>
    <xf numFmtId="165" fontId="88" fillId="0" borderId="60" xfId="0" applyNumberFormat="1" applyFont="1" applyFill="1" applyBorder="1" applyAlignment="1">
      <alignment horizontal="right" vertical="center"/>
    </xf>
    <xf numFmtId="165" fontId="88" fillId="0" borderId="63" xfId="0" applyNumberFormat="1" applyFont="1" applyFill="1" applyBorder="1" applyAlignment="1">
      <alignment horizontal="right" vertical="center"/>
    </xf>
    <xf numFmtId="165" fontId="87" fillId="0" borderId="49" xfId="0" applyNumberFormat="1" applyFont="1" applyFill="1" applyBorder="1" applyAlignment="1">
      <alignment horizontal="right" vertical="center"/>
    </xf>
    <xf numFmtId="165" fontId="87" fillId="0" borderId="56" xfId="0" applyNumberFormat="1" applyFont="1" applyFill="1" applyBorder="1" applyAlignment="1">
      <alignment horizontal="right" vertical="center"/>
    </xf>
    <xf numFmtId="0" fontId="88" fillId="0" borderId="10" xfId="0" applyFont="1" applyFill="1" applyBorder="1" applyAlignment="1">
      <alignment vertical="center" wrapText="1"/>
    </xf>
    <xf numFmtId="4" fontId="88" fillId="0" borderId="61" xfId="0" applyNumberFormat="1" applyFont="1" applyFill="1" applyBorder="1" applyAlignment="1">
      <alignment vertical="center"/>
    </xf>
    <xf numFmtId="4" fontId="88" fillId="0" borderId="62" xfId="0" applyNumberFormat="1" applyFont="1" applyFill="1" applyBorder="1" applyAlignment="1">
      <alignment vertical="center"/>
    </xf>
    <xf numFmtId="4" fontId="88" fillId="0" borderId="68" xfId="0" applyNumberFormat="1" applyFont="1" applyFill="1" applyBorder="1" applyAlignment="1">
      <alignment vertical="center"/>
    </xf>
    <xf numFmtId="165" fontId="88" fillId="0" borderId="60" xfId="0" applyNumberFormat="1" applyFont="1" applyFill="1" applyBorder="1" applyAlignment="1">
      <alignment vertical="center"/>
    </xf>
    <xf numFmtId="165" fontId="88" fillId="0" borderId="63" xfId="0" applyNumberFormat="1" applyFont="1" applyFill="1" applyBorder="1" applyAlignment="1">
      <alignment vertical="center"/>
    </xf>
    <xf numFmtId="0" fontId="71" fillId="0" borderId="0" xfId="0" applyFont="1" applyFill="1" applyBorder="1" applyAlignment="1"/>
    <xf numFmtId="4" fontId="87" fillId="0" borderId="42" xfId="0" applyNumberFormat="1" applyFont="1" applyFill="1" applyBorder="1" applyAlignment="1">
      <alignment vertical="center"/>
    </xf>
    <xf numFmtId="4" fontId="87" fillId="0" borderId="40" xfId="0" applyNumberFormat="1" applyFont="1" applyFill="1" applyBorder="1" applyAlignment="1">
      <alignment vertical="center"/>
    </xf>
    <xf numFmtId="4" fontId="87" fillId="0" borderId="29" xfId="0" applyNumberFormat="1" applyFont="1" applyFill="1" applyBorder="1" applyAlignment="1">
      <alignment vertical="center"/>
    </xf>
    <xf numFmtId="165" fontId="87" fillId="0" borderId="49" xfId="0" applyNumberFormat="1" applyFont="1" applyFill="1" applyBorder="1" applyAlignment="1">
      <alignment vertical="center"/>
    </xf>
    <xf numFmtId="165" fontId="87" fillId="0" borderId="56" xfId="0" applyNumberFormat="1" applyFont="1" applyFill="1" applyBorder="1" applyAlignment="1">
      <alignment vertical="center"/>
    </xf>
    <xf numFmtId="4" fontId="87" fillId="0" borderId="43" xfId="0" applyNumberFormat="1" applyFont="1" applyFill="1" applyBorder="1" applyAlignment="1">
      <alignment vertical="center"/>
    </xf>
    <xf numFmtId="4" fontId="87" fillId="0" borderId="41" xfId="0" applyNumberFormat="1" applyFont="1" applyFill="1" applyBorder="1" applyAlignment="1">
      <alignment vertical="center"/>
    </xf>
    <xf numFmtId="4" fontId="87" fillId="0" borderId="44" xfId="0" applyNumberFormat="1" applyFont="1" applyFill="1" applyBorder="1" applyAlignment="1">
      <alignment vertical="center"/>
    </xf>
    <xf numFmtId="165" fontId="87" fillId="0" borderId="58" xfId="0" applyNumberFormat="1" applyFont="1" applyFill="1" applyBorder="1" applyAlignment="1">
      <alignment vertical="center"/>
    </xf>
    <xf numFmtId="165" fontId="87" fillId="0" borderId="59" xfId="0" applyNumberFormat="1" applyFont="1" applyFill="1" applyBorder="1" applyAlignment="1">
      <alignment vertical="center"/>
    </xf>
    <xf numFmtId="0" fontId="71" fillId="0" borderId="0" xfId="0" applyFont="1" applyFill="1" applyAlignment="1"/>
    <xf numFmtId="0" fontId="90" fillId="0" borderId="88" xfId="0" applyFont="1" applyFill="1" applyBorder="1" applyAlignment="1">
      <alignment horizontal="center" vertical="center"/>
    </xf>
    <xf numFmtId="0" fontId="91" fillId="0" borderId="22" xfId="0" applyFont="1" applyFill="1" applyBorder="1" applyAlignment="1">
      <alignment horizontal="center" vertical="center"/>
    </xf>
    <xf numFmtId="0" fontId="91" fillId="0" borderId="94" xfId="0" applyFont="1" applyFill="1" applyBorder="1" applyAlignment="1">
      <alignment horizontal="center" vertical="center"/>
    </xf>
    <xf numFmtId="0" fontId="90" fillId="0" borderId="83" xfId="0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right" vertical="center"/>
    </xf>
    <xf numFmtId="4" fontId="87" fillId="0" borderId="25" xfId="0" applyNumberFormat="1" applyFont="1" applyFill="1" applyBorder="1" applyAlignment="1">
      <alignment horizontal="right" vertical="center" wrapText="1"/>
    </xf>
    <xf numFmtId="4" fontId="87" fillId="0" borderId="47" xfId="0" applyNumberFormat="1" applyFont="1" applyFill="1" applyBorder="1" applyAlignment="1">
      <alignment horizontal="right" vertical="center"/>
    </xf>
    <xf numFmtId="4" fontId="88" fillId="0" borderId="41" xfId="0" applyNumberFormat="1" applyFont="1" applyFill="1" applyBorder="1" applyAlignment="1">
      <alignment horizontal="right" vertical="center" wrapText="1"/>
    </xf>
    <xf numFmtId="4" fontId="88" fillId="0" borderId="59" xfId="0" applyNumberFormat="1" applyFont="1" applyFill="1" applyBorder="1" applyAlignment="1">
      <alignment horizontal="right" vertical="center" wrapText="1"/>
    </xf>
    <xf numFmtId="0" fontId="88" fillId="0" borderId="76" xfId="0" applyFont="1" applyFill="1" applyBorder="1" applyAlignment="1">
      <alignment horizontal="left" vertical="center" wrapText="1"/>
    </xf>
    <xf numFmtId="4" fontId="88" fillId="0" borderId="55" xfId="0" applyNumberFormat="1" applyFont="1" applyFill="1" applyBorder="1" applyAlignment="1">
      <alignment horizontal="right" vertical="center" wrapText="1"/>
    </xf>
    <xf numFmtId="4" fontId="88" fillId="0" borderId="47" xfId="0" applyNumberFormat="1" applyFont="1" applyFill="1" applyBorder="1" applyAlignment="1">
      <alignment horizontal="right" vertical="center" wrapText="1"/>
    </xf>
    <xf numFmtId="4" fontId="88" fillId="0" borderId="91" xfId="0" applyNumberFormat="1" applyFont="1" applyFill="1" applyBorder="1" applyAlignment="1">
      <alignment horizontal="right" vertical="center" wrapText="1"/>
    </xf>
    <xf numFmtId="4" fontId="70" fillId="0" borderId="60" xfId="0" applyNumberFormat="1" applyFont="1" applyFill="1" applyBorder="1" applyAlignment="1">
      <alignment vertical="center" wrapText="1"/>
    </xf>
    <xf numFmtId="4" fontId="70" fillId="0" borderId="62" xfId="0" applyNumberFormat="1" applyFont="1" applyFill="1" applyBorder="1" applyAlignment="1">
      <alignment vertical="center" wrapText="1"/>
    </xf>
    <xf numFmtId="4" fontId="70" fillId="0" borderId="63" xfId="0" applyNumberFormat="1" applyFont="1" applyFill="1" applyBorder="1" applyAlignment="1">
      <alignment vertical="center" wrapText="1"/>
    </xf>
    <xf numFmtId="0" fontId="70" fillId="0" borderId="47" xfId="0" applyFont="1" applyFill="1" applyBorder="1" applyAlignment="1">
      <alignment horizontal="center" vertical="center" wrapText="1"/>
    </xf>
    <xf numFmtId="4" fontId="87" fillId="0" borderId="27" xfId="0" applyNumberFormat="1" applyFont="1" applyFill="1" applyBorder="1" applyAlignment="1">
      <alignment horizontal="right" vertical="center" wrapText="1"/>
    </xf>
    <xf numFmtId="4" fontId="87" fillId="0" borderId="51" xfId="0" applyNumberFormat="1" applyFont="1" applyFill="1" applyBorder="1" applyAlignment="1">
      <alignment horizontal="right" vertical="center"/>
    </xf>
    <xf numFmtId="4" fontId="88" fillId="0" borderId="43" xfId="0" applyNumberFormat="1" applyFont="1" applyFill="1" applyBorder="1" applyAlignment="1">
      <alignment horizontal="right" vertical="center" wrapText="1"/>
    </xf>
    <xf numFmtId="0" fontId="87" fillId="0" borderId="76" xfId="0" applyFont="1" applyFill="1" applyBorder="1" applyAlignment="1">
      <alignment horizontal="left" vertical="center" wrapText="1" indent="1"/>
    </xf>
    <xf numFmtId="4" fontId="88" fillId="0" borderId="51" xfId="0" applyNumberFormat="1" applyFont="1" applyFill="1" applyBorder="1" applyAlignment="1">
      <alignment horizontal="right" vertical="center" wrapText="1"/>
    </xf>
    <xf numFmtId="4" fontId="88" fillId="0" borderId="61" xfId="0" applyNumberFormat="1" applyFont="1" applyFill="1" applyBorder="1" applyAlignment="1">
      <alignment horizontal="right" vertical="center" wrapText="1"/>
    </xf>
    <xf numFmtId="4" fontId="88" fillId="0" borderId="62" xfId="0" applyNumberFormat="1" applyFont="1" applyFill="1" applyBorder="1" applyAlignment="1">
      <alignment horizontal="right" vertical="center" wrapText="1"/>
    </xf>
    <xf numFmtId="4" fontId="88" fillId="0" borderId="63" xfId="0" applyNumberFormat="1" applyFont="1" applyFill="1" applyBorder="1" applyAlignment="1">
      <alignment horizontal="right" vertical="center" wrapText="1"/>
    </xf>
    <xf numFmtId="0" fontId="88" fillId="0" borderId="70" xfId="0" applyFont="1" applyFill="1" applyBorder="1" applyAlignment="1">
      <alignment horizontal="right" vertical="center" wrapText="1"/>
    </xf>
    <xf numFmtId="0" fontId="88" fillId="0" borderId="72" xfId="0" applyFont="1" applyFill="1" applyBorder="1" applyAlignment="1">
      <alignment horizontal="right" vertical="center"/>
    </xf>
    <xf numFmtId="4" fontId="88" fillId="0" borderId="60" xfId="0" applyNumberFormat="1" applyFont="1" applyFill="1" applyBorder="1" applyAlignment="1">
      <alignment horizontal="right" vertical="center"/>
    </xf>
    <xf numFmtId="4" fontId="87" fillId="0" borderId="49" xfId="0" applyNumberFormat="1" applyFont="1" applyFill="1" applyBorder="1" applyAlignment="1">
      <alignment horizontal="right" vertical="center"/>
    </xf>
    <xf numFmtId="4" fontId="87" fillId="0" borderId="58" xfId="0" applyNumberFormat="1" applyFont="1" applyFill="1" applyBorder="1" applyAlignment="1">
      <alignment horizontal="right" vertical="center"/>
    </xf>
    <xf numFmtId="0" fontId="88" fillId="0" borderId="0" xfId="0" applyFont="1" applyFill="1" applyBorder="1" applyAlignment="1">
      <alignment horizontal="right" vertical="center"/>
    </xf>
    <xf numFmtId="4" fontId="87" fillId="0" borderId="0" xfId="0" applyNumberFormat="1" applyFont="1" applyFill="1" applyBorder="1" applyAlignment="1">
      <alignment horizontal="right" vertical="center"/>
    </xf>
    <xf numFmtId="0" fontId="70" fillId="0" borderId="70" xfId="0" applyFont="1" applyFill="1" applyBorder="1" applyAlignment="1">
      <alignment horizontal="left" vertical="top" wrapText="1"/>
    </xf>
    <xf numFmtId="0" fontId="71" fillId="0" borderId="71" xfId="0" applyFont="1" applyFill="1" applyBorder="1" applyAlignment="1">
      <alignment horizontal="left" vertical="top" wrapText="1"/>
    </xf>
    <xf numFmtId="0" fontId="71" fillId="0" borderId="71" xfId="0" applyFont="1" applyFill="1" applyBorder="1" applyAlignment="1">
      <alignment horizontal="left" vertical="top" wrapText="1" indent="1"/>
    </xf>
    <xf numFmtId="0" fontId="70" fillId="0" borderId="71" xfId="0" applyFont="1" applyFill="1" applyBorder="1" applyAlignment="1">
      <alignment horizontal="left" vertical="top" wrapText="1"/>
    </xf>
    <xf numFmtId="0" fontId="71" fillId="0" borderId="72" xfId="0" applyFont="1" applyFill="1" applyBorder="1" applyAlignment="1">
      <alignment horizontal="left" vertical="top" wrapText="1"/>
    </xf>
    <xf numFmtId="0" fontId="90" fillId="0" borderId="94" xfId="0" applyFont="1" applyFill="1" applyBorder="1" applyAlignment="1">
      <alignment horizontal="center"/>
    </xf>
    <xf numFmtId="0" fontId="90" fillId="0" borderId="83" xfId="0" applyFont="1" applyFill="1" applyBorder="1" applyAlignment="1">
      <alignment horizontal="center"/>
    </xf>
    <xf numFmtId="165" fontId="70" fillId="0" borderId="49" xfId="537" applyNumberFormat="1" applyFont="1" applyFill="1" applyBorder="1" applyAlignment="1">
      <alignment horizontal="right" vertical="center"/>
    </xf>
    <xf numFmtId="165" fontId="70" fillId="0" borderId="50" xfId="537" applyNumberFormat="1" applyFont="1" applyFill="1" applyBorder="1" applyAlignment="1">
      <alignment horizontal="right" vertical="center"/>
    </xf>
    <xf numFmtId="0" fontId="70" fillId="0" borderId="81" xfId="0" applyFont="1" applyFill="1" applyBorder="1" applyAlignment="1">
      <alignment horizontal="center" vertical="center"/>
    </xf>
    <xf numFmtId="0" fontId="70" fillId="0" borderId="79" xfId="0" applyFont="1" applyFill="1" applyBorder="1" applyAlignment="1">
      <alignment horizontal="center" vertical="center"/>
    </xf>
    <xf numFmtId="165" fontId="71" fillId="0" borderId="49" xfId="537" applyNumberFormat="1" applyFont="1" applyFill="1" applyBorder="1" applyAlignment="1">
      <alignment horizontal="right" vertical="center"/>
    </xf>
    <xf numFmtId="165" fontId="71" fillId="0" borderId="50" xfId="537" applyNumberFormat="1" applyFont="1" applyFill="1" applyBorder="1" applyAlignment="1">
      <alignment horizontal="right" vertical="center"/>
    </xf>
    <xf numFmtId="165" fontId="71" fillId="0" borderId="58" xfId="537" applyNumberFormat="1" applyFont="1" applyFill="1" applyBorder="1" applyAlignment="1">
      <alignment horizontal="right" vertical="center"/>
    </xf>
    <xf numFmtId="0" fontId="88" fillId="0" borderId="72" xfId="0" applyFont="1" applyFill="1" applyBorder="1" applyAlignment="1">
      <alignment horizontal="right" vertical="center" wrapText="1"/>
    </xf>
    <xf numFmtId="0" fontId="70" fillId="0" borderId="70" xfId="89" applyFont="1" applyFill="1" applyBorder="1" applyAlignment="1">
      <alignment horizontal="left" vertical="center" wrapText="1"/>
    </xf>
    <xf numFmtId="0" fontId="70" fillId="0" borderId="71" xfId="0" applyFont="1" applyFill="1" applyBorder="1" applyAlignment="1">
      <alignment wrapText="1"/>
    </xf>
    <xf numFmtId="0" fontId="71" fillId="0" borderId="71" xfId="0" applyFont="1" applyFill="1" applyBorder="1" applyAlignment="1">
      <alignment horizontal="left" vertical="center" indent="1"/>
    </xf>
    <xf numFmtId="0" fontId="70" fillId="0" borderId="71" xfId="0" applyFont="1" applyFill="1" applyBorder="1" applyAlignment="1">
      <alignment vertical="center"/>
    </xf>
    <xf numFmtId="0" fontId="70" fillId="0" borderId="71" xfId="0" applyFont="1" applyFill="1" applyBorder="1" applyAlignment="1">
      <alignment horizontal="left" wrapText="1"/>
    </xf>
    <xf numFmtId="0" fontId="71" fillId="0" borderId="72" xfId="0" applyFont="1" applyFill="1" applyBorder="1" applyAlignment="1">
      <alignment horizontal="left" vertical="center" indent="1"/>
    </xf>
    <xf numFmtId="0" fontId="90" fillId="0" borderId="60" xfId="89" applyFont="1" applyFill="1" applyBorder="1" applyAlignment="1">
      <alignment horizontal="center" vertical="center" wrapText="1"/>
    </xf>
    <xf numFmtId="0" fontId="70" fillId="0" borderId="71" xfId="0" applyFont="1" applyFill="1" applyBorder="1" applyAlignment="1">
      <alignment vertical="center" wrapText="1"/>
    </xf>
    <xf numFmtId="0" fontId="71" fillId="0" borderId="71" xfId="0" applyFont="1" applyFill="1" applyBorder="1" applyAlignment="1">
      <alignment vertical="center"/>
    </xf>
    <xf numFmtId="0" fontId="71" fillId="0" borderId="71" xfId="0" applyFont="1" applyFill="1" applyBorder="1" applyAlignment="1">
      <alignment vertical="center" wrapText="1"/>
    </xf>
    <xf numFmtId="0" fontId="71" fillId="0" borderId="72" xfId="0" applyFont="1" applyFill="1" applyBorder="1" applyAlignment="1">
      <alignment vertical="center" wrapText="1"/>
    </xf>
    <xf numFmtId="0" fontId="88" fillId="0" borderId="14" xfId="0" applyFont="1" applyFill="1" applyBorder="1" applyAlignment="1">
      <alignment horizontal="center" vertical="center" wrapText="1"/>
    </xf>
    <xf numFmtId="0" fontId="70" fillId="0" borderId="70" xfId="0" applyFont="1" applyFill="1" applyBorder="1" applyAlignment="1">
      <alignment vertical="center" wrapText="1"/>
    </xf>
    <xf numFmtId="0" fontId="70" fillId="0" borderId="80" xfId="0" applyFont="1" applyFill="1" applyBorder="1" applyAlignment="1">
      <alignment horizontal="center" vertical="center"/>
    </xf>
    <xf numFmtId="0" fontId="88" fillId="0" borderId="62" xfId="0" applyFont="1" applyFill="1" applyBorder="1" applyAlignment="1">
      <alignment horizontal="center" vertical="center" wrapText="1"/>
    </xf>
    <xf numFmtId="0" fontId="88" fillId="0" borderId="63" xfId="0" applyFont="1" applyFill="1" applyBorder="1" applyAlignment="1">
      <alignment horizontal="center" vertical="center" wrapText="1"/>
    </xf>
    <xf numFmtId="0" fontId="88" fillId="0" borderId="68" xfId="0" applyFont="1" applyFill="1" applyBorder="1" applyAlignment="1">
      <alignment horizontal="center" vertical="center" wrapText="1"/>
    </xf>
    <xf numFmtId="0" fontId="88" fillId="0" borderId="60" xfId="0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left" vertical="top" wrapText="1"/>
    </xf>
    <xf numFmtId="0" fontId="88" fillId="0" borderId="10" xfId="0" applyFont="1" applyFill="1" applyBorder="1" applyAlignment="1">
      <alignment horizontal="left" vertical="top" wrapText="1" indent="1"/>
    </xf>
    <xf numFmtId="0" fontId="88" fillId="0" borderId="0" xfId="0" applyFont="1" applyFill="1" applyBorder="1" applyAlignment="1">
      <alignment horizontal="left" vertical="center"/>
    </xf>
    <xf numFmtId="3" fontId="88" fillId="0" borderId="0" xfId="0" applyNumberFormat="1" applyFont="1" applyFill="1" applyBorder="1" applyAlignment="1">
      <alignment horizontal="right" vertical="center"/>
    </xf>
    <xf numFmtId="165" fontId="70" fillId="0" borderId="25" xfId="36" applyNumberFormat="1" applyFont="1" applyFill="1" applyBorder="1" applyAlignment="1">
      <alignment horizontal="right" vertical="center"/>
    </xf>
    <xf numFmtId="165" fontId="71" fillId="0" borderId="25" xfId="36" applyNumberFormat="1" applyFont="1" applyFill="1" applyBorder="1" applyAlignment="1">
      <alignment horizontal="right" vertical="center"/>
    </xf>
    <xf numFmtId="0" fontId="88" fillId="0" borderId="61" xfId="0" applyFont="1" applyFill="1" applyBorder="1" applyAlignment="1">
      <alignment horizontal="center" vertical="center" wrapText="1"/>
    </xf>
    <xf numFmtId="0" fontId="87" fillId="0" borderId="71" xfId="0" applyFont="1" applyFill="1" applyBorder="1" applyAlignment="1">
      <alignment horizontal="left" vertical="top" wrapText="1" indent="1"/>
    </xf>
    <xf numFmtId="0" fontId="88" fillId="0" borderId="14" xfId="0" applyFont="1" applyFill="1" applyBorder="1" applyAlignment="1">
      <alignment horizontal="center" vertical="center"/>
    </xf>
    <xf numFmtId="4" fontId="87" fillId="0" borderId="41" xfId="0" applyNumberFormat="1" applyFont="1" applyFill="1" applyBorder="1" applyAlignment="1">
      <alignment horizontal="right" vertical="center" wrapText="1"/>
    </xf>
    <xf numFmtId="4" fontId="87" fillId="0" borderId="43" xfId="0" applyNumberFormat="1" applyFont="1" applyFill="1" applyBorder="1" applyAlignment="1">
      <alignment horizontal="right" vertical="center" wrapText="1"/>
    </xf>
    <xf numFmtId="0" fontId="70" fillId="0" borderId="72" xfId="0" applyFont="1" applyFill="1" applyBorder="1" applyAlignment="1">
      <alignment horizontal="right"/>
    </xf>
    <xf numFmtId="0" fontId="70" fillId="0" borderId="70" xfId="0" applyFont="1" applyFill="1" applyBorder="1" applyAlignment="1">
      <alignment horizontal="right"/>
    </xf>
    <xf numFmtId="4" fontId="87" fillId="0" borderId="42" xfId="0" applyNumberFormat="1" applyFont="1" applyFill="1" applyBorder="1" applyAlignment="1">
      <alignment horizontal="right" vertical="center" wrapText="1"/>
    </xf>
    <xf numFmtId="4" fontId="87" fillId="0" borderId="40" xfId="0" applyNumberFormat="1" applyFont="1" applyFill="1" applyBorder="1" applyAlignment="1">
      <alignment horizontal="right" vertical="center" wrapText="1"/>
    </xf>
    <xf numFmtId="4" fontId="87" fillId="0" borderId="61" xfId="0" applyNumberFormat="1" applyFont="1" applyFill="1" applyBorder="1" applyAlignment="1">
      <alignment horizontal="right" vertical="center" wrapText="1"/>
    </xf>
    <xf numFmtId="165" fontId="71" fillId="0" borderId="41" xfId="36" applyNumberFormat="1" applyFont="1" applyFill="1" applyBorder="1" applyAlignment="1">
      <alignment horizontal="right" vertical="center"/>
    </xf>
    <xf numFmtId="165" fontId="70" fillId="0" borderId="40" xfId="36" applyNumberFormat="1" applyFont="1" applyFill="1" applyBorder="1" applyAlignment="1">
      <alignment horizontal="right" vertical="center"/>
    </xf>
    <xf numFmtId="165" fontId="70" fillId="0" borderId="49" xfId="36" applyNumberFormat="1" applyFont="1" applyFill="1" applyBorder="1" applyAlignment="1">
      <alignment horizontal="right" vertical="center"/>
    </xf>
    <xf numFmtId="165" fontId="71" fillId="0" borderId="50" xfId="36" applyNumberFormat="1" applyFont="1" applyFill="1" applyBorder="1" applyAlignment="1">
      <alignment horizontal="right" vertical="center"/>
    </xf>
    <xf numFmtId="165" fontId="70" fillId="0" borderId="50" xfId="36" applyNumberFormat="1" applyFont="1" applyFill="1" applyBorder="1" applyAlignment="1">
      <alignment horizontal="right" vertical="center"/>
    </xf>
    <xf numFmtId="165" fontId="71" fillId="0" borderId="58" xfId="36" applyNumberFormat="1" applyFont="1" applyFill="1" applyBorder="1" applyAlignment="1">
      <alignment horizontal="right" vertical="center"/>
    </xf>
    <xf numFmtId="0" fontId="88" fillId="0" borderId="10" xfId="0" applyFont="1" applyFill="1" applyBorder="1" applyAlignment="1">
      <alignment horizontal="center" vertical="top" wrapText="1"/>
    </xf>
    <xf numFmtId="0" fontId="90" fillId="0" borderId="94" xfId="0" applyFont="1" applyFill="1" applyBorder="1" applyAlignment="1">
      <alignment horizontal="center" vertical="center"/>
    </xf>
    <xf numFmtId="4" fontId="87" fillId="0" borderId="47" xfId="0" applyNumberFormat="1" applyFont="1" applyFill="1" applyBorder="1" applyAlignment="1">
      <alignment horizontal="right" vertical="center" wrapText="1"/>
    </xf>
    <xf numFmtId="3" fontId="87" fillId="0" borderId="62" xfId="0" applyNumberFormat="1" applyFont="1" applyFill="1" applyBorder="1" applyAlignment="1">
      <alignment horizontal="right" vertical="center"/>
    </xf>
    <xf numFmtId="4" fontId="87" fillId="0" borderId="51" xfId="0" applyNumberFormat="1" applyFont="1" applyFill="1" applyBorder="1" applyAlignment="1">
      <alignment horizontal="right" vertical="center" wrapText="1"/>
    </xf>
    <xf numFmtId="0" fontId="71" fillId="0" borderId="72" xfId="89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left" vertical="center" wrapText="1" indent="2"/>
    </xf>
    <xf numFmtId="0" fontId="88" fillId="0" borderId="72" xfId="0" applyFont="1" applyFill="1" applyBorder="1" applyAlignment="1">
      <alignment horizontal="left" vertical="center" wrapText="1"/>
    </xf>
    <xf numFmtId="0" fontId="87" fillId="0" borderId="72" xfId="0" applyFont="1" applyFill="1" applyBorder="1" applyAlignment="1">
      <alignment horizontal="left" vertical="center" wrapText="1" indent="2"/>
    </xf>
    <xf numFmtId="0" fontId="0" fillId="0" borderId="0" xfId="0"/>
    <xf numFmtId="0" fontId="71" fillId="0" borderId="99" xfId="0" applyFont="1" applyFill="1" applyBorder="1" applyAlignment="1">
      <alignment vertical="center" wrapText="1"/>
    </xf>
    <xf numFmtId="0" fontId="71" fillId="0" borderId="98" xfId="0" applyFont="1" applyFill="1" applyBorder="1" applyAlignment="1">
      <alignment vertical="center" wrapText="1"/>
    </xf>
    <xf numFmtId="0" fontId="70" fillId="0" borderId="98" xfId="0" applyFont="1" applyFill="1" applyBorder="1" applyAlignment="1">
      <alignment vertical="center" wrapText="1"/>
    </xf>
    <xf numFmtId="0" fontId="90" fillId="0" borderId="68" xfId="0" applyFont="1" applyFill="1" applyBorder="1" applyAlignment="1">
      <alignment horizontal="center" vertical="center"/>
    </xf>
    <xf numFmtId="4" fontId="87" fillId="0" borderId="41" xfId="0" applyNumberFormat="1" applyFont="1" applyFill="1" applyBorder="1" applyAlignment="1">
      <alignment horizontal="right" vertical="center"/>
    </xf>
    <xf numFmtId="4" fontId="87" fillId="0" borderId="44" xfId="0" applyNumberFormat="1" applyFont="1" applyFill="1" applyBorder="1" applyAlignment="1">
      <alignment horizontal="right" vertical="center"/>
    </xf>
    <xf numFmtId="0" fontId="71" fillId="0" borderId="0" xfId="89" applyFont="1" applyFill="1" applyBorder="1" applyAlignment="1">
      <alignment horizontal="center" vertical="center" wrapText="1"/>
    </xf>
    <xf numFmtId="0" fontId="70" fillId="0" borderId="0" xfId="89" applyFont="1" applyFill="1" applyBorder="1" applyAlignment="1">
      <alignment horizontal="center" vertical="center" wrapText="1"/>
    </xf>
    <xf numFmtId="0" fontId="70" fillId="0" borderId="52" xfId="128" applyFont="1" applyBorder="1" applyAlignment="1">
      <alignment horizontal="center" vertical="center"/>
    </xf>
    <xf numFmtId="0" fontId="70" fillId="0" borderId="79" xfId="70" applyFont="1" applyBorder="1" applyAlignment="1">
      <alignment horizontal="center" vertical="center"/>
    </xf>
    <xf numFmtId="0" fontId="70" fillId="0" borderId="80" xfId="70" applyFont="1" applyBorder="1" applyAlignment="1">
      <alignment horizontal="center" vertical="center"/>
    </xf>
    <xf numFmtId="0" fontId="70" fillId="0" borderId="84" xfId="70" applyFont="1" applyBorder="1" applyAlignment="1">
      <alignment horizontal="center" vertical="center"/>
    </xf>
    <xf numFmtId="0" fontId="70" fillId="0" borderId="54" xfId="70" applyFont="1" applyBorder="1" applyAlignment="1">
      <alignment horizontal="center" vertical="center"/>
    </xf>
    <xf numFmtId="0" fontId="70" fillId="0" borderId="55" xfId="128" applyFont="1" applyBorder="1" applyAlignment="1">
      <alignment horizontal="center" vertical="center"/>
    </xf>
    <xf numFmtId="0" fontId="70" fillId="0" borderId="54" xfId="128" applyFont="1" applyBorder="1" applyAlignment="1">
      <alignment horizontal="center" vertical="center"/>
    </xf>
    <xf numFmtId="4" fontId="87" fillId="0" borderId="44" xfId="0" applyNumberFormat="1" applyFont="1" applyFill="1" applyBorder="1" applyAlignment="1">
      <alignment horizontal="right" vertical="center" wrapText="1"/>
    </xf>
    <xf numFmtId="4" fontId="88" fillId="0" borderId="0" xfId="0" applyNumberFormat="1" applyFont="1" applyFill="1" applyBorder="1" applyAlignment="1">
      <alignment horizontal="right" vertical="center" wrapText="1"/>
    </xf>
    <xf numFmtId="0" fontId="70" fillId="0" borderId="0" xfId="0" applyFont="1" applyFill="1" applyAlignment="1">
      <alignment horizontal="center" vertical="center"/>
    </xf>
    <xf numFmtId="4" fontId="87" fillId="0" borderId="90" xfId="0" applyNumberFormat="1" applyFont="1" applyFill="1" applyBorder="1" applyAlignment="1">
      <alignment horizontal="right" vertical="center"/>
    </xf>
    <xf numFmtId="165" fontId="71" fillId="0" borderId="0" xfId="0" applyNumberFormat="1" applyFont="1" applyFill="1" applyBorder="1"/>
    <xf numFmtId="0" fontId="87" fillId="0" borderId="24" xfId="0" applyFont="1" applyFill="1" applyBorder="1" applyAlignment="1">
      <alignment horizontal="left" vertical="center"/>
    </xf>
    <xf numFmtId="3" fontId="87" fillId="0" borderId="24" xfId="0" applyNumberFormat="1" applyFont="1" applyFill="1" applyBorder="1" applyAlignment="1">
      <alignment horizontal="left" vertical="center"/>
    </xf>
    <xf numFmtId="3" fontId="87" fillId="0" borderId="24" xfId="0" applyNumberFormat="1" applyFont="1" applyFill="1" applyBorder="1" applyAlignment="1">
      <alignment horizontal="right" vertical="center"/>
    </xf>
    <xf numFmtId="0" fontId="71" fillId="0" borderId="24" xfId="0" applyFont="1" applyFill="1" applyBorder="1" applyAlignment="1">
      <alignment vertical="center"/>
    </xf>
    <xf numFmtId="165" fontId="87" fillId="0" borderId="24" xfId="0" applyNumberFormat="1" applyFont="1" applyFill="1" applyBorder="1" applyAlignment="1">
      <alignment horizontal="center" vertical="center"/>
    </xf>
    <xf numFmtId="165" fontId="88" fillId="0" borderId="26" xfId="0" applyNumberFormat="1" applyFont="1" applyFill="1" applyBorder="1" applyAlignment="1">
      <alignment horizontal="right" vertical="center"/>
    </xf>
    <xf numFmtId="165" fontId="87" fillId="0" borderId="26" xfId="0" applyNumberFormat="1" applyFont="1" applyFill="1" applyBorder="1" applyAlignment="1">
      <alignment horizontal="right" vertical="center"/>
    </xf>
    <xf numFmtId="165" fontId="87" fillId="0" borderId="44" xfId="0" applyNumberFormat="1" applyFont="1" applyFill="1" applyBorder="1" applyAlignment="1">
      <alignment horizontal="right" vertical="center"/>
    </xf>
    <xf numFmtId="165" fontId="87" fillId="0" borderId="29" xfId="0" applyNumberFormat="1" applyFont="1" applyFill="1" applyBorder="1" applyAlignment="1">
      <alignment horizontal="center" vertical="center"/>
    </xf>
    <xf numFmtId="165" fontId="87" fillId="0" borderId="44" xfId="0" applyNumberFormat="1" applyFont="1" applyFill="1" applyBorder="1" applyAlignment="1">
      <alignment horizontal="center" vertical="center"/>
    </xf>
    <xf numFmtId="165" fontId="71" fillId="0" borderId="21" xfId="0" applyNumberFormat="1" applyFont="1" applyFill="1" applyBorder="1" applyAlignment="1">
      <alignment horizontal="right" vertical="center"/>
    </xf>
    <xf numFmtId="165" fontId="71" fillId="0" borderId="21" xfId="0" applyNumberFormat="1" applyFont="1" applyFill="1" applyBorder="1"/>
    <xf numFmtId="0" fontId="71" fillId="0" borderId="21" xfId="0" applyFont="1" applyFill="1" applyBorder="1"/>
    <xf numFmtId="165" fontId="70" fillId="0" borderId="29" xfId="0" applyNumberFormat="1" applyFont="1" applyFill="1" applyBorder="1" applyAlignment="1">
      <alignment horizontal="right" vertical="center"/>
    </xf>
    <xf numFmtId="165" fontId="70" fillId="0" borderId="26" xfId="0" applyNumberFormat="1" applyFont="1" applyFill="1" applyBorder="1" applyAlignment="1">
      <alignment horizontal="right" vertical="center"/>
    </xf>
    <xf numFmtId="165" fontId="71" fillId="0" borderId="26" xfId="0" applyNumberFormat="1" applyFont="1" applyFill="1" applyBorder="1" applyAlignment="1">
      <alignment horizontal="right" vertical="center"/>
    </xf>
    <xf numFmtId="0" fontId="87" fillId="0" borderId="21" xfId="0" applyFont="1" applyFill="1" applyBorder="1" applyAlignment="1">
      <alignment horizontal="center" vertical="center" wrapText="1"/>
    </xf>
    <xf numFmtId="165" fontId="71" fillId="0" borderId="55" xfId="0" applyNumberFormat="1" applyFont="1" applyFill="1" applyBorder="1" applyAlignment="1">
      <alignment horizontal="right" vertical="center"/>
    </xf>
    <xf numFmtId="165" fontId="71" fillId="0" borderId="90" xfId="0" applyNumberFormat="1" applyFont="1" applyFill="1" applyBorder="1" applyAlignment="1">
      <alignment horizontal="right" vertical="center"/>
    </xf>
    <xf numFmtId="4" fontId="88" fillId="0" borderId="84" xfId="0" applyNumberFormat="1" applyFont="1" applyFill="1" applyBorder="1" applyAlignment="1">
      <alignment horizontal="right" vertical="center"/>
    </xf>
    <xf numFmtId="4" fontId="88" fillId="0" borderId="94" xfId="0" applyNumberFormat="1" applyFont="1" applyFill="1" applyBorder="1" applyAlignment="1">
      <alignment horizontal="right" vertical="center"/>
    </xf>
    <xf numFmtId="4" fontId="71" fillId="0" borderId="12" xfId="0" applyNumberFormat="1" applyFont="1" applyFill="1" applyBorder="1" applyAlignment="1">
      <alignment horizontal="right" vertical="center"/>
    </xf>
    <xf numFmtId="0" fontId="71" fillId="0" borderId="12" xfId="0" applyFont="1" applyFill="1" applyBorder="1" applyAlignment="1">
      <alignment horizontal="center" vertical="center"/>
    </xf>
    <xf numFmtId="0" fontId="71" fillId="0" borderId="12" xfId="0" applyFont="1" applyFill="1" applyBorder="1"/>
    <xf numFmtId="4" fontId="88" fillId="0" borderId="79" xfId="0" applyNumberFormat="1" applyFont="1" applyFill="1" applyBorder="1" applyAlignment="1">
      <alignment horizontal="right" vertical="center" wrapText="1"/>
    </xf>
    <xf numFmtId="4" fontId="88" fillId="0" borderId="80" xfId="0" applyNumberFormat="1" applyFont="1" applyFill="1" applyBorder="1" applyAlignment="1">
      <alignment horizontal="right" vertical="center" wrapText="1"/>
    </xf>
    <xf numFmtId="4" fontId="88" fillId="0" borderId="82" xfId="0" applyNumberFormat="1" applyFont="1" applyFill="1" applyBorder="1" applyAlignment="1">
      <alignment horizontal="right" vertical="center" wrapText="1"/>
    </xf>
    <xf numFmtId="4" fontId="88" fillId="0" borderId="88" xfId="0" applyNumberFormat="1" applyFont="1" applyFill="1" applyBorder="1" applyAlignment="1">
      <alignment horizontal="right" vertical="center"/>
    </xf>
    <xf numFmtId="4" fontId="88" fillId="0" borderId="12" xfId="0" applyNumberFormat="1" applyFont="1" applyFill="1" applyBorder="1" applyAlignment="1">
      <alignment horizontal="right" vertical="center" wrapText="1"/>
    </xf>
    <xf numFmtId="4" fontId="87" fillId="0" borderId="24" xfId="0" applyNumberFormat="1" applyFont="1" applyFill="1" applyBorder="1" applyAlignment="1">
      <alignment horizontal="right" vertical="center"/>
    </xf>
    <xf numFmtId="0" fontId="70" fillId="0" borderId="48" xfId="0" applyFont="1" applyFill="1" applyBorder="1" applyAlignment="1">
      <alignment horizontal="center" vertical="center" wrapText="1"/>
    </xf>
    <xf numFmtId="0" fontId="70" fillId="0" borderId="28" xfId="0" applyFont="1" applyFill="1" applyBorder="1" applyAlignment="1">
      <alignment horizontal="center" vertical="center"/>
    </xf>
    <xf numFmtId="0" fontId="71" fillId="0" borderId="24" xfId="0" applyFont="1" applyFill="1" applyBorder="1"/>
    <xf numFmtId="165" fontId="71" fillId="0" borderId="91" xfId="0" applyNumberFormat="1" applyFont="1" applyFill="1" applyBorder="1" applyAlignment="1">
      <alignment horizontal="right" vertical="center"/>
    </xf>
    <xf numFmtId="4" fontId="87" fillId="0" borderId="55" xfId="0" applyNumberFormat="1" applyFont="1" applyFill="1" applyBorder="1" applyAlignment="1">
      <alignment horizontal="right" vertical="center"/>
    </xf>
    <xf numFmtId="165" fontId="87" fillId="0" borderId="55" xfId="0" applyNumberFormat="1" applyFont="1" applyFill="1" applyBorder="1" applyAlignment="1">
      <alignment horizontal="right" vertical="center"/>
    </xf>
    <xf numFmtId="165" fontId="87" fillId="0" borderId="90" xfId="0" applyNumberFormat="1" applyFont="1" applyFill="1" applyBorder="1" applyAlignment="1">
      <alignment horizontal="right" vertical="center"/>
    </xf>
    <xf numFmtId="0" fontId="88" fillId="0" borderId="22" xfId="0" applyFont="1" applyFill="1" applyBorder="1" applyAlignment="1">
      <alignment horizontal="left" vertical="center" wrapText="1"/>
    </xf>
    <xf numFmtId="165" fontId="88" fillId="0" borderId="83" xfId="0" applyNumberFormat="1" applyFont="1" applyFill="1" applyBorder="1" applyAlignment="1">
      <alignment horizontal="center" vertical="center"/>
    </xf>
    <xf numFmtId="165" fontId="88" fillId="0" borderId="94" xfId="0" applyNumberFormat="1" applyFont="1" applyFill="1" applyBorder="1" applyAlignment="1">
      <alignment horizontal="center" vertical="center"/>
    </xf>
    <xf numFmtId="0" fontId="87" fillId="0" borderId="24" xfId="0" applyFont="1" applyFill="1" applyBorder="1" applyAlignment="1">
      <alignment horizontal="left" vertical="center" wrapText="1" indent="1"/>
    </xf>
    <xf numFmtId="0" fontId="87" fillId="0" borderId="11" xfId="0" applyFont="1" applyFill="1" applyBorder="1" applyAlignment="1">
      <alignment horizontal="left" vertical="center" wrapText="1" indent="1"/>
    </xf>
    <xf numFmtId="3" fontId="87" fillId="0" borderId="11" xfId="0" applyNumberFormat="1" applyFont="1" applyFill="1" applyBorder="1" applyAlignment="1">
      <alignment horizontal="left" vertical="center"/>
    </xf>
    <xf numFmtId="3" fontId="87" fillId="0" borderId="11" xfId="0" applyNumberFormat="1" applyFont="1" applyFill="1" applyBorder="1" applyAlignment="1">
      <alignment horizontal="right" vertical="center"/>
    </xf>
    <xf numFmtId="0" fontId="71" fillId="0" borderId="11" xfId="0" applyFont="1" applyFill="1" applyBorder="1" applyAlignment="1">
      <alignment vertical="center"/>
    </xf>
    <xf numFmtId="165" fontId="87" fillId="0" borderId="11" xfId="0" applyNumberFormat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 wrapText="1"/>
    </xf>
    <xf numFmtId="0" fontId="88" fillId="0" borderId="23" xfId="0" applyFont="1" applyFill="1" applyBorder="1" applyAlignment="1">
      <alignment horizontal="right" vertical="center" wrapText="1"/>
    </xf>
    <xf numFmtId="0" fontId="88" fillId="0" borderId="22" xfId="0" applyFont="1" applyFill="1" applyBorder="1" applyAlignment="1">
      <alignment horizontal="right" vertical="center"/>
    </xf>
    <xf numFmtId="0" fontId="71" fillId="0" borderId="76" xfId="0" applyFont="1" applyFill="1" applyBorder="1" applyAlignment="1">
      <alignment horizontal="left" vertical="center" indent="1"/>
    </xf>
    <xf numFmtId="4" fontId="71" fillId="0" borderId="76" xfId="89" applyNumberFormat="1" applyFont="1" applyFill="1" applyBorder="1" applyAlignment="1">
      <alignment horizontal="right" vertical="center" wrapText="1"/>
    </xf>
    <xf numFmtId="4" fontId="71" fillId="0" borderId="51" xfId="89" applyNumberFormat="1" applyFont="1" applyFill="1" applyBorder="1" applyAlignment="1">
      <alignment horizontal="right" vertical="center" wrapText="1"/>
    </xf>
    <xf numFmtId="4" fontId="71" fillId="0" borderId="47" xfId="89" applyNumberFormat="1" applyFont="1" applyFill="1" applyBorder="1" applyAlignment="1">
      <alignment horizontal="right" vertical="center" wrapText="1"/>
    </xf>
    <xf numFmtId="4" fontId="71" fillId="0" borderId="90" xfId="89" applyNumberFormat="1" applyFont="1" applyFill="1" applyBorder="1" applyAlignment="1">
      <alignment horizontal="right" vertical="center" wrapText="1"/>
    </xf>
    <xf numFmtId="4" fontId="71" fillId="0" borderId="55" xfId="89" applyNumberFormat="1" applyFont="1" applyFill="1" applyBorder="1" applyAlignment="1">
      <alignment horizontal="right" vertical="center" wrapText="1"/>
    </xf>
    <xf numFmtId="4" fontId="71" fillId="0" borderId="91" xfId="89" applyNumberFormat="1" applyFont="1" applyFill="1" applyBorder="1" applyAlignment="1">
      <alignment horizontal="right" vertical="center" wrapText="1"/>
    </xf>
    <xf numFmtId="0" fontId="71" fillId="0" borderId="24" xfId="89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left" indent="1"/>
    </xf>
    <xf numFmtId="4" fontId="71" fillId="0" borderId="12" xfId="89" applyNumberFormat="1" applyFont="1" applyFill="1" applyBorder="1" applyAlignment="1">
      <alignment horizontal="right" vertical="center" wrapText="1"/>
    </xf>
    <xf numFmtId="0" fontId="71" fillId="0" borderId="76" xfId="0" applyFont="1" applyFill="1" applyBorder="1" applyAlignment="1">
      <alignment vertical="center" wrapText="1"/>
    </xf>
    <xf numFmtId="4" fontId="71" fillId="0" borderId="76" xfId="89" applyNumberFormat="1" applyFont="1" applyFill="1" applyBorder="1" applyAlignment="1">
      <alignment vertical="center" wrapText="1"/>
    </xf>
    <xf numFmtId="4" fontId="71" fillId="0" borderId="51" xfId="89" applyNumberFormat="1" applyFont="1" applyFill="1" applyBorder="1" applyAlignment="1">
      <alignment vertical="center" wrapText="1"/>
    </xf>
    <xf numFmtId="4" fontId="71" fillId="0" borderId="47" xfId="89" applyNumberFormat="1" applyFont="1" applyFill="1" applyBorder="1" applyAlignment="1">
      <alignment vertical="center" wrapText="1"/>
    </xf>
    <xf numFmtId="4" fontId="71" fillId="0" borderId="90" xfId="89" applyNumberFormat="1" applyFont="1" applyFill="1" applyBorder="1" applyAlignment="1">
      <alignment vertical="center" wrapText="1"/>
    </xf>
    <xf numFmtId="4" fontId="71" fillId="0" borderId="55" xfId="89" applyNumberFormat="1" applyFont="1" applyFill="1" applyBorder="1" applyAlignment="1">
      <alignment vertical="center" wrapText="1"/>
    </xf>
    <xf numFmtId="4" fontId="71" fillId="0" borderId="91" xfId="89" applyNumberFormat="1" applyFont="1" applyFill="1" applyBorder="1" applyAlignment="1">
      <alignment vertical="center" wrapText="1"/>
    </xf>
    <xf numFmtId="0" fontId="71" fillId="0" borderId="12" xfId="89" applyFont="1" applyFill="1" applyBorder="1" applyAlignment="1">
      <alignment horizontal="center" vertical="center" wrapText="1"/>
    </xf>
    <xf numFmtId="0" fontId="13" fillId="0" borderId="0" xfId="89" applyFill="1" applyBorder="1" applyAlignment="1">
      <alignment horizontal="center" vertical="center" wrapText="1"/>
    </xf>
    <xf numFmtId="0" fontId="71" fillId="0" borderId="21" xfId="89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88" fillId="0" borderId="0" xfId="0" applyFont="1" applyFill="1" applyBorder="1" applyAlignment="1">
      <alignment horizontal="right" vertical="center" wrapText="1" indent="1"/>
    </xf>
    <xf numFmtId="4" fontId="87" fillId="0" borderId="0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left" vertical="top" wrapText="1"/>
    </xf>
    <xf numFmtId="0" fontId="90" fillId="0" borderId="24" xfId="0" applyFont="1" applyFill="1" applyBorder="1" applyAlignment="1">
      <alignment horizontal="center" vertical="center"/>
    </xf>
    <xf numFmtId="0" fontId="91" fillId="0" borderId="24" xfId="0" applyFont="1" applyFill="1" applyBorder="1" applyAlignment="1">
      <alignment horizontal="center" vertical="center"/>
    </xf>
    <xf numFmtId="0" fontId="90" fillId="0" borderId="19" xfId="0" applyFont="1" applyFill="1" applyBorder="1" applyAlignment="1">
      <alignment horizontal="center" vertical="center"/>
    </xf>
    <xf numFmtId="0" fontId="90" fillId="0" borderId="15" xfId="0" applyFont="1" applyFill="1" applyBorder="1" applyAlignment="1">
      <alignment horizontal="center" vertical="center"/>
    </xf>
    <xf numFmtId="4" fontId="71" fillId="0" borderId="0" xfId="89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 wrapText="1"/>
    </xf>
    <xf numFmtId="0" fontId="71" fillId="0" borderId="21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/>
    </xf>
    <xf numFmtId="165" fontId="87" fillId="0" borderId="24" xfId="0" applyNumberFormat="1" applyFont="1" applyFill="1" applyBorder="1" applyAlignment="1">
      <alignment horizontal="right" vertical="center"/>
    </xf>
    <xf numFmtId="165" fontId="88" fillId="0" borderId="16" xfId="0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left" vertical="top" wrapText="1" indent="1"/>
    </xf>
    <xf numFmtId="0" fontId="70" fillId="0" borderId="0" xfId="0" applyFont="1" applyFill="1" applyBorder="1" applyAlignment="1">
      <alignment horizontal="right"/>
    </xf>
    <xf numFmtId="165" fontId="71" fillId="0" borderId="0" xfId="36" applyNumberFormat="1" applyFont="1" applyFill="1" applyBorder="1" applyAlignment="1">
      <alignment horizontal="right" vertical="center"/>
    </xf>
    <xf numFmtId="0" fontId="70" fillId="0" borderId="10" xfId="0" applyFont="1" applyFill="1" applyBorder="1" applyAlignment="1">
      <alignment horizontal="center" vertical="top" wrapText="1"/>
    </xf>
    <xf numFmtId="0" fontId="10" fillId="0" borderId="0" xfId="89" applyFont="1" applyFill="1" applyBorder="1" applyAlignment="1">
      <alignment horizontal="center" vertical="center" wrapText="1"/>
    </xf>
    <xf numFmtId="0" fontId="71" fillId="0" borderId="0" xfId="89" applyFont="1" applyFill="1" applyBorder="1" applyAlignment="1">
      <alignment horizontal="left" vertical="center" wrapText="1"/>
    </xf>
    <xf numFmtId="4" fontId="87" fillId="0" borderId="0" xfId="0" applyNumberFormat="1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 vertical="center"/>
    </xf>
    <xf numFmtId="3" fontId="87" fillId="0" borderId="0" xfId="0" applyNumberFormat="1" applyFont="1" applyFill="1" applyBorder="1" applyAlignment="1">
      <alignment horizontal="center" vertical="center"/>
    </xf>
    <xf numFmtId="4" fontId="88" fillId="0" borderId="0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Fill="1" applyBorder="1" applyAlignment="1">
      <alignment horizontal="center" vertical="center"/>
    </xf>
    <xf numFmtId="3" fontId="88" fillId="0" borderId="0" xfId="0" applyNumberFormat="1" applyFont="1" applyFill="1" applyBorder="1" applyAlignment="1">
      <alignment horizontal="center" vertical="center"/>
    </xf>
    <xf numFmtId="0" fontId="71" fillId="0" borderId="0" xfId="86" applyFont="1" applyBorder="1"/>
    <xf numFmtId="0" fontId="71" fillId="0" borderId="0" xfId="64" applyFont="1" applyBorder="1"/>
    <xf numFmtId="0" fontId="71" fillId="0" borderId="71" xfId="64" applyFont="1" applyBorder="1" applyAlignment="1">
      <alignment vertical="center" wrapText="1"/>
    </xf>
    <xf numFmtId="0" fontId="70" fillId="0" borderId="70" xfId="64" applyFont="1" applyBorder="1" applyAlignment="1">
      <alignment vertical="center" wrapText="1"/>
    </xf>
    <xf numFmtId="0" fontId="70" fillId="0" borderId="71" xfId="64" applyFont="1" applyBorder="1" applyAlignment="1">
      <alignment vertical="center" wrapText="1"/>
    </xf>
    <xf numFmtId="165" fontId="87" fillId="0" borderId="91" xfId="0" applyNumberFormat="1" applyFont="1" applyFill="1" applyBorder="1" applyAlignment="1">
      <alignment horizontal="right" vertical="center"/>
    </xf>
    <xf numFmtId="165" fontId="87" fillId="0" borderId="17" xfId="0" applyNumberFormat="1" applyFont="1" applyFill="1" applyBorder="1" applyAlignment="1">
      <alignment horizontal="right" vertical="center"/>
    </xf>
    <xf numFmtId="0" fontId="88" fillId="0" borderId="22" xfId="0" applyFont="1" applyFill="1" applyBorder="1" applyAlignment="1">
      <alignment horizontal="left" vertical="center" wrapText="1" indent="1"/>
    </xf>
    <xf numFmtId="165" fontId="88" fillId="0" borderId="83" xfId="0" applyNumberFormat="1" applyFont="1" applyFill="1" applyBorder="1" applyAlignment="1">
      <alignment horizontal="right" vertical="center"/>
    </xf>
    <xf numFmtId="165" fontId="88" fillId="0" borderId="94" xfId="0" applyNumberFormat="1" applyFont="1" applyFill="1" applyBorder="1" applyAlignment="1">
      <alignment horizontal="right" vertical="center"/>
    </xf>
    <xf numFmtId="165" fontId="87" fillId="0" borderId="29" xfId="0" applyNumberFormat="1" applyFont="1" applyFill="1" applyBorder="1" applyAlignment="1">
      <alignment horizontal="right" vertical="center"/>
    </xf>
    <xf numFmtId="4" fontId="87" fillId="0" borderId="68" xfId="0" applyNumberFormat="1" applyFont="1" applyFill="1" applyBorder="1" applyAlignment="1">
      <alignment horizontal="right" vertical="center" wrapText="1"/>
    </xf>
    <xf numFmtId="4" fontId="88" fillId="0" borderId="17" xfId="0" applyNumberFormat="1" applyFont="1" applyFill="1" applyBorder="1" applyAlignment="1">
      <alignment horizontal="right" vertical="center" wrapText="1"/>
    </xf>
    <xf numFmtId="0" fontId="88" fillId="0" borderId="0" xfId="0" applyFont="1" applyFill="1" applyBorder="1" applyAlignment="1">
      <alignment horizontal="center" vertical="top" wrapText="1"/>
    </xf>
    <xf numFmtId="165" fontId="71" fillId="0" borderId="0" xfId="0" applyNumberFormat="1" applyFont="1" applyFill="1" applyBorder="1" applyAlignment="1">
      <alignment vertical="center" wrapText="1"/>
    </xf>
    <xf numFmtId="4" fontId="88" fillId="0" borderId="44" xfId="0" applyNumberFormat="1" applyFont="1" applyFill="1" applyBorder="1" applyAlignment="1">
      <alignment horizontal="right" vertical="center" wrapText="1"/>
    </xf>
    <xf numFmtId="2" fontId="70" fillId="0" borderId="40" xfId="0" applyNumberFormat="1" applyFont="1" applyBorder="1" applyAlignment="1">
      <alignment vertical="center"/>
    </xf>
    <xf numFmtId="2" fontId="71" fillId="0" borderId="25" xfId="0" applyNumberFormat="1" applyFont="1" applyBorder="1" applyAlignment="1">
      <alignment vertical="center"/>
    </xf>
    <xf numFmtId="2" fontId="70" fillId="0" borderId="56" xfId="0" applyNumberFormat="1" applyFont="1" applyBorder="1" applyAlignment="1">
      <alignment vertical="center"/>
    </xf>
    <xf numFmtId="2" fontId="71" fillId="0" borderId="57" xfId="0" applyNumberFormat="1" applyFont="1" applyBorder="1" applyAlignment="1">
      <alignment vertical="center"/>
    </xf>
    <xf numFmtId="2" fontId="71" fillId="0" borderId="41" xfId="0" applyNumberFormat="1" applyFont="1" applyBorder="1" applyAlignment="1">
      <alignment vertical="center"/>
    </xf>
    <xf numFmtId="2" fontId="71" fillId="0" borderId="59" xfId="0" applyNumberFormat="1" applyFont="1" applyBorder="1" applyAlignment="1">
      <alignment vertical="center"/>
    </xf>
    <xf numFmtId="0" fontId="70" fillId="0" borderId="29" xfId="128" applyFont="1" applyFill="1" applyBorder="1" applyAlignment="1">
      <alignment vertical="center"/>
    </xf>
    <xf numFmtId="0" fontId="70" fillId="0" borderId="70" xfId="70" applyFont="1" applyFill="1" applyBorder="1" applyAlignment="1">
      <alignment vertical="center" wrapText="1"/>
    </xf>
    <xf numFmtId="0" fontId="85" fillId="0" borderId="29" xfId="63" applyFont="1" applyFill="1" applyBorder="1" applyAlignment="1">
      <alignment vertical="center" wrapText="1"/>
    </xf>
    <xf numFmtId="0" fontId="85" fillId="0" borderId="56" xfId="495" applyFont="1" applyFill="1" applyBorder="1" applyAlignment="1">
      <alignment vertical="center" wrapText="1"/>
    </xf>
    <xf numFmtId="0" fontId="85" fillId="0" borderId="54" xfId="63" applyFont="1" applyFill="1" applyBorder="1" applyAlignment="1">
      <alignment vertical="center" wrapText="1"/>
    </xf>
    <xf numFmtId="0" fontId="89" fillId="0" borderId="0" xfId="88" applyFont="1" applyFill="1" applyAlignment="1">
      <alignment vertical="center" wrapText="1"/>
    </xf>
    <xf numFmtId="0" fontId="71" fillId="0" borderId="0" xfId="70" applyFont="1" applyBorder="1"/>
    <xf numFmtId="0" fontId="71" fillId="0" borderId="0" xfId="75" applyFont="1" applyBorder="1"/>
    <xf numFmtId="0" fontId="90" fillId="0" borderId="15" xfId="75" applyFont="1" applyBorder="1" applyAlignment="1">
      <alignment horizontal="center" vertical="center"/>
    </xf>
    <xf numFmtId="0" fontId="71" fillId="0" borderId="0" xfId="70" applyFont="1" applyBorder="1" applyAlignment="1">
      <alignment vertical="center"/>
    </xf>
    <xf numFmtId="0" fontId="71" fillId="0" borderId="0" xfId="70" applyFont="1" applyFill="1" applyBorder="1" applyAlignment="1"/>
    <xf numFmtId="0" fontId="71" fillId="0" borderId="0" xfId="70" applyFont="1" applyFill="1" applyBorder="1" applyAlignment="1">
      <alignment vertical="center"/>
    </xf>
    <xf numFmtId="0" fontId="87" fillId="0" borderId="12" xfId="0" applyFont="1" applyFill="1" applyBorder="1" applyAlignment="1">
      <alignment horizontal="left" vertical="center" wrapText="1" indent="1"/>
    </xf>
    <xf numFmtId="4" fontId="87" fillId="0" borderId="12" xfId="0" applyNumberFormat="1" applyFont="1" applyFill="1" applyBorder="1" applyAlignment="1">
      <alignment horizontal="right" vertical="center"/>
    </xf>
    <xf numFmtId="165" fontId="87" fillId="0" borderId="12" xfId="0" applyNumberFormat="1" applyFont="1" applyFill="1" applyBorder="1" applyAlignment="1">
      <alignment horizontal="right" vertical="center"/>
    </xf>
    <xf numFmtId="4" fontId="88" fillId="0" borderId="21" xfId="0" applyNumberFormat="1" applyFont="1" applyFill="1" applyBorder="1" applyAlignment="1">
      <alignment horizontal="right" vertical="center" wrapText="1"/>
    </xf>
    <xf numFmtId="4" fontId="87" fillId="0" borderId="83" xfId="0" applyNumberFormat="1" applyFont="1" applyFill="1" applyBorder="1" applyAlignment="1">
      <alignment horizontal="right" vertical="center"/>
    </xf>
    <xf numFmtId="4" fontId="87" fillId="0" borderId="84" xfId="0" applyNumberFormat="1" applyFont="1" applyFill="1" applyBorder="1" applyAlignment="1">
      <alignment horizontal="right" vertical="center"/>
    </xf>
    <xf numFmtId="165" fontId="71" fillId="0" borderId="84" xfId="0" applyNumberFormat="1" applyFont="1" applyFill="1" applyBorder="1" applyAlignment="1">
      <alignment horizontal="right" vertical="center"/>
    </xf>
    <xf numFmtId="165" fontId="71" fillId="0" borderId="85" xfId="0" applyNumberFormat="1" applyFont="1" applyFill="1" applyBorder="1" applyAlignment="1">
      <alignment horizontal="right" vertical="center"/>
    </xf>
    <xf numFmtId="0" fontId="88" fillId="0" borderId="75" xfId="0" applyFont="1" applyFill="1" applyBorder="1" applyAlignment="1">
      <alignment horizontal="right" vertical="center" wrapText="1"/>
    </xf>
    <xf numFmtId="4" fontId="87" fillId="0" borderId="52" xfId="0" applyNumberFormat="1" applyFont="1" applyFill="1" applyBorder="1" applyAlignment="1">
      <alignment horizontal="right" vertical="center"/>
    </xf>
    <xf numFmtId="4" fontId="87" fillId="0" borderId="53" xfId="0" applyNumberFormat="1" applyFont="1" applyFill="1" applyBorder="1" applyAlignment="1">
      <alignment horizontal="right" vertical="center"/>
    </xf>
    <xf numFmtId="165" fontId="71" fillId="0" borderId="53" xfId="0" applyNumberFormat="1" applyFont="1" applyFill="1" applyBorder="1" applyAlignment="1">
      <alignment horizontal="right" vertical="center"/>
    </xf>
    <xf numFmtId="165" fontId="71" fillId="0" borderId="54" xfId="0" applyNumberFormat="1" applyFont="1" applyFill="1" applyBorder="1" applyAlignment="1">
      <alignment horizontal="right" vertical="center"/>
    </xf>
    <xf numFmtId="0" fontId="71" fillId="0" borderId="84" xfId="0" applyFont="1" applyFill="1" applyBorder="1" applyAlignment="1">
      <alignment horizontal="left" vertical="center" indent="1"/>
    </xf>
    <xf numFmtId="4" fontId="71" fillId="0" borderId="84" xfId="89" applyNumberFormat="1" applyFont="1" applyFill="1" applyBorder="1" applyAlignment="1">
      <alignment horizontal="right" vertical="center" wrapText="1"/>
    </xf>
    <xf numFmtId="4" fontId="88" fillId="0" borderId="10" xfId="0" applyNumberFormat="1" applyFont="1" applyFill="1" applyBorder="1" applyAlignment="1">
      <alignment horizontal="right" vertical="center"/>
    </xf>
    <xf numFmtId="165" fontId="88" fillId="0" borderId="10" xfId="0" applyNumberFormat="1" applyFont="1" applyFill="1" applyBorder="1" applyAlignment="1">
      <alignment horizontal="right" vertical="center"/>
    </xf>
    <xf numFmtId="0" fontId="87" fillId="0" borderId="10" xfId="0" applyFont="1" applyFill="1" applyBorder="1" applyAlignment="1">
      <alignment horizontal="left" vertical="center" wrapText="1" indent="1"/>
    </xf>
    <xf numFmtId="4" fontId="87" fillId="0" borderId="10" xfId="0" applyNumberFormat="1" applyFont="1" applyFill="1" applyBorder="1" applyAlignment="1">
      <alignment horizontal="right" vertical="center"/>
    </xf>
    <xf numFmtId="165" fontId="87" fillId="0" borderId="10" xfId="0" applyNumberFormat="1" applyFont="1" applyFill="1" applyBorder="1" applyAlignment="1">
      <alignment horizontal="right" vertical="center"/>
    </xf>
    <xf numFmtId="4" fontId="71" fillId="0" borderId="10" xfId="0" applyNumberFormat="1" applyFont="1" applyFill="1" applyBorder="1" applyAlignment="1">
      <alignment horizontal="right" vertical="center"/>
    </xf>
    <xf numFmtId="0" fontId="87" fillId="0" borderId="10" xfId="0" applyFont="1" applyFill="1" applyBorder="1" applyAlignment="1">
      <alignment horizontal="left" vertical="center" wrapText="1" indent="2"/>
    </xf>
    <xf numFmtId="165" fontId="88" fillId="0" borderId="10" xfId="0" applyNumberFormat="1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right" vertical="center" wrapText="1" indent="1"/>
    </xf>
    <xf numFmtId="165" fontId="87" fillId="0" borderId="10" xfId="0" applyNumberFormat="1" applyFont="1" applyFill="1" applyBorder="1" applyAlignment="1">
      <alignment horizontal="center" vertical="center"/>
    </xf>
    <xf numFmtId="0" fontId="90" fillId="0" borderId="10" xfId="0" applyFont="1" applyFill="1" applyBorder="1" applyAlignment="1">
      <alignment horizontal="center" vertical="center"/>
    </xf>
    <xf numFmtId="4" fontId="70" fillId="0" borderId="10" xfId="0" applyNumberFormat="1" applyFont="1" applyFill="1" applyBorder="1" applyAlignment="1">
      <alignment horizontal="right" vertical="center"/>
    </xf>
    <xf numFmtId="165" fontId="70" fillId="0" borderId="10" xfId="0" applyNumberFormat="1" applyFont="1" applyFill="1" applyBorder="1" applyAlignment="1">
      <alignment horizontal="right" vertical="center"/>
    </xf>
    <xf numFmtId="4" fontId="88" fillId="0" borderId="10" xfId="0" applyNumberFormat="1" applyFont="1" applyFill="1" applyBorder="1" applyAlignment="1">
      <alignment horizontal="right" vertical="center" wrapText="1"/>
    </xf>
    <xf numFmtId="165" fontId="71" fillId="0" borderId="10" xfId="0" applyNumberFormat="1" applyFont="1" applyFill="1" applyBorder="1" applyAlignment="1">
      <alignment horizontal="right" vertical="center"/>
    </xf>
    <xf numFmtId="4" fontId="87" fillId="0" borderId="10" xfId="0" applyNumberFormat="1" applyFont="1" applyFill="1" applyBorder="1" applyAlignment="1">
      <alignment horizontal="right" vertical="center" wrapText="1"/>
    </xf>
    <xf numFmtId="0" fontId="88" fillId="0" borderId="10" xfId="0" applyFont="1" applyFill="1" applyBorder="1" applyAlignment="1">
      <alignment horizontal="right" vertical="center" wrapText="1"/>
    </xf>
    <xf numFmtId="0" fontId="88" fillId="0" borderId="10" xfId="0" applyFont="1" applyFill="1" applyBorder="1" applyAlignment="1">
      <alignment horizontal="right" vertical="center"/>
    </xf>
    <xf numFmtId="0" fontId="70" fillId="0" borderId="10" xfId="0" applyFont="1" applyFill="1" applyBorder="1" applyAlignment="1">
      <alignment horizontal="center" vertical="center"/>
    </xf>
    <xf numFmtId="0" fontId="90" fillId="0" borderId="10" xfId="0" applyFont="1" applyFill="1" applyBorder="1" applyAlignment="1">
      <alignment horizontal="center"/>
    </xf>
    <xf numFmtId="0" fontId="70" fillId="0" borderId="10" xfId="0" applyFont="1" applyFill="1" applyBorder="1" applyAlignment="1">
      <alignment horizontal="left" vertical="top" wrapText="1"/>
    </xf>
    <xf numFmtId="165" fontId="70" fillId="0" borderId="10" xfId="537" applyNumberFormat="1" applyFont="1" applyFill="1" applyBorder="1" applyAlignment="1">
      <alignment horizontal="right" vertical="center"/>
    </xf>
    <xf numFmtId="0" fontId="71" fillId="0" borderId="10" xfId="0" applyFont="1" applyFill="1" applyBorder="1" applyAlignment="1">
      <alignment horizontal="left" vertical="top" wrapText="1"/>
    </xf>
    <xf numFmtId="165" fontId="71" fillId="0" borderId="10" xfId="537" applyNumberFormat="1" applyFont="1" applyFill="1" applyBorder="1" applyAlignment="1">
      <alignment horizontal="right" vertical="center"/>
    </xf>
    <xf numFmtId="0" fontId="71" fillId="0" borderId="10" xfId="0" applyFont="1" applyFill="1" applyBorder="1" applyAlignment="1">
      <alignment horizontal="left" vertical="top" wrapText="1" indent="1"/>
    </xf>
    <xf numFmtId="0" fontId="70" fillId="0" borderId="10" xfId="89" applyFont="1" applyFill="1" applyBorder="1" applyAlignment="1">
      <alignment horizontal="left" vertical="center" wrapText="1"/>
    </xf>
    <xf numFmtId="4" fontId="71" fillId="0" borderId="10" xfId="89" applyNumberFormat="1" applyFont="1" applyFill="1" applyBorder="1" applyAlignment="1">
      <alignment horizontal="right" vertical="center" wrapText="1"/>
    </xf>
    <xf numFmtId="0" fontId="70" fillId="0" borderId="10" xfId="0" applyFont="1" applyFill="1" applyBorder="1" applyAlignment="1">
      <alignment wrapText="1"/>
    </xf>
    <xf numFmtId="0" fontId="71" fillId="0" borderId="10" xfId="0" applyFont="1" applyFill="1" applyBorder="1" applyAlignment="1">
      <alignment horizontal="left" vertical="center" wrapText="1" indent="1"/>
    </xf>
    <xf numFmtId="0" fontId="71" fillId="0" borderId="10" xfId="0" applyFont="1" applyFill="1" applyBorder="1" applyAlignment="1">
      <alignment horizontal="left" vertical="center" indent="1"/>
    </xf>
    <xf numFmtId="0" fontId="70" fillId="0" borderId="10" xfId="0" applyFont="1" applyFill="1" applyBorder="1" applyAlignment="1">
      <alignment vertical="center"/>
    </xf>
    <xf numFmtId="0" fontId="70" fillId="0" borderId="10" xfId="0" applyFont="1" applyFill="1" applyBorder="1" applyAlignment="1">
      <alignment horizontal="left" wrapText="1"/>
    </xf>
    <xf numFmtId="0" fontId="70" fillId="0" borderId="10" xfId="0" applyFont="1" applyFill="1" applyBorder="1" applyAlignment="1">
      <alignment vertical="center" wrapText="1"/>
    </xf>
    <xf numFmtId="4" fontId="71" fillId="0" borderId="10" xfId="89" applyNumberFormat="1" applyFont="1" applyFill="1" applyBorder="1" applyAlignment="1">
      <alignment vertical="center" wrapText="1"/>
    </xf>
    <xf numFmtId="0" fontId="71" fillId="0" borderId="10" xfId="0" applyFont="1" applyFill="1" applyBorder="1" applyAlignment="1">
      <alignment vertical="center"/>
    </xf>
    <xf numFmtId="0" fontId="71" fillId="0" borderId="10" xfId="0" applyFont="1" applyFill="1" applyBorder="1" applyAlignment="1">
      <alignment vertical="center" wrapText="1"/>
    </xf>
    <xf numFmtId="0" fontId="90" fillId="0" borderId="10" xfId="89" applyFont="1" applyFill="1" applyBorder="1" applyAlignment="1">
      <alignment horizontal="center" vertical="center" wrapText="1"/>
    </xf>
    <xf numFmtId="0" fontId="70" fillId="0" borderId="10" xfId="75" applyFont="1" applyBorder="1" applyAlignment="1">
      <alignment horizontal="center" vertical="center" wrapText="1"/>
    </xf>
    <xf numFmtId="172" fontId="71" fillId="0" borderId="10" xfId="75" applyNumberFormat="1" applyFont="1" applyBorder="1" applyAlignment="1">
      <alignment horizontal="center" vertical="center"/>
    </xf>
    <xf numFmtId="164" fontId="71" fillId="0" borderId="10" xfId="75" applyNumberFormat="1" applyFont="1" applyBorder="1"/>
    <xf numFmtId="172" fontId="71" fillId="0" borderId="10" xfId="160" applyNumberFormat="1" applyFont="1" applyFill="1" applyBorder="1" applyAlignment="1">
      <alignment vertical="center"/>
    </xf>
    <xf numFmtId="164" fontId="71" fillId="0" borderId="10" xfId="75" applyNumberFormat="1" applyFont="1" applyBorder="1" applyAlignment="1">
      <alignment vertical="center"/>
    </xf>
    <xf numFmtId="0" fontId="71" fillId="0" borderId="10" xfId="75" applyFont="1" applyBorder="1" applyAlignment="1">
      <alignment horizontal="center" vertical="center"/>
    </xf>
    <xf numFmtId="0" fontId="70" fillId="0" borderId="10" xfId="75" applyFont="1" applyBorder="1" applyAlignment="1">
      <alignment horizontal="left" vertical="center"/>
    </xf>
    <xf numFmtId="0" fontId="71" fillId="0" borderId="10" xfId="0" quotePrefix="1" applyNumberFormat="1" applyFont="1" applyFill="1" applyBorder="1" applyAlignment="1">
      <alignment horizontal="center" vertical="center"/>
    </xf>
    <xf numFmtId="0" fontId="71" fillId="0" borderId="10" xfId="0" quotePrefix="1" applyNumberFormat="1" applyFont="1" applyFill="1" applyBorder="1" applyAlignment="1">
      <alignment vertical="center"/>
    </xf>
    <xf numFmtId="0" fontId="87" fillId="0" borderId="10" xfId="0" applyFont="1" applyFill="1" applyBorder="1" applyAlignment="1">
      <alignment horizontal="left" vertical="top" wrapText="1" indent="1"/>
    </xf>
    <xf numFmtId="165" fontId="87" fillId="0" borderId="16" xfId="0" applyNumberFormat="1" applyFont="1" applyFill="1" applyBorder="1" applyAlignment="1">
      <alignment horizontal="right" vertical="center"/>
    </xf>
    <xf numFmtId="0" fontId="87" fillId="0" borderId="10" xfId="0" applyFont="1" applyFill="1" applyBorder="1" applyAlignment="1">
      <alignment horizontal="left" vertical="top" wrapText="1" indent="2"/>
    </xf>
    <xf numFmtId="0" fontId="88" fillId="0" borderId="10" xfId="0" applyFont="1" applyFill="1" applyBorder="1" applyAlignment="1">
      <alignment horizontal="right" vertical="top" wrapText="1" indent="1"/>
    </xf>
    <xf numFmtId="0" fontId="88" fillId="0" borderId="10" xfId="0" applyFont="1" applyFill="1" applyBorder="1" applyAlignment="1">
      <alignment horizontal="left" vertical="center"/>
    </xf>
    <xf numFmtId="0" fontId="70" fillId="0" borderId="10" xfId="0" applyFont="1" applyFill="1" applyBorder="1" applyAlignment="1">
      <alignment horizontal="right"/>
    </xf>
    <xf numFmtId="165" fontId="70" fillId="0" borderId="10" xfId="36" applyNumberFormat="1" applyFont="1" applyFill="1" applyBorder="1" applyAlignment="1">
      <alignment horizontal="right" vertical="center"/>
    </xf>
    <xf numFmtId="165" fontId="71" fillId="0" borderId="10" xfId="36" applyNumberFormat="1" applyFont="1" applyFill="1" applyBorder="1" applyAlignment="1">
      <alignment horizontal="right" vertical="center"/>
    </xf>
    <xf numFmtId="0" fontId="71" fillId="0" borderId="10" xfId="89" applyFont="1" applyFill="1" applyBorder="1" applyAlignment="1">
      <alignment horizontal="left" vertical="center" wrapText="1"/>
    </xf>
    <xf numFmtId="0" fontId="71" fillId="0" borderId="10" xfId="186" quotePrefix="1" applyNumberFormat="1" applyFont="1" applyBorder="1" applyAlignment="1">
      <alignment horizontal="center" vertical="center"/>
    </xf>
    <xf numFmtId="0" fontId="70" fillId="0" borderId="10" xfId="186" quotePrefix="1" applyNumberFormat="1" applyFont="1" applyBorder="1" applyAlignment="1">
      <alignment horizontal="left" vertical="center"/>
    </xf>
    <xf numFmtId="172" fontId="70" fillId="0" borderId="10" xfId="186" quotePrefix="1" applyNumberFormat="1" applyFont="1" applyBorder="1" applyAlignment="1">
      <alignment horizontal="center" vertical="center"/>
    </xf>
    <xf numFmtId="164" fontId="70" fillId="0" borderId="10" xfId="186" applyNumberFormat="1" applyFont="1" applyBorder="1" applyAlignment="1">
      <alignment vertical="center"/>
    </xf>
    <xf numFmtId="168" fontId="71" fillId="0" borderId="10" xfId="0" applyNumberFormat="1" applyFont="1" applyBorder="1" applyAlignment="1">
      <alignment horizontal="left"/>
    </xf>
    <xf numFmtId="0" fontId="71" fillId="0" borderId="10" xfId="0" applyFont="1" applyBorder="1" applyAlignment="1">
      <alignment horizontal="left"/>
    </xf>
    <xf numFmtId="172" fontId="71" fillId="0" borderId="10" xfId="41" applyNumberFormat="1" applyFont="1" applyBorder="1"/>
    <xf numFmtId="164" fontId="71" fillId="0" borderId="10" xfId="186" applyNumberFormat="1" applyFont="1" applyBorder="1" applyAlignment="1">
      <alignment vertical="center"/>
    </xf>
    <xf numFmtId="0" fontId="87" fillId="0" borderId="10" xfId="0" applyFont="1" applyFill="1" applyBorder="1" applyAlignment="1">
      <alignment horizontal="left" vertical="center" wrapText="1"/>
    </xf>
    <xf numFmtId="4" fontId="87" fillId="0" borderId="10" xfId="0" applyNumberFormat="1" applyFont="1" applyFill="1" applyBorder="1" applyAlignment="1">
      <alignment horizontal="center" vertical="center"/>
    </xf>
    <xf numFmtId="0" fontId="88" fillId="0" borderId="10" xfId="0" quotePrefix="1" applyFont="1" applyFill="1" applyBorder="1" applyAlignment="1">
      <alignment horizontal="left" vertical="center" wrapText="1"/>
    </xf>
    <xf numFmtId="4" fontId="88" fillId="0" borderId="10" xfId="0" applyNumberFormat="1" applyFont="1" applyFill="1" applyBorder="1" applyAlignment="1">
      <alignment horizontal="center" vertical="center"/>
    </xf>
    <xf numFmtId="4" fontId="88" fillId="0" borderId="10" xfId="0" applyNumberFormat="1" applyFont="1" applyFill="1" applyBorder="1" applyAlignment="1">
      <alignment horizontal="center" vertical="center" wrapText="1"/>
    </xf>
    <xf numFmtId="165" fontId="70" fillId="0" borderId="10" xfId="0" applyNumberFormat="1" applyFont="1" applyFill="1" applyBorder="1" applyAlignment="1">
      <alignment horizontal="center" vertical="center"/>
    </xf>
    <xf numFmtId="4" fontId="87" fillId="0" borderId="10" xfId="0" applyNumberFormat="1" applyFont="1" applyFill="1" applyBorder="1" applyAlignment="1">
      <alignment horizontal="center" vertical="center" wrapText="1"/>
    </xf>
    <xf numFmtId="165" fontId="71" fillId="0" borderId="10" xfId="0" applyNumberFormat="1" applyFont="1" applyFill="1" applyBorder="1" applyAlignment="1">
      <alignment horizontal="center" vertical="center"/>
    </xf>
    <xf numFmtId="4" fontId="70" fillId="0" borderId="10" xfId="0" applyNumberFormat="1" applyFont="1" applyFill="1" applyBorder="1" applyAlignment="1">
      <alignment horizontal="center" vertical="center"/>
    </xf>
    <xf numFmtId="4" fontId="71" fillId="0" borderId="10" xfId="0" applyNumberFormat="1" applyFont="1" applyFill="1" applyBorder="1" applyAlignment="1">
      <alignment horizontal="center" vertical="center"/>
    </xf>
    <xf numFmtId="0" fontId="96" fillId="0" borderId="10" xfId="186" quotePrefix="1" applyNumberFormat="1" applyFont="1" applyBorder="1" applyAlignment="1">
      <alignment horizontal="left" vertical="center"/>
    </xf>
    <xf numFmtId="172" fontId="96" fillId="0" borderId="10" xfId="186" quotePrefix="1" applyNumberFormat="1" applyFont="1" applyBorder="1" applyAlignment="1">
      <alignment horizontal="center" vertical="center"/>
    </xf>
    <xf numFmtId="164" fontId="70" fillId="0" borderId="10" xfId="186" applyNumberFormat="1" applyFont="1" applyBorder="1"/>
    <xf numFmtId="172" fontId="71" fillId="0" borderId="10" xfId="185" applyNumberFormat="1" applyFont="1" applyBorder="1"/>
    <xf numFmtId="164" fontId="71" fillId="0" borderId="10" xfId="186" applyNumberFormat="1" applyFont="1" applyBorder="1"/>
    <xf numFmtId="0" fontId="70" fillId="0" borderId="10" xfId="186" quotePrefix="1" applyNumberFormat="1" applyFont="1" applyBorder="1" applyAlignment="1">
      <alignment horizontal="center" vertical="center"/>
    </xf>
    <xf numFmtId="168" fontId="71" fillId="0" borderId="10" xfId="0" applyNumberFormat="1" applyFont="1" applyBorder="1" applyAlignment="1">
      <alignment horizontal="center"/>
    </xf>
    <xf numFmtId="0" fontId="70" fillId="0" borderId="16" xfId="75" applyFont="1" applyBorder="1"/>
    <xf numFmtId="0" fontId="70" fillId="0" borderId="13" xfId="75" applyFont="1" applyBorder="1"/>
    <xf numFmtId="169" fontId="71" fillId="0" borderId="70" xfId="128" applyNumberFormat="1" applyFont="1" applyBorder="1"/>
    <xf numFmtId="0" fontId="87" fillId="0" borderId="52" xfId="312" applyNumberFormat="1" applyFont="1" applyBorder="1" applyAlignment="1">
      <alignment horizontal="center" vertical="center"/>
    </xf>
    <xf numFmtId="0" fontId="70" fillId="0" borderId="67" xfId="128" applyFont="1" applyFill="1" applyBorder="1" applyAlignment="1">
      <alignment vertical="center"/>
    </xf>
    <xf numFmtId="169" fontId="88" fillId="0" borderId="52" xfId="312" applyNumberFormat="1" applyFont="1" applyBorder="1" applyAlignment="1">
      <alignment horizontal="center" vertical="center"/>
    </xf>
    <xf numFmtId="169" fontId="88" fillId="0" borderId="53" xfId="312" applyNumberFormat="1" applyFont="1" applyBorder="1" applyAlignment="1">
      <alignment horizontal="center" vertical="center"/>
    </xf>
    <xf numFmtId="169" fontId="88" fillId="0" borderId="54" xfId="312" applyNumberFormat="1" applyFont="1" applyBorder="1" applyAlignment="1">
      <alignment horizontal="right" vertical="center"/>
    </xf>
    <xf numFmtId="169" fontId="88" fillId="0" borderId="69" xfId="312" applyNumberFormat="1" applyFont="1" applyBorder="1" applyAlignment="1">
      <alignment horizontal="center" vertical="center"/>
    </xf>
    <xf numFmtId="169" fontId="88" fillId="0" borderId="67" xfId="312" applyNumberFormat="1" applyFont="1" applyBorder="1" applyAlignment="1">
      <alignment horizontal="right" vertical="center"/>
    </xf>
    <xf numFmtId="169" fontId="88" fillId="0" borderId="75" xfId="312" applyNumberFormat="1" applyFont="1" applyBorder="1" applyAlignment="1">
      <alignment horizontal="center" vertical="center"/>
    </xf>
    <xf numFmtId="0" fontId="87" fillId="0" borderId="53" xfId="312" applyNumberFormat="1" applyFont="1" applyBorder="1" applyAlignment="1">
      <alignment horizontal="center" vertical="center"/>
    </xf>
    <xf numFmtId="0" fontId="70" fillId="0" borderId="58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0" fontId="87" fillId="0" borderId="48" xfId="0" applyFont="1" applyFill="1" applyBorder="1" applyAlignment="1">
      <alignment horizontal="center" vertical="center"/>
    </xf>
    <xf numFmtId="0" fontId="87" fillId="0" borderId="46" xfId="0" applyFont="1" applyFill="1" applyBorder="1" applyAlignment="1">
      <alignment horizontal="center" vertical="center"/>
    </xf>
    <xf numFmtId="0" fontId="87" fillId="0" borderId="28" xfId="0" applyFont="1" applyFill="1" applyBorder="1" applyAlignment="1">
      <alignment horizontal="center" vertical="center"/>
    </xf>
    <xf numFmtId="0" fontId="87" fillId="0" borderId="78" xfId="0" applyFont="1" applyFill="1" applyBorder="1" applyAlignment="1">
      <alignment horizontal="center" vertical="center"/>
    </xf>
    <xf numFmtId="0" fontId="87" fillId="0" borderId="77" xfId="0" applyFont="1" applyFill="1" applyBorder="1" applyAlignment="1">
      <alignment horizontal="center" vertical="center"/>
    </xf>
    <xf numFmtId="0" fontId="10" fillId="0" borderId="0" xfId="74" applyFont="1" applyFill="1" applyAlignment="1">
      <alignment horizontal="left" vertical="center"/>
    </xf>
    <xf numFmtId="0" fontId="88" fillId="0" borderId="75" xfId="0" applyFont="1" applyFill="1" applyBorder="1" applyAlignment="1">
      <alignment horizontal="center" vertical="center"/>
    </xf>
    <xf numFmtId="0" fontId="88" fillId="0" borderId="76" xfId="0" applyFont="1" applyFill="1" applyBorder="1" applyAlignment="1">
      <alignment horizontal="center" vertical="center"/>
    </xf>
    <xf numFmtId="0" fontId="87" fillId="0" borderId="60" xfId="0" applyFont="1" applyFill="1" applyBorder="1" applyAlignment="1">
      <alignment horizontal="center" vertical="center"/>
    </xf>
    <xf numFmtId="0" fontId="87" fillId="0" borderId="62" xfId="0" applyFont="1" applyFill="1" applyBorder="1" applyAlignment="1">
      <alignment horizontal="center" vertical="center"/>
    </xf>
    <xf numFmtId="0" fontId="87" fillId="0" borderId="68" xfId="0" applyFont="1" applyFill="1" applyBorder="1" applyAlignment="1">
      <alignment horizontal="center" vertical="center"/>
    </xf>
    <xf numFmtId="0" fontId="87" fillId="0" borderId="63" xfId="0" applyFont="1" applyFill="1" applyBorder="1" applyAlignment="1">
      <alignment horizontal="center" vertical="center"/>
    </xf>
    <xf numFmtId="0" fontId="88" fillId="0" borderId="71" xfId="0" applyFont="1" applyFill="1" applyBorder="1" applyAlignment="1">
      <alignment horizontal="center" vertical="center"/>
    </xf>
    <xf numFmtId="0" fontId="70" fillId="0" borderId="69" xfId="0" applyFont="1" applyFill="1" applyBorder="1" applyAlignment="1">
      <alignment horizontal="center" vertical="center" wrapText="1"/>
    </xf>
    <xf numFmtId="0" fontId="70" fillId="0" borderId="27" xfId="0" applyFont="1" applyFill="1" applyBorder="1" applyAlignment="1">
      <alignment horizontal="center" vertical="center" wrapText="1"/>
    </xf>
    <xf numFmtId="0" fontId="70" fillId="0" borderId="43" xfId="0" applyFont="1" applyFill="1" applyBorder="1" applyAlignment="1">
      <alignment horizontal="center" vertical="center" wrapText="1"/>
    </xf>
    <xf numFmtId="0" fontId="70" fillId="0" borderId="53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/>
    </xf>
    <xf numFmtId="0" fontId="70" fillId="0" borderId="41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 wrapText="1"/>
    </xf>
    <xf numFmtId="0" fontId="70" fillId="0" borderId="41" xfId="0" applyFont="1" applyFill="1" applyBorder="1" applyAlignment="1">
      <alignment horizontal="center" vertical="center" wrapText="1"/>
    </xf>
    <xf numFmtId="0" fontId="70" fillId="0" borderId="67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70" fillId="0" borderId="44" xfId="0" applyFont="1" applyFill="1" applyBorder="1" applyAlignment="1">
      <alignment horizontal="center" vertical="center" wrapText="1"/>
    </xf>
    <xf numFmtId="0" fontId="70" fillId="0" borderId="52" xfId="0" applyFont="1" applyFill="1" applyBorder="1" applyAlignment="1">
      <alignment horizontal="center" vertical="center" wrapText="1"/>
    </xf>
    <xf numFmtId="0" fontId="70" fillId="0" borderId="50" xfId="0" applyFont="1" applyFill="1" applyBorder="1" applyAlignment="1">
      <alignment horizontal="center" vertical="center" wrapText="1"/>
    </xf>
    <xf numFmtId="0" fontId="70" fillId="0" borderId="58" xfId="0" applyFont="1" applyFill="1" applyBorder="1" applyAlignment="1">
      <alignment horizontal="center" vertical="center" wrapText="1"/>
    </xf>
    <xf numFmtId="0" fontId="88" fillId="0" borderId="54" xfId="0" applyFont="1" applyFill="1" applyBorder="1" applyAlignment="1">
      <alignment horizontal="center" vertical="center" wrapText="1"/>
    </xf>
    <xf numFmtId="0" fontId="88" fillId="0" borderId="57" xfId="0" applyFont="1" applyFill="1" applyBorder="1" applyAlignment="1">
      <alignment horizontal="center" vertical="center" wrapText="1"/>
    </xf>
    <xf numFmtId="0" fontId="88" fillId="0" borderId="59" xfId="0" applyFont="1" applyFill="1" applyBorder="1" applyAlignment="1">
      <alignment horizontal="center" vertical="center" wrapText="1"/>
    </xf>
    <xf numFmtId="4" fontId="88" fillId="0" borderId="40" xfId="0" applyNumberFormat="1" applyFont="1" applyFill="1" applyBorder="1" applyAlignment="1">
      <alignment horizontal="right" vertical="center" wrapText="1"/>
    </xf>
    <xf numFmtId="0" fontId="90" fillId="0" borderId="62" xfId="0" applyFont="1" applyFill="1" applyBorder="1" applyAlignment="1">
      <alignment horizontal="center" vertical="center"/>
    </xf>
    <xf numFmtId="0" fontId="90" fillId="0" borderId="68" xfId="0" applyFont="1" applyFill="1" applyBorder="1" applyAlignment="1">
      <alignment horizontal="center" vertical="center"/>
    </xf>
    <xf numFmtId="4" fontId="70" fillId="0" borderId="40" xfId="0" applyNumberFormat="1" applyFont="1" applyFill="1" applyBorder="1" applyAlignment="1">
      <alignment horizontal="right" vertical="center"/>
    </xf>
    <xf numFmtId="4" fontId="70" fillId="0" borderId="29" xfId="0" applyNumberFormat="1" applyFont="1" applyFill="1" applyBorder="1" applyAlignment="1">
      <alignment horizontal="right" vertical="center"/>
    </xf>
    <xf numFmtId="4" fontId="88" fillId="0" borderId="25" xfId="0" applyNumberFormat="1" applyFont="1" applyFill="1" applyBorder="1" applyAlignment="1">
      <alignment horizontal="right" vertical="center" wrapText="1"/>
    </xf>
    <xf numFmtId="4" fontId="88" fillId="0" borderId="26" xfId="0" applyNumberFormat="1" applyFont="1" applyFill="1" applyBorder="1" applyAlignment="1">
      <alignment horizontal="right" vertical="center" wrapText="1"/>
    </xf>
    <xf numFmtId="4" fontId="87" fillId="0" borderId="25" xfId="0" applyNumberFormat="1" applyFont="1" applyFill="1" applyBorder="1" applyAlignment="1">
      <alignment horizontal="right" vertical="center"/>
    </xf>
    <xf numFmtId="4" fontId="87" fillId="0" borderId="26" xfId="0" applyNumberFormat="1" applyFont="1" applyFill="1" applyBorder="1" applyAlignment="1">
      <alignment horizontal="right" vertical="center"/>
    </xf>
    <xf numFmtId="4" fontId="70" fillId="0" borderId="25" xfId="0" applyNumberFormat="1" applyFont="1" applyFill="1" applyBorder="1" applyAlignment="1">
      <alignment horizontal="right" vertical="center"/>
    </xf>
    <xf numFmtId="4" fontId="70" fillId="0" borderId="26" xfId="0" applyNumberFormat="1" applyFont="1" applyFill="1" applyBorder="1" applyAlignment="1">
      <alignment horizontal="right" vertical="center"/>
    </xf>
    <xf numFmtId="4" fontId="87" fillId="0" borderId="41" xfId="0" applyNumberFormat="1" applyFont="1" applyFill="1" applyBorder="1" applyAlignment="1">
      <alignment horizontal="right" vertical="center"/>
    </xf>
    <xf numFmtId="4" fontId="87" fillId="0" borderId="44" xfId="0" applyNumberFormat="1" applyFont="1" applyFill="1" applyBorder="1" applyAlignment="1">
      <alignment horizontal="right" vertical="center"/>
    </xf>
    <xf numFmtId="0" fontId="71" fillId="0" borderId="16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78" xfId="0" applyFont="1" applyFill="1" applyBorder="1" applyAlignment="1">
      <alignment horizontal="center" vertical="top" wrapText="1"/>
    </xf>
    <xf numFmtId="0" fontId="71" fillId="0" borderId="77" xfId="0" applyFont="1" applyFill="1" applyBorder="1" applyAlignment="1">
      <alignment horizontal="center" vertical="top" wrapText="1"/>
    </xf>
    <xf numFmtId="4" fontId="70" fillId="0" borderId="25" xfId="0" applyNumberFormat="1" applyFont="1" applyFill="1" applyBorder="1" applyAlignment="1">
      <alignment vertical="center" wrapText="1"/>
    </xf>
    <xf numFmtId="4" fontId="70" fillId="0" borderId="62" xfId="0" applyNumberFormat="1" applyFont="1" applyFill="1" applyBorder="1" applyAlignment="1">
      <alignment horizontal="right" vertical="center"/>
    </xf>
    <xf numFmtId="4" fontId="70" fillId="0" borderId="68" xfId="0" applyNumberFormat="1" applyFont="1" applyFill="1" applyBorder="1" applyAlignment="1">
      <alignment horizontal="right" vertical="center"/>
    </xf>
    <xf numFmtId="4" fontId="71" fillId="0" borderId="40" xfId="0" applyNumberFormat="1" applyFont="1" applyFill="1" applyBorder="1" applyAlignment="1">
      <alignment horizontal="right" vertical="center" wrapText="1"/>
    </xf>
    <xf numFmtId="4" fontId="71" fillId="0" borderId="29" xfId="0" applyNumberFormat="1" applyFont="1" applyFill="1" applyBorder="1" applyAlignment="1">
      <alignment horizontal="right" vertical="center" wrapText="1"/>
    </xf>
    <xf numFmtId="4" fontId="71" fillId="0" borderId="41" xfId="0" applyNumberFormat="1" applyFont="1" applyFill="1" applyBorder="1" applyAlignment="1">
      <alignment horizontal="right" vertical="center" wrapText="1"/>
    </xf>
    <xf numFmtId="4" fontId="71" fillId="0" borderId="44" xfId="0" applyNumberFormat="1" applyFont="1" applyFill="1" applyBorder="1" applyAlignment="1">
      <alignment horizontal="right" vertical="center" wrapText="1"/>
    </xf>
    <xf numFmtId="0" fontId="71" fillId="0" borderId="0" xfId="0" applyFont="1" applyFill="1" applyAlignment="1">
      <alignment horizontal="center" vertical="center"/>
    </xf>
    <xf numFmtId="0" fontId="70" fillId="0" borderId="14" xfId="0" applyFont="1" applyFill="1" applyBorder="1" applyAlignment="1">
      <alignment horizontal="center"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70" fillId="0" borderId="50" xfId="89" applyFont="1" applyFill="1" applyBorder="1" applyAlignment="1">
      <alignment horizontal="center" vertical="center" wrapText="1"/>
    </xf>
    <xf numFmtId="0" fontId="70" fillId="0" borderId="58" xfId="89" applyFont="1" applyFill="1" applyBorder="1" applyAlignment="1">
      <alignment horizontal="center" vertical="center" wrapText="1"/>
    </xf>
    <xf numFmtId="0" fontId="70" fillId="0" borderId="25" xfId="89" applyFont="1" applyFill="1" applyBorder="1" applyAlignment="1">
      <alignment horizontal="center" vertical="center" wrapText="1"/>
    </xf>
    <xf numFmtId="0" fontId="70" fillId="0" borderId="41" xfId="89" applyFont="1" applyFill="1" applyBorder="1" applyAlignment="1">
      <alignment horizontal="center" vertical="center" wrapText="1"/>
    </xf>
    <xf numFmtId="0" fontId="70" fillId="0" borderId="57" xfId="89" applyFont="1" applyFill="1" applyBorder="1" applyAlignment="1">
      <alignment horizontal="center" vertical="center" wrapText="1"/>
    </xf>
    <xf numFmtId="0" fontId="70" fillId="0" borderId="59" xfId="89" applyFont="1" applyFill="1" applyBorder="1" applyAlignment="1">
      <alignment horizontal="center" vertical="center" wrapText="1"/>
    </xf>
    <xf numFmtId="0" fontId="70" fillId="0" borderId="0" xfId="89" applyFont="1" applyFill="1" applyAlignment="1">
      <alignment horizontal="left" vertical="center" wrapText="1"/>
    </xf>
    <xf numFmtId="0" fontId="71" fillId="0" borderId="0" xfId="89" applyFont="1" applyFill="1" applyBorder="1" applyAlignment="1">
      <alignment horizontal="center" vertical="center" wrapText="1"/>
    </xf>
    <xf numFmtId="0" fontId="70" fillId="0" borderId="75" xfId="89" applyFont="1" applyFill="1" applyBorder="1" applyAlignment="1">
      <alignment horizontal="center" vertical="center" wrapText="1"/>
    </xf>
    <xf numFmtId="0" fontId="70" fillId="0" borderId="71" xfId="89" applyFont="1" applyFill="1" applyBorder="1" applyAlignment="1">
      <alignment horizontal="center" vertical="center" wrapText="1"/>
    </xf>
    <xf numFmtId="0" fontId="70" fillId="0" borderId="72" xfId="89" applyFont="1" applyFill="1" applyBorder="1" applyAlignment="1">
      <alignment horizontal="center" vertical="center" wrapText="1"/>
    </xf>
    <xf numFmtId="0" fontId="70" fillId="0" borderId="69" xfId="89" applyFont="1" applyFill="1" applyBorder="1" applyAlignment="1">
      <alignment horizontal="center" vertical="center" wrapText="1"/>
    </xf>
    <xf numFmtId="0" fontId="70" fillId="0" borderId="53" xfId="89" applyFont="1" applyFill="1" applyBorder="1" applyAlignment="1">
      <alignment horizontal="center" vertical="center" wrapText="1"/>
    </xf>
    <xf numFmtId="0" fontId="70" fillId="0" borderId="67" xfId="89" applyFont="1" applyFill="1" applyBorder="1" applyAlignment="1">
      <alignment horizontal="center" vertical="center" wrapText="1"/>
    </xf>
    <xf numFmtId="0" fontId="70" fillId="0" borderId="52" xfId="89" applyFont="1" applyFill="1" applyBorder="1" applyAlignment="1">
      <alignment horizontal="center" vertical="center" wrapText="1"/>
    </xf>
    <xf numFmtId="0" fontId="70" fillId="0" borderId="54" xfId="89" applyFont="1" applyFill="1" applyBorder="1" applyAlignment="1">
      <alignment horizontal="center" vertical="center" wrapText="1"/>
    </xf>
    <xf numFmtId="0" fontId="70" fillId="0" borderId="27" xfId="89" applyFont="1" applyFill="1" applyBorder="1" applyAlignment="1">
      <alignment horizontal="center" vertical="center" wrapText="1"/>
    </xf>
    <xf numFmtId="0" fontId="70" fillId="0" borderId="43" xfId="89" applyFont="1" applyFill="1" applyBorder="1" applyAlignment="1">
      <alignment horizontal="center" vertical="center" wrapText="1"/>
    </xf>
    <xf numFmtId="0" fontId="70" fillId="0" borderId="26" xfId="89" applyFont="1" applyFill="1" applyBorder="1" applyAlignment="1">
      <alignment horizontal="center" vertical="center" wrapText="1"/>
    </xf>
    <xf numFmtId="0" fontId="70" fillId="0" borderId="44" xfId="89" applyFont="1" applyFill="1" applyBorder="1" applyAlignment="1">
      <alignment horizontal="center" vertical="center" wrapText="1"/>
    </xf>
    <xf numFmtId="0" fontId="70" fillId="0" borderId="26" xfId="89" applyNumberFormat="1" applyFont="1" applyFill="1" applyBorder="1" applyAlignment="1">
      <alignment horizontal="center" vertical="center" wrapText="1"/>
    </xf>
    <xf numFmtId="0" fontId="70" fillId="0" borderId="44" xfId="89" applyNumberFormat="1" applyFont="1" applyFill="1" applyBorder="1" applyAlignment="1">
      <alignment horizontal="center" vertical="center" wrapText="1"/>
    </xf>
    <xf numFmtId="0" fontId="70" fillId="0" borderId="51" xfId="89" applyFont="1" applyFill="1" applyBorder="1" applyAlignment="1">
      <alignment horizontal="center" vertical="center" wrapText="1"/>
    </xf>
    <xf numFmtId="0" fontId="70" fillId="0" borderId="47" xfId="89" applyFont="1" applyFill="1" applyBorder="1" applyAlignment="1">
      <alignment horizontal="center" vertical="center" wrapText="1"/>
    </xf>
    <xf numFmtId="0" fontId="70" fillId="0" borderId="57" xfId="89" applyNumberFormat="1" applyFont="1" applyFill="1" applyBorder="1" applyAlignment="1">
      <alignment horizontal="center" vertical="center" wrapText="1"/>
    </xf>
    <xf numFmtId="0" fontId="70" fillId="0" borderId="91" xfId="89" applyNumberFormat="1" applyFont="1" applyFill="1" applyBorder="1" applyAlignment="1">
      <alignment horizontal="center" vertical="center" wrapText="1"/>
    </xf>
    <xf numFmtId="0" fontId="71" fillId="0" borderId="50" xfId="89" applyFont="1" applyFill="1" applyBorder="1" applyAlignment="1">
      <alignment horizontal="left" vertical="center" wrapText="1"/>
    </xf>
    <xf numFmtId="0" fontId="71" fillId="0" borderId="25" xfId="89" applyFont="1" applyFill="1" applyBorder="1" applyAlignment="1">
      <alignment horizontal="left" vertical="center" wrapText="1"/>
    </xf>
    <xf numFmtId="0" fontId="71" fillId="0" borderId="57" xfId="89" applyFont="1" applyFill="1" applyBorder="1" applyAlignment="1">
      <alignment horizontal="left" vertical="center" wrapText="1"/>
    </xf>
    <xf numFmtId="0" fontId="71" fillId="0" borderId="58" xfId="89" applyFont="1" applyFill="1" applyBorder="1" applyAlignment="1">
      <alignment horizontal="left" vertical="center" wrapText="1"/>
    </xf>
    <xf numFmtId="0" fontId="71" fillId="0" borderId="41" xfId="89" applyFont="1" applyFill="1" applyBorder="1" applyAlignment="1">
      <alignment horizontal="left" vertical="center" wrapText="1"/>
    </xf>
    <xf numFmtId="0" fontId="71" fillId="0" borderId="59" xfId="89" applyFont="1" applyFill="1" applyBorder="1" applyAlignment="1">
      <alignment horizontal="left" vertical="center" wrapText="1"/>
    </xf>
    <xf numFmtId="0" fontId="70" fillId="0" borderId="14" xfId="89" applyFont="1" applyFill="1" applyBorder="1" applyAlignment="1">
      <alignment horizontal="center" vertical="center" wrapText="1"/>
    </xf>
    <xf numFmtId="0" fontId="70" fillId="0" borderId="23" xfId="89" applyFont="1" applyFill="1" applyBorder="1" applyAlignment="1">
      <alignment horizontal="center" vertical="center" wrapText="1"/>
    </xf>
    <xf numFmtId="0" fontId="70" fillId="0" borderId="22" xfId="89" applyFont="1" applyFill="1" applyBorder="1" applyAlignment="1">
      <alignment horizontal="center" vertical="center" wrapText="1"/>
    </xf>
    <xf numFmtId="0" fontId="71" fillId="0" borderId="16" xfId="89" applyFont="1" applyFill="1" applyBorder="1" applyAlignment="1">
      <alignment horizontal="center" vertical="center" wrapText="1"/>
    </xf>
    <xf numFmtId="0" fontId="71" fillId="0" borderId="11" xfId="89" applyFont="1" applyFill="1" applyBorder="1" applyAlignment="1">
      <alignment horizontal="center" vertical="center" wrapText="1"/>
    </xf>
    <xf numFmtId="0" fontId="71" fillId="0" borderId="13" xfId="89" applyFont="1" applyFill="1" applyBorder="1" applyAlignment="1">
      <alignment horizontal="center" vertical="center" wrapText="1"/>
    </xf>
    <xf numFmtId="0" fontId="70" fillId="0" borderId="17" xfId="89" applyFont="1" applyFill="1" applyBorder="1" applyAlignment="1">
      <alignment horizontal="center" vertical="center" wrapText="1"/>
    </xf>
    <xf numFmtId="0" fontId="70" fillId="0" borderId="12" xfId="89" applyFont="1" applyFill="1" applyBorder="1" applyAlignment="1">
      <alignment horizontal="center" vertical="center" wrapText="1"/>
    </xf>
    <xf numFmtId="0" fontId="70" fillId="0" borderId="18" xfId="89" applyFont="1" applyFill="1" applyBorder="1" applyAlignment="1">
      <alignment horizontal="center" vertical="center" wrapText="1"/>
    </xf>
    <xf numFmtId="0" fontId="70" fillId="0" borderId="21" xfId="89" applyFont="1" applyFill="1" applyBorder="1" applyAlignment="1">
      <alignment horizontal="center" vertical="center" wrapText="1"/>
    </xf>
    <xf numFmtId="0" fontId="70" fillId="0" borderId="0" xfId="89" applyFont="1" applyFill="1" applyBorder="1" applyAlignment="1">
      <alignment horizontal="center" vertical="center" wrapText="1"/>
    </xf>
    <xf numFmtId="0" fontId="70" fillId="0" borderId="20" xfId="89" applyFont="1" applyFill="1" applyBorder="1" applyAlignment="1">
      <alignment horizontal="center" vertical="center" wrapText="1"/>
    </xf>
    <xf numFmtId="0" fontId="70" fillId="0" borderId="15" xfId="89" applyFont="1" applyFill="1" applyBorder="1" applyAlignment="1">
      <alignment horizontal="center" vertical="center" wrapText="1"/>
    </xf>
    <xf numFmtId="0" fontId="70" fillId="0" borderId="24" xfId="89" applyFont="1" applyFill="1" applyBorder="1" applyAlignment="1">
      <alignment horizontal="center" vertical="center" wrapText="1"/>
    </xf>
    <xf numFmtId="0" fontId="70" fillId="0" borderId="19" xfId="89" applyFont="1" applyFill="1" applyBorder="1" applyAlignment="1">
      <alignment horizontal="center" vertical="center" wrapText="1"/>
    </xf>
    <xf numFmtId="0" fontId="90" fillId="0" borderId="60" xfId="89" applyFont="1" applyFill="1" applyBorder="1" applyAlignment="1">
      <alignment horizontal="center" vertical="center" wrapText="1"/>
    </xf>
    <xf numFmtId="0" fontId="90" fillId="0" borderId="62" xfId="89" applyFont="1" applyFill="1" applyBorder="1" applyAlignment="1">
      <alignment horizontal="center" vertical="center" wrapText="1"/>
    </xf>
    <xf numFmtId="0" fontId="90" fillId="0" borderId="63" xfId="89" applyFont="1" applyFill="1" applyBorder="1" applyAlignment="1">
      <alignment horizontal="center" vertical="center" wrapText="1"/>
    </xf>
    <xf numFmtId="0" fontId="71" fillId="0" borderId="49" xfId="89" applyFont="1" applyFill="1" applyBorder="1" applyAlignment="1">
      <alignment horizontal="left" vertical="center" wrapText="1"/>
    </xf>
    <xf numFmtId="0" fontId="71" fillId="0" borderId="40" xfId="89" applyFont="1" applyFill="1" applyBorder="1" applyAlignment="1">
      <alignment horizontal="left" vertical="center" wrapText="1"/>
    </xf>
    <xf numFmtId="0" fontId="71" fillId="0" borderId="56" xfId="89" applyFont="1" applyFill="1" applyBorder="1" applyAlignment="1">
      <alignment horizontal="left" vertical="center" wrapText="1"/>
    </xf>
    <xf numFmtId="0" fontId="70" fillId="0" borderId="76" xfId="89" applyFont="1" applyFill="1" applyBorder="1" applyAlignment="1">
      <alignment horizontal="center" vertical="center" wrapText="1"/>
    </xf>
    <xf numFmtId="0" fontId="89" fillId="0" borderId="0" xfId="128" applyFont="1" applyAlignment="1">
      <alignment horizontal="left" vertical="center"/>
    </xf>
    <xf numFmtId="0" fontId="70" fillId="0" borderId="52" xfId="128" applyFont="1" applyBorder="1" applyAlignment="1">
      <alignment horizontal="center" vertical="center"/>
    </xf>
    <xf numFmtId="0" fontId="70" fillId="0" borderId="50" xfId="128" applyFont="1" applyBorder="1" applyAlignment="1">
      <alignment horizontal="center" vertical="center"/>
    </xf>
    <xf numFmtId="0" fontId="70" fillId="0" borderId="58" xfId="128" applyFont="1" applyBorder="1" applyAlignment="1">
      <alignment horizontal="center" vertical="center"/>
    </xf>
    <xf numFmtId="0" fontId="70" fillId="0" borderId="67" xfId="128" applyFont="1" applyBorder="1" applyAlignment="1">
      <alignment horizontal="center" vertical="center" wrapText="1"/>
    </xf>
    <xf numFmtId="0" fontId="70" fillId="0" borderId="26" xfId="128" applyFont="1" applyBorder="1" applyAlignment="1">
      <alignment horizontal="center" vertical="center" wrapText="1"/>
    </xf>
    <xf numFmtId="0" fontId="70" fillId="0" borderId="44" xfId="128" applyFont="1" applyBorder="1" applyAlignment="1">
      <alignment horizontal="center" vertical="center" wrapText="1"/>
    </xf>
    <xf numFmtId="0" fontId="70" fillId="0" borderId="65" xfId="150" applyFont="1" applyBorder="1" applyAlignment="1">
      <alignment horizontal="center" vertical="center" wrapText="1"/>
    </xf>
    <xf numFmtId="0" fontId="70" fillId="0" borderId="66" xfId="150" applyFont="1" applyBorder="1" applyAlignment="1">
      <alignment horizontal="center" vertical="center" wrapText="1"/>
    </xf>
    <xf numFmtId="0" fontId="71" fillId="0" borderId="24" xfId="150" applyFont="1" applyBorder="1" applyAlignment="1">
      <alignment horizontal="center"/>
    </xf>
    <xf numFmtId="0" fontId="71" fillId="0" borderId="19" xfId="150" applyFont="1" applyBorder="1" applyAlignment="1">
      <alignment horizontal="center"/>
    </xf>
    <xf numFmtId="0" fontId="70" fillId="0" borderId="14" xfId="150" applyFont="1" applyBorder="1" applyAlignment="1">
      <alignment horizontal="center" vertical="center" wrapText="1"/>
    </xf>
    <xf numFmtId="0" fontId="70" fillId="0" borderId="23" xfId="150" applyFont="1" applyBorder="1" applyAlignment="1">
      <alignment horizontal="center" vertical="center" wrapText="1"/>
    </xf>
    <xf numFmtId="0" fontId="70" fillId="0" borderId="22" xfId="150" applyFont="1" applyBorder="1" applyAlignment="1">
      <alignment horizontal="center" vertical="center" wrapText="1"/>
    </xf>
    <xf numFmtId="0" fontId="89" fillId="0" borderId="0" xfId="85" applyFont="1" applyAlignment="1">
      <alignment vertical="center" wrapText="1"/>
    </xf>
    <xf numFmtId="0" fontId="69" fillId="0" borderId="0" xfId="85" applyFont="1" applyAlignment="1">
      <alignment vertical="center" wrapText="1"/>
    </xf>
    <xf numFmtId="0" fontId="69" fillId="0" borderId="0" xfId="85" applyFont="1" applyAlignment="1">
      <alignment wrapText="1"/>
    </xf>
    <xf numFmtId="0" fontId="70" fillId="0" borderId="75" xfId="64" applyFont="1" applyBorder="1" applyAlignment="1">
      <alignment horizontal="center" vertical="center" wrapText="1"/>
    </xf>
    <xf numFmtId="0" fontId="70" fillId="0" borderId="71" xfId="64" applyFont="1" applyBorder="1" applyAlignment="1">
      <alignment horizontal="center" vertical="center" wrapText="1"/>
    </xf>
    <xf numFmtId="0" fontId="70" fillId="0" borderId="76" xfId="64" applyFont="1" applyBorder="1" applyAlignment="1">
      <alignment horizontal="center" vertical="center" wrapText="1"/>
    </xf>
    <xf numFmtId="0" fontId="70" fillId="0" borderId="69" xfId="64" applyFont="1" applyBorder="1" applyAlignment="1">
      <alignment horizontal="center" vertical="center" wrapText="1"/>
    </xf>
    <xf numFmtId="0" fontId="70" fillId="0" borderId="27" xfId="64" applyFont="1" applyBorder="1" applyAlignment="1">
      <alignment horizontal="center" vertical="center" wrapText="1"/>
    </xf>
    <xf numFmtId="0" fontId="70" fillId="0" borderId="43" xfId="64" applyFont="1" applyBorder="1" applyAlignment="1">
      <alignment horizontal="center" vertical="center" wrapText="1"/>
    </xf>
    <xf numFmtId="0" fontId="70" fillId="0" borderId="53" xfId="64" applyFont="1" applyBorder="1" applyAlignment="1">
      <alignment horizontal="center" vertical="center" wrapText="1"/>
    </xf>
    <xf numFmtId="0" fontId="70" fillId="0" borderId="25" xfId="64" applyFont="1" applyBorder="1" applyAlignment="1">
      <alignment horizontal="center" vertical="center" wrapText="1"/>
    </xf>
    <xf numFmtId="0" fontId="70" fillId="0" borderId="41" xfId="64" applyFont="1" applyBorder="1" applyAlignment="1">
      <alignment horizontal="center" vertical="center" wrapText="1"/>
    </xf>
    <xf numFmtId="0" fontId="70" fillId="0" borderId="67" xfId="64" applyFont="1" applyBorder="1" applyAlignment="1">
      <alignment horizontal="center" vertical="center" wrapText="1"/>
    </xf>
    <xf numFmtId="0" fontId="70" fillId="0" borderId="26" xfId="64" applyFont="1" applyBorder="1" applyAlignment="1">
      <alignment horizontal="center" vertical="center" wrapText="1"/>
    </xf>
    <xf numFmtId="0" fontId="70" fillId="0" borderId="44" xfId="64" applyFont="1" applyBorder="1" applyAlignment="1">
      <alignment horizontal="center" vertical="center" wrapText="1"/>
    </xf>
    <xf numFmtId="0" fontId="70" fillId="0" borderId="52" xfId="64" applyFont="1" applyBorder="1" applyAlignment="1">
      <alignment horizontal="center" vertical="center" wrapText="1"/>
    </xf>
    <xf numFmtId="0" fontId="70" fillId="0" borderId="50" xfId="64" applyFont="1" applyBorder="1" applyAlignment="1">
      <alignment horizontal="center" vertical="center" wrapText="1"/>
    </xf>
    <xf numFmtId="0" fontId="70" fillId="0" borderId="58" xfId="64" applyFont="1" applyBorder="1" applyAlignment="1">
      <alignment horizontal="center" vertical="center" wrapText="1"/>
    </xf>
    <xf numFmtId="0" fontId="70" fillId="0" borderId="54" xfId="64" applyFont="1" applyBorder="1" applyAlignment="1">
      <alignment horizontal="center" vertical="center" wrapText="1"/>
    </xf>
    <xf numFmtId="0" fontId="70" fillId="0" borderId="57" xfId="64" applyFont="1" applyBorder="1" applyAlignment="1">
      <alignment horizontal="center" vertical="center" wrapText="1"/>
    </xf>
    <xf numFmtId="0" fontId="70" fillId="0" borderId="59" xfId="64" applyFont="1" applyBorder="1" applyAlignment="1">
      <alignment horizontal="center" vertical="center" wrapText="1"/>
    </xf>
    <xf numFmtId="0" fontId="71" fillId="0" borderId="48" xfId="64" applyFont="1" applyBorder="1" applyAlignment="1">
      <alignment horizontal="center" vertical="center" wrapText="1"/>
    </xf>
    <xf numFmtId="0" fontId="71" fillId="0" borderId="46" xfId="64" applyFont="1" applyBorder="1" applyAlignment="1">
      <alignment horizontal="center" vertical="center" wrapText="1"/>
    </xf>
    <xf numFmtId="0" fontId="71" fillId="0" borderId="28" xfId="64" applyFont="1" applyBorder="1" applyAlignment="1">
      <alignment horizontal="center" vertical="center" wrapText="1"/>
    </xf>
    <xf numFmtId="0" fontId="71" fillId="0" borderId="78" xfId="64" applyFont="1" applyBorder="1" applyAlignment="1">
      <alignment horizontal="center" vertical="center" wrapText="1"/>
    </xf>
    <xf numFmtId="0" fontId="71" fillId="0" borderId="77" xfId="64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 wrapText="1"/>
    </xf>
    <xf numFmtId="0" fontId="71" fillId="0" borderId="21" xfId="70" applyFont="1" applyBorder="1" applyAlignment="1">
      <alignment horizontal="center" vertical="center"/>
    </xf>
    <xf numFmtId="0" fontId="71" fillId="0" borderId="0" xfId="70" applyFont="1" applyBorder="1" applyAlignment="1">
      <alignment horizontal="center" vertical="center"/>
    </xf>
    <xf numFmtId="0" fontId="71" fillId="0" borderId="20" xfId="70" applyFont="1" applyBorder="1" applyAlignment="1">
      <alignment horizontal="center" vertical="center"/>
    </xf>
    <xf numFmtId="0" fontId="70" fillId="0" borderId="79" xfId="70" applyFont="1" applyBorder="1" applyAlignment="1">
      <alignment horizontal="center" vertical="center"/>
    </xf>
    <xf numFmtId="0" fontId="70" fillId="0" borderId="78" xfId="70" applyFont="1" applyBorder="1" applyAlignment="1">
      <alignment horizontal="center" vertical="center"/>
    </xf>
    <xf numFmtId="0" fontId="70" fillId="0" borderId="81" xfId="70" applyFont="1" applyBorder="1" applyAlignment="1">
      <alignment horizontal="center" vertical="center" wrapText="1"/>
    </xf>
    <xf numFmtId="0" fontId="70" fillId="0" borderId="28" xfId="70" applyFont="1" applyBorder="1" applyAlignment="1">
      <alignment horizontal="center" vertical="center" wrapText="1"/>
    </xf>
    <xf numFmtId="0" fontId="70" fillId="0" borderId="80" xfId="70" applyFont="1" applyBorder="1" applyAlignment="1">
      <alignment horizontal="center" vertical="center"/>
    </xf>
    <xf numFmtId="0" fontId="70" fillId="0" borderId="84" xfId="70" applyFont="1" applyBorder="1" applyAlignment="1">
      <alignment horizontal="center" vertical="center"/>
    </xf>
    <xf numFmtId="0" fontId="89" fillId="0" borderId="0" xfId="128" applyFont="1" applyAlignment="1">
      <alignment horizontal="left" vertical="center" wrapText="1"/>
    </xf>
    <xf numFmtId="0" fontId="70" fillId="0" borderId="54" xfId="169" applyFont="1" applyBorder="1" applyAlignment="1">
      <alignment horizontal="center" vertical="center" wrapText="1"/>
    </xf>
    <xf numFmtId="0" fontId="70" fillId="0" borderId="59" xfId="169" applyFont="1" applyBorder="1" applyAlignment="1">
      <alignment horizontal="center" vertical="center" wrapText="1"/>
    </xf>
    <xf numFmtId="0" fontId="71" fillId="0" borderId="15" xfId="150" applyFont="1" applyBorder="1" applyAlignment="1">
      <alignment horizontal="center"/>
    </xf>
    <xf numFmtId="0" fontId="70" fillId="0" borderId="67" xfId="169" applyFont="1" applyBorder="1" applyAlignment="1">
      <alignment horizontal="center" vertical="center"/>
    </xf>
    <xf numFmtId="0" fontId="70" fillId="0" borderId="89" xfId="169" applyFont="1" applyBorder="1" applyAlignment="1">
      <alignment horizontal="center" vertical="center"/>
    </xf>
    <xf numFmtId="0" fontId="71" fillId="0" borderId="88" xfId="150" applyFont="1" applyBorder="1" applyAlignment="1">
      <alignment horizontal="center"/>
    </xf>
    <xf numFmtId="0" fontId="71" fillId="0" borderId="84" xfId="150" applyFont="1" applyBorder="1" applyAlignment="1">
      <alignment horizontal="center"/>
    </xf>
    <xf numFmtId="0" fontId="70" fillId="0" borderId="87" xfId="169" applyFont="1" applyBorder="1" applyAlignment="1">
      <alignment horizontal="center" vertical="center" wrapText="1"/>
    </xf>
    <xf numFmtId="0" fontId="70" fillId="0" borderId="88" xfId="169" applyFont="1" applyBorder="1" applyAlignment="1">
      <alignment horizontal="center" vertical="center" wrapText="1"/>
    </xf>
    <xf numFmtId="0" fontId="70" fillId="0" borderId="14" xfId="169" applyFont="1" applyBorder="1" applyAlignment="1">
      <alignment horizontal="center" vertical="center" wrapText="1"/>
    </xf>
    <xf numFmtId="0" fontId="70" fillId="0" borderId="22" xfId="169" applyFont="1" applyBorder="1" applyAlignment="1">
      <alignment horizontal="center" vertical="center" wrapText="1"/>
    </xf>
    <xf numFmtId="0" fontId="70" fillId="0" borderId="79" xfId="169" applyFont="1" applyBorder="1" applyAlignment="1">
      <alignment horizontal="center" vertical="center" wrapText="1"/>
    </xf>
    <xf numFmtId="0" fontId="70" fillId="0" borderId="83" xfId="169" applyFont="1" applyBorder="1" applyAlignment="1">
      <alignment horizontal="center" vertical="center" wrapText="1"/>
    </xf>
    <xf numFmtId="0" fontId="89" fillId="0" borderId="0" xfId="128" applyFont="1" applyAlignment="1">
      <alignment horizontal="left" wrapText="1"/>
    </xf>
    <xf numFmtId="0" fontId="71" fillId="0" borderId="68" xfId="70" applyFont="1" applyBorder="1" applyAlignment="1">
      <alignment horizontal="center" vertical="center"/>
    </xf>
    <xf numFmtId="0" fontId="71" fillId="0" borderId="13" xfId="70" applyFont="1" applyBorder="1" applyAlignment="1">
      <alignment horizontal="center" vertical="center"/>
    </xf>
    <xf numFmtId="0" fontId="70" fillId="0" borderId="53" xfId="70" applyFont="1" applyBorder="1" applyAlignment="1">
      <alignment horizontal="center" vertical="center"/>
    </xf>
    <xf numFmtId="0" fontId="70" fillId="0" borderId="54" xfId="70" applyFont="1" applyBorder="1" applyAlignment="1">
      <alignment horizontal="center" vertical="center"/>
    </xf>
    <xf numFmtId="0" fontId="70" fillId="0" borderId="14" xfId="70" applyFont="1" applyBorder="1" applyAlignment="1">
      <alignment horizontal="center" vertical="center"/>
    </xf>
    <xf numFmtId="0" fontId="70" fillId="0" borderId="23" xfId="70" applyFont="1" applyBorder="1" applyAlignment="1">
      <alignment horizontal="center" vertical="center"/>
    </xf>
    <xf numFmtId="0" fontId="71" fillId="0" borderId="16" xfId="70" applyFont="1" applyBorder="1" applyAlignment="1">
      <alignment horizontal="center" vertical="center"/>
    </xf>
    <xf numFmtId="0" fontId="71" fillId="0" borderId="11" xfId="70" applyFont="1" applyBorder="1" applyAlignment="1">
      <alignment horizontal="center" vertical="center"/>
    </xf>
    <xf numFmtId="0" fontId="71" fillId="0" borderId="61" xfId="70" applyFont="1" applyBorder="1" applyAlignment="1">
      <alignment horizontal="center" vertical="center"/>
    </xf>
    <xf numFmtId="0" fontId="10" fillId="0" borderId="0" xfId="70" applyFont="1" applyAlignment="1">
      <alignment horizontal="left" vertical="center"/>
    </xf>
    <xf numFmtId="0" fontId="70" fillId="0" borderId="55" xfId="128" applyFont="1" applyBorder="1" applyAlignment="1">
      <alignment horizontal="center" vertical="center"/>
    </xf>
    <xf numFmtId="0" fontId="70" fillId="0" borderId="90" xfId="128" applyFont="1" applyBorder="1" applyAlignment="1">
      <alignment horizontal="center" vertical="center" wrapText="1"/>
    </xf>
    <xf numFmtId="0" fontId="70" fillId="0" borderId="53" xfId="128" applyFont="1" applyBorder="1" applyAlignment="1">
      <alignment horizontal="center" vertical="center"/>
    </xf>
    <xf numFmtId="0" fontId="70" fillId="0" borderId="54" xfId="128" applyFont="1" applyBorder="1" applyAlignment="1">
      <alignment horizontal="center" vertical="center"/>
    </xf>
    <xf numFmtId="0" fontId="70" fillId="0" borderId="69" xfId="79" applyFont="1" applyBorder="1" applyAlignment="1">
      <alignment horizontal="center" vertical="center" wrapText="1"/>
    </xf>
    <xf numFmtId="0" fontId="70" fillId="0" borderId="53" xfId="79" applyFont="1" applyBorder="1" applyAlignment="1">
      <alignment horizontal="center" vertical="center" wrapText="1"/>
    </xf>
    <xf numFmtId="0" fontId="70" fillId="0" borderId="54" xfId="79" applyFont="1" applyBorder="1" applyAlignment="1">
      <alignment horizontal="center" vertical="center" wrapText="1"/>
    </xf>
    <xf numFmtId="0" fontId="71" fillId="0" borderId="60" xfId="79" applyFont="1" applyBorder="1" applyAlignment="1">
      <alignment horizontal="center" vertical="center" wrapText="1"/>
    </xf>
    <xf numFmtId="0" fontId="71" fillId="0" borderId="62" xfId="79" applyFont="1" applyBorder="1" applyAlignment="1">
      <alignment horizontal="center" vertical="center" wrapText="1"/>
    </xf>
    <xf numFmtId="0" fontId="71" fillId="0" borderId="61" xfId="79" applyFont="1" applyBorder="1" applyAlignment="1">
      <alignment horizontal="center" vertical="center" wrapText="1"/>
    </xf>
    <xf numFmtId="0" fontId="70" fillId="0" borderId="52" xfId="79" applyFont="1" applyBorder="1" applyAlignment="1">
      <alignment horizontal="center" vertical="center" wrapText="1"/>
    </xf>
    <xf numFmtId="0" fontId="71" fillId="0" borderId="78" xfId="79" applyFont="1" applyBorder="1" applyAlignment="1">
      <alignment horizontal="center" vertical="center" wrapText="1"/>
    </xf>
    <xf numFmtId="0" fontId="71" fillId="0" borderId="46" xfId="79" applyFont="1" applyBorder="1" applyAlignment="1">
      <alignment horizontal="center" vertical="center" wrapText="1"/>
    </xf>
    <xf numFmtId="0" fontId="70" fillId="0" borderId="67" xfId="79" applyFont="1" applyBorder="1" applyAlignment="1">
      <alignment horizontal="center" vertical="center" wrapText="1"/>
    </xf>
    <xf numFmtId="0" fontId="71" fillId="0" borderId="83" xfId="79" applyFont="1" applyBorder="1" applyAlignment="1">
      <alignment horizontal="center" vertical="center" wrapText="1"/>
    </xf>
    <xf numFmtId="0" fontId="71" fillId="0" borderId="84" xfId="79" applyFont="1" applyBorder="1" applyAlignment="1">
      <alignment horizontal="center" vertical="center" wrapText="1"/>
    </xf>
    <xf numFmtId="0" fontId="71" fillId="0" borderId="88" xfId="79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/>
    </xf>
    <xf numFmtId="0" fontId="70" fillId="0" borderId="79" xfId="0" applyFont="1" applyBorder="1" applyAlignment="1">
      <alignment horizontal="center" vertical="center"/>
    </xf>
    <xf numFmtId="0" fontId="70" fillId="0" borderId="78" xfId="0" applyFont="1" applyBorder="1" applyAlignment="1">
      <alignment horizontal="center" vertical="center"/>
    </xf>
    <xf numFmtId="0" fontId="70" fillId="0" borderId="81" xfId="0" applyFont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80" xfId="0" applyFont="1" applyBorder="1" applyAlignment="1">
      <alignment horizontal="center" vertical="center"/>
    </xf>
    <xf numFmtId="0" fontId="70" fillId="0" borderId="84" xfId="0" applyFont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20" xfId="0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/>
    </xf>
    <xf numFmtId="0" fontId="70" fillId="0" borderId="50" xfId="0" applyFont="1" applyBorder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0" fontId="70" fillId="0" borderId="67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52" xfId="150" applyFont="1" applyBorder="1" applyAlignment="1">
      <alignment horizontal="center" vertical="center" wrapText="1"/>
    </xf>
    <xf numFmtId="0" fontId="70" fillId="0" borderId="58" xfId="150" applyFont="1" applyBorder="1" applyAlignment="1">
      <alignment horizontal="center" vertical="center" wrapText="1"/>
    </xf>
    <xf numFmtId="0" fontId="70" fillId="0" borderId="53" xfId="150" applyFont="1" applyBorder="1" applyAlignment="1">
      <alignment horizontal="center" vertical="center" wrapText="1"/>
    </xf>
    <xf numFmtId="0" fontId="70" fillId="0" borderId="41" xfId="150" applyFont="1" applyBorder="1" applyAlignment="1">
      <alignment horizontal="center" vertical="center" wrapText="1"/>
    </xf>
    <xf numFmtId="0" fontId="70" fillId="0" borderId="67" xfId="150" applyFont="1" applyBorder="1" applyAlignment="1">
      <alignment horizontal="center" vertical="center" wrapText="1"/>
    </xf>
    <xf numFmtId="0" fontId="70" fillId="0" borderId="44" xfId="150" applyFont="1" applyBorder="1" applyAlignment="1">
      <alignment horizontal="center" vertical="center" wrapText="1"/>
    </xf>
    <xf numFmtId="0" fontId="70" fillId="0" borderId="54" xfId="150" applyFont="1" applyBorder="1" applyAlignment="1">
      <alignment horizontal="center" vertical="center" wrapText="1"/>
    </xf>
    <xf numFmtId="0" fontId="70" fillId="0" borderId="59" xfId="150" applyFont="1" applyBorder="1" applyAlignment="1">
      <alignment horizontal="center" vertical="center" wrapText="1"/>
    </xf>
    <xf numFmtId="0" fontId="71" fillId="0" borderId="83" xfId="150" applyFont="1" applyBorder="1" applyAlignment="1">
      <alignment horizontal="center"/>
    </xf>
    <xf numFmtId="0" fontId="89" fillId="0" borderId="0" xfId="74" applyFont="1" applyBorder="1" applyAlignment="1">
      <alignment horizontal="left" vertical="center" wrapText="1"/>
    </xf>
    <xf numFmtId="0" fontId="89" fillId="0" borderId="0" xfId="74" applyFont="1" applyBorder="1" applyAlignment="1">
      <alignment horizontal="left" vertical="center"/>
    </xf>
    <xf numFmtId="0" fontId="70" fillId="0" borderId="14" xfId="74" applyFont="1" applyBorder="1" applyAlignment="1">
      <alignment horizontal="center" vertical="center"/>
    </xf>
    <xf numFmtId="0" fontId="70" fillId="0" borderId="23" xfId="74" applyFont="1" applyBorder="1" applyAlignment="1">
      <alignment horizontal="center" vertical="center"/>
    </xf>
    <xf numFmtId="0" fontId="71" fillId="0" borderId="0" xfId="74" applyFont="1" applyAlignment="1">
      <alignment horizontal="left" wrapText="1"/>
    </xf>
    <xf numFmtId="0" fontId="71" fillId="0" borderId="21" xfId="74" applyFont="1" applyBorder="1" applyAlignment="1">
      <alignment horizontal="center" vertical="center"/>
    </xf>
    <xf numFmtId="0" fontId="71" fillId="0" borderId="20" xfId="74" applyFont="1" applyBorder="1" applyAlignment="1">
      <alignment horizontal="center" vertical="center"/>
    </xf>
    <xf numFmtId="0" fontId="89" fillId="0" borderId="0" xfId="74" applyFont="1" applyBorder="1" applyAlignment="1">
      <alignment horizontal="left" wrapText="1"/>
    </xf>
    <xf numFmtId="0" fontId="89" fillId="0" borderId="0" xfId="74" applyFont="1" applyBorder="1" applyAlignment="1">
      <alignment horizontal="left"/>
    </xf>
    <xf numFmtId="0" fontId="70" fillId="0" borderId="17" xfId="74" applyFont="1" applyBorder="1" applyAlignment="1">
      <alignment horizontal="center" vertical="center"/>
    </xf>
    <xf numFmtId="0" fontId="70" fillId="0" borderId="15" xfId="74" applyFont="1" applyBorder="1" applyAlignment="1">
      <alignment horizontal="center" vertical="center"/>
    </xf>
    <xf numFmtId="0" fontId="88" fillId="0" borderId="72" xfId="0" applyFont="1" applyFill="1" applyBorder="1" applyAlignment="1">
      <alignment horizontal="center" vertical="center"/>
    </xf>
    <xf numFmtId="0" fontId="87" fillId="0" borderId="61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89" fillId="0" borderId="0" xfId="74" applyFont="1" applyFill="1" applyAlignment="1">
      <alignment horizontal="left" vertical="center"/>
    </xf>
    <xf numFmtId="0" fontId="70" fillId="0" borderId="51" xfId="0" applyFont="1" applyFill="1" applyBorder="1" applyAlignment="1">
      <alignment horizontal="center" vertical="center" wrapText="1"/>
    </xf>
    <xf numFmtId="0" fontId="70" fillId="0" borderId="47" xfId="0" applyFont="1" applyFill="1" applyBorder="1" applyAlignment="1">
      <alignment horizontal="center" vertical="center"/>
    </xf>
    <xf numFmtId="0" fontId="70" fillId="0" borderId="47" xfId="0" applyFont="1" applyFill="1" applyBorder="1" applyAlignment="1">
      <alignment horizontal="center" vertical="center" wrapText="1"/>
    </xf>
    <xf numFmtId="0" fontId="70" fillId="0" borderId="90" xfId="0" applyFont="1" applyFill="1" applyBorder="1" applyAlignment="1">
      <alignment horizontal="center" vertical="center" wrapText="1"/>
    </xf>
    <xf numFmtId="0" fontId="70" fillId="0" borderId="55" xfId="0" applyFont="1" applyFill="1" applyBorder="1" applyAlignment="1">
      <alignment horizontal="center" vertical="center" wrapText="1"/>
    </xf>
    <xf numFmtId="0" fontId="88" fillId="0" borderId="91" xfId="0" applyFont="1" applyFill="1" applyBorder="1" applyAlignment="1">
      <alignment horizontal="center" vertical="center" wrapText="1"/>
    </xf>
    <xf numFmtId="0" fontId="90" fillId="0" borderId="11" xfId="0" applyFont="1" applyFill="1" applyBorder="1" applyAlignment="1">
      <alignment horizontal="center" vertical="center"/>
    </xf>
    <xf numFmtId="4" fontId="87" fillId="0" borderId="25" xfId="0" applyNumberFormat="1" applyFont="1" applyFill="1" applyBorder="1" applyAlignment="1">
      <alignment horizontal="right" vertical="center" wrapText="1"/>
    </xf>
    <xf numFmtId="0" fontId="71" fillId="0" borderId="26" xfId="0" applyFont="1" applyFill="1" applyBorder="1" applyAlignment="1">
      <alignment horizontal="right" vertical="center" wrapText="1"/>
    </xf>
    <xf numFmtId="4" fontId="87" fillId="0" borderId="26" xfId="0" applyNumberFormat="1" applyFont="1" applyFill="1" applyBorder="1" applyAlignment="1">
      <alignment horizontal="right" vertical="center" wrapText="1"/>
    </xf>
    <xf numFmtId="0" fontId="70" fillId="0" borderId="75" xfId="0" applyFont="1" applyFill="1" applyBorder="1" applyAlignment="1">
      <alignment horizontal="center" vertical="center" wrapText="1"/>
    </xf>
    <xf numFmtId="0" fontId="70" fillId="0" borderId="72" xfId="0" applyFont="1" applyFill="1" applyBorder="1" applyAlignment="1">
      <alignment horizontal="center" vertical="center" wrapText="1"/>
    </xf>
    <xf numFmtId="0" fontId="71" fillId="0" borderId="60" xfId="0" applyFont="1" applyFill="1" applyBorder="1" applyAlignment="1">
      <alignment horizontal="center" vertical="top" wrapText="1"/>
    </xf>
    <xf numFmtId="0" fontId="71" fillId="0" borderId="63" xfId="0" applyFont="1" applyFill="1" applyBorder="1" applyAlignment="1">
      <alignment horizontal="center" vertical="top" wrapText="1"/>
    </xf>
    <xf numFmtId="0" fontId="71" fillId="0" borderId="60" xfId="0" applyFont="1" applyFill="1" applyBorder="1" applyAlignment="1">
      <alignment horizontal="center" vertical="center" wrapText="1"/>
    </xf>
    <xf numFmtId="0" fontId="71" fillId="0" borderId="68" xfId="0" applyFont="1" applyFill="1" applyBorder="1" applyAlignment="1">
      <alignment horizontal="center" vertical="center" wrapText="1"/>
    </xf>
    <xf numFmtId="4" fontId="87" fillId="0" borderId="41" xfId="0" applyNumberFormat="1" applyFont="1" applyFill="1" applyBorder="1" applyAlignment="1">
      <alignment horizontal="right" vertical="center" wrapText="1"/>
    </xf>
    <xf numFmtId="4" fontId="87" fillId="0" borderId="44" xfId="0" applyNumberFormat="1" applyFont="1" applyFill="1" applyBorder="1" applyAlignment="1">
      <alignment horizontal="right" vertical="center" wrapText="1"/>
    </xf>
    <xf numFmtId="4" fontId="88" fillId="0" borderId="0" xfId="0" applyNumberFormat="1" applyFont="1" applyFill="1" applyBorder="1" applyAlignment="1">
      <alignment horizontal="right" vertical="center" wrapText="1"/>
    </xf>
    <xf numFmtId="0" fontId="70" fillId="0" borderId="89" xfId="89" applyFont="1" applyFill="1" applyBorder="1" applyAlignment="1">
      <alignment horizontal="center" vertical="center" wrapText="1"/>
    </xf>
    <xf numFmtId="0" fontId="70" fillId="0" borderId="93" xfId="89" applyFont="1" applyFill="1" applyBorder="1" applyAlignment="1">
      <alignment horizontal="center" vertical="center" wrapText="1"/>
    </xf>
    <xf numFmtId="0" fontId="70" fillId="0" borderId="66" xfId="89" applyFont="1" applyFill="1" applyBorder="1" applyAlignment="1">
      <alignment horizontal="center" vertical="center" wrapText="1"/>
    </xf>
    <xf numFmtId="4" fontId="71" fillId="0" borderId="61" xfId="89" applyNumberFormat="1" applyFont="1" applyFill="1" applyBorder="1" applyAlignment="1">
      <alignment horizontal="center" vertical="center" wrapText="1"/>
    </xf>
    <xf numFmtId="4" fontId="71" fillId="0" borderId="62" xfId="89" applyNumberFormat="1" applyFont="1" applyFill="1" applyBorder="1" applyAlignment="1">
      <alignment horizontal="center" vertical="center" wrapText="1"/>
    </xf>
    <xf numFmtId="0" fontId="71" fillId="0" borderId="62" xfId="0" applyFont="1" applyFill="1" applyBorder="1" applyAlignment="1">
      <alignment horizontal="center" vertical="center" wrapText="1"/>
    </xf>
    <xf numFmtId="0" fontId="71" fillId="0" borderId="63" xfId="0" applyFont="1" applyFill="1" applyBorder="1" applyAlignment="1">
      <alignment horizontal="center" vertical="center" wrapText="1"/>
    </xf>
    <xf numFmtId="0" fontId="70" fillId="0" borderId="90" xfId="89" applyNumberFormat="1" applyFont="1" applyFill="1" applyBorder="1" applyAlignment="1">
      <alignment horizontal="center" vertical="center" wrapText="1"/>
    </xf>
    <xf numFmtId="0" fontId="71" fillId="0" borderId="61" xfId="89" applyFont="1" applyFill="1" applyBorder="1" applyAlignment="1">
      <alignment horizontal="center" vertical="center" wrapText="1"/>
    </xf>
    <xf numFmtId="0" fontId="70" fillId="0" borderId="90" xfId="89" applyFont="1" applyFill="1" applyBorder="1" applyAlignment="1">
      <alignment horizontal="center" vertical="center" wrapText="1"/>
    </xf>
    <xf numFmtId="0" fontId="70" fillId="0" borderId="59" xfId="89" applyNumberFormat="1" applyFont="1" applyFill="1" applyBorder="1" applyAlignment="1">
      <alignment horizontal="center" vertical="center" wrapText="1"/>
    </xf>
    <xf numFmtId="0" fontId="71" fillId="0" borderId="62" xfId="89" applyFont="1" applyFill="1" applyBorder="1" applyAlignment="1">
      <alignment horizontal="center" vertical="center" wrapText="1"/>
    </xf>
    <xf numFmtId="0" fontId="71" fillId="0" borderId="63" xfId="89" applyFont="1" applyFill="1" applyBorder="1" applyAlignment="1">
      <alignment horizontal="center" vertical="center" wrapText="1"/>
    </xf>
    <xf numFmtId="0" fontId="70" fillId="0" borderId="55" xfId="89" applyFont="1" applyFill="1" applyBorder="1" applyAlignment="1">
      <alignment horizontal="center" vertical="center" wrapText="1"/>
    </xf>
    <xf numFmtId="0" fontId="70" fillId="0" borderId="91" xfId="89" applyFont="1" applyFill="1" applyBorder="1" applyAlignment="1">
      <alignment horizontal="center" vertical="center" wrapText="1"/>
    </xf>
    <xf numFmtId="0" fontId="88" fillId="0" borderId="70" xfId="0" applyFont="1" applyFill="1" applyBorder="1" applyAlignment="1">
      <alignment horizontal="center" vertical="center"/>
    </xf>
    <xf numFmtId="0" fontId="70" fillId="0" borderId="42" xfId="0" applyFont="1" applyFill="1" applyBorder="1" applyAlignment="1">
      <alignment horizontal="center" vertical="center" wrapText="1"/>
    </xf>
    <xf numFmtId="0" fontId="70" fillId="0" borderId="40" xfId="0" applyFont="1" applyFill="1" applyBorder="1" applyAlignment="1">
      <alignment horizontal="center" vertical="center" wrapText="1"/>
    </xf>
    <xf numFmtId="0" fontId="70" fillId="0" borderId="29" xfId="0" applyFont="1" applyFill="1" applyBorder="1" applyAlignment="1">
      <alignment horizontal="center" vertical="center" wrapText="1"/>
    </xf>
    <xf numFmtId="0" fontId="70" fillId="0" borderId="49" xfId="0" applyFont="1" applyFill="1" applyBorder="1" applyAlignment="1">
      <alignment horizontal="center" vertical="center" wrapText="1"/>
    </xf>
    <xf numFmtId="0" fontId="88" fillId="0" borderId="29" xfId="0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center" vertical="center" wrapText="1"/>
    </xf>
    <xf numFmtId="0" fontId="88" fillId="0" borderId="90" xfId="0" applyFont="1" applyFill="1" applyBorder="1" applyAlignment="1">
      <alignment horizontal="center" vertical="center" wrapText="1"/>
    </xf>
    <xf numFmtId="4" fontId="87" fillId="0" borderId="47" xfId="0" applyNumberFormat="1" applyFont="1" applyFill="1" applyBorder="1" applyAlignment="1">
      <alignment horizontal="right" vertical="center" wrapText="1"/>
    </xf>
    <xf numFmtId="4" fontId="87" fillId="0" borderId="91" xfId="0" applyNumberFormat="1" applyFont="1" applyFill="1" applyBorder="1" applyAlignment="1">
      <alignment horizontal="right" vertical="center" wrapText="1"/>
    </xf>
    <xf numFmtId="0" fontId="71" fillId="0" borderId="48" xfId="0" applyFont="1" applyFill="1" applyBorder="1" applyAlignment="1">
      <alignment horizontal="center" vertical="center"/>
    </xf>
    <xf numFmtId="0" fontId="71" fillId="0" borderId="46" xfId="0" applyFont="1" applyFill="1" applyBorder="1" applyAlignment="1">
      <alignment horizontal="center" vertical="center"/>
    </xf>
    <xf numFmtId="0" fontId="71" fillId="0" borderId="28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horizontal="center" vertical="center" wrapText="1"/>
    </xf>
    <xf numFmtId="0" fontId="71" fillId="0" borderId="60" xfId="89" applyFont="1" applyFill="1" applyBorder="1" applyAlignment="1">
      <alignment horizontal="center" vertical="center" wrapText="1"/>
    </xf>
    <xf numFmtId="0" fontId="70" fillId="0" borderId="0" xfId="89" applyFont="1" applyFill="1" applyBorder="1" applyAlignment="1">
      <alignment horizontal="left" vertical="center" wrapText="1"/>
    </xf>
    <xf numFmtId="0" fontId="70" fillId="0" borderId="70" xfId="89" applyFont="1" applyFill="1" applyBorder="1" applyAlignment="1">
      <alignment horizontal="center" vertical="center" wrapText="1"/>
    </xf>
    <xf numFmtId="0" fontId="70" fillId="0" borderId="42" xfId="89" applyFont="1" applyFill="1" applyBorder="1" applyAlignment="1">
      <alignment horizontal="center" vertical="center" wrapText="1"/>
    </xf>
    <xf numFmtId="0" fontId="70" fillId="0" borderId="40" xfId="89" applyFont="1" applyFill="1" applyBorder="1" applyAlignment="1">
      <alignment horizontal="center" vertical="center" wrapText="1"/>
    </xf>
    <xf numFmtId="0" fontId="70" fillId="0" borderId="29" xfId="89" applyFont="1" applyFill="1" applyBorder="1" applyAlignment="1">
      <alignment horizontal="center" vertical="center" wrapText="1"/>
    </xf>
    <xf numFmtId="0" fontId="70" fillId="0" borderId="49" xfId="89" applyFont="1" applyFill="1" applyBorder="1" applyAlignment="1">
      <alignment horizontal="center" vertical="center" wrapText="1"/>
    </xf>
    <xf numFmtId="0" fontId="70" fillId="0" borderId="56" xfId="89" applyFont="1" applyFill="1" applyBorder="1" applyAlignment="1">
      <alignment horizontal="center" vertical="center" wrapText="1"/>
    </xf>
    <xf numFmtId="4" fontId="71" fillId="0" borderId="60" xfId="89" applyNumberFormat="1" applyFont="1" applyFill="1" applyBorder="1" applyAlignment="1">
      <alignment horizontal="center" vertical="center" wrapText="1"/>
    </xf>
    <xf numFmtId="4" fontId="87" fillId="0" borderId="10" xfId="0" applyNumberFormat="1" applyFont="1" applyFill="1" applyBorder="1" applyAlignment="1">
      <alignment horizontal="right" vertical="center"/>
    </xf>
    <xf numFmtId="4" fontId="88" fillId="0" borderId="10" xfId="0" applyNumberFormat="1" applyFont="1" applyFill="1" applyBorder="1" applyAlignment="1">
      <alignment horizontal="right" vertical="center" wrapText="1"/>
    </xf>
    <xf numFmtId="0" fontId="88" fillId="0" borderId="14" xfId="0" applyFont="1" applyFill="1" applyBorder="1" applyAlignment="1">
      <alignment horizontal="center" vertical="center"/>
    </xf>
    <xf numFmtId="0" fontId="88" fillId="0" borderId="22" xfId="0" applyFont="1" applyFill="1" applyBorder="1" applyAlignment="1">
      <alignment horizontal="center" vertical="center"/>
    </xf>
    <xf numFmtId="0" fontId="87" fillId="0" borderId="11" xfId="0" applyFont="1" applyFill="1" applyBorder="1" applyAlignment="1">
      <alignment horizontal="center" vertical="center"/>
    </xf>
    <xf numFmtId="0" fontId="87" fillId="0" borderId="16" xfId="0" applyFont="1" applyFill="1" applyBorder="1" applyAlignment="1">
      <alignment horizontal="center" vertical="center"/>
    </xf>
    <xf numFmtId="0" fontId="87" fillId="0" borderId="1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 wrapText="1"/>
    </xf>
    <xf numFmtId="4" fontId="70" fillId="0" borderId="10" xfId="0" applyNumberFormat="1" applyFont="1" applyFill="1" applyBorder="1" applyAlignment="1">
      <alignment horizontal="right" vertical="center"/>
    </xf>
    <xf numFmtId="0" fontId="71" fillId="0" borderId="10" xfId="0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center" vertical="top" wrapText="1"/>
    </xf>
    <xf numFmtId="4" fontId="87" fillId="0" borderId="10" xfId="0" applyNumberFormat="1" applyFont="1" applyFill="1" applyBorder="1" applyAlignment="1">
      <alignment horizontal="right" vertical="center" wrapText="1"/>
    </xf>
    <xf numFmtId="0" fontId="71" fillId="0" borderId="10" xfId="0" applyFont="1" applyFill="1" applyBorder="1" applyAlignment="1">
      <alignment horizontal="right" vertical="center" wrapText="1"/>
    </xf>
    <xf numFmtId="0" fontId="89" fillId="0" borderId="0" xfId="74" applyFont="1" applyFill="1" applyBorder="1" applyAlignment="1">
      <alignment horizontal="left" vertical="center"/>
    </xf>
    <xf numFmtId="0" fontId="90" fillId="0" borderId="10" xfId="0" applyFont="1" applyFill="1" applyBorder="1" applyAlignment="1">
      <alignment horizontal="center" vertical="center"/>
    </xf>
    <xf numFmtId="0" fontId="87" fillId="0" borderId="10" xfId="0" applyFont="1" applyFill="1" applyBorder="1" applyAlignment="1">
      <alignment horizontal="center" vertical="center"/>
    </xf>
    <xf numFmtId="0" fontId="70" fillId="0" borderId="10" xfId="89" applyFont="1" applyFill="1" applyBorder="1" applyAlignment="1">
      <alignment horizontal="center" vertical="center" wrapText="1"/>
    </xf>
    <xf numFmtId="0" fontId="90" fillId="0" borderId="10" xfId="89" applyFont="1" applyFill="1" applyBorder="1" applyAlignment="1">
      <alignment horizontal="center" vertical="center" wrapText="1"/>
    </xf>
    <xf numFmtId="0" fontId="71" fillId="0" borderId="10" xfId="89" applyFont="1" applyFill="1" applyBorder="1" applyAlignment="1">
      <alignment horizontal="center" vertical="center" wrapText="1"/>
    </xf>
    <xf numFmtId="4" fontId="71" fillId="0" borderId="10" xfId="89" applyNumberFormat="1" applyFont="1" applyFill="1" applyBorder="1" applyAlignment="1">
      <alignment horizontal="center" vertical="center" wrapText="1"/>
    </xf>
    <xf numFmtId="0" fontId="70" fillId="0" borderId="10" xfId="89" applyNumberFormat="1" applyFont="1" applyFill="1" applyBorder="1" applyAlignment="1">
      <alignment horizontal="center" vertical="center" wrapText="1"/>
    </xf>
    <xf numFmtId="0" fontId="71" fillId="0" borderId="10" xfId="89" applyFont="1" applyFill="1" applyBorder="1" applyAlignment="1">
      <alignment horizontal="left" vertical="center" wrapText="1"/>
    </xf>
    <xf numFmtId="0" fontId="70" fillId="0" borderId="64" xfId="150" applyFont="1" applyBorder="1" applyAlignment="1">
      <alignment horizontal="center" vertical="center" wrapText="1"/>
    </xf>
    <xf numFmtId="0" fontId="70" fillId="0" borderId="52" xfId="312" applyFont="1" applyBorder="1" applyAlignment="1">
      <alignment horizontal="center" vertical="center"/>
    </xf>
    <xf numFmtId="0" fontId="70" fillId="0" borderId="53" xfId="312" applyFont="1" applyBorder="1" applyAlignment="1">
      <alignment horizontal="center" vertical="center"/>
    </xf>
    <xf numFmtId="3" fontId="70" fillId="0" borderId="54" xfId="312" applyNumberFormat="1" applyFont="1" applyBorder="1" applyAlignment="1">
      <alignment horizontal="center" vertical="center" wrapText="1"/>
    </xf>
    <xf numFmtId="3" fontId="70" fillId="0" borderId="91" xfId="312" applyNumberFormat="1" applyFont="1" applyBorder="1" applyAlignment="1">
      <alignment horizontal="center" vertical="center" wrapText="1"/>
    </xf>
    <xf numFmtId="0" fontId="70" fillId="0" borderId="69" xfId="312" applyFont="1" applyBorder="1" applyAlignment="1">
      <alignment horizontal="center" vertical="center"/>
    </xf>
    <xf numFmtId="3" fontId="70" fillId="0" borderId="52" xfId="312" applyNumberFormat="1" applyFont="1" applyBorder="1" applyAlignment="1">
      <alignment horizontal="center" vertical="center" wrapText="1"/>
    </xf>
    <xf numFmtId="3" fontId="70" fillId="0" borderId="55" xfId="312" applyNumberFormat="1" applyFont="1" applyBorder="1" applyAlignment="1">
      <alignment horizontal="center" vertical="center" wrapText="1"/>
    </xf>
    <xf numFmtId="3" fontId="70" fillId="0" borderId="89" xfId="312" applyNumberFormat="1" applyFont="1" applyBorder="1" applyAlignment="1">
      <alignment horizontal="center" vertical="center" wrapText="1"/>
    </xf>
    <xf numFmtId="3" fontId="70" fillId="0" borderId="95" xfId="312" applyNumberFormat="1" applyFont="1" applyBorder="1" applyAlignment="1">
      <alignment horizontal="center" vertical="center" wrapText="1"/>
    </xf>
    <xf numFmtId="0" fontId="71" fillId="0" borderId="60" xfId="312" applyFont="1" applyBorder="1" applyAlignment="1">
      <alignment horizontal="center" vertical="center"/>
    </xf>
    <xf numFmtId="0" fontId="71" fillId="0" borderId="62" xfId="312" applyFont="1" applyBorder="1" applyAlignment="1">
      <alignment horizontal="center" vertical="center"/>
    </xf>
    <xf numFmtId="0" fontId="71" fillId="0" borderId="61" xfId="312" applyFont="1" applyBorder="1" applyAlignment="1">
      <alignment horizontal="center" vertical="center"/>
    </xf>
    <xf numFmtId="0" fontId="71" fillId="0" borderId="63" xfId="312" applyFont="1" applyBorder="1" applyAlignment="1">
      <alignment horizontal="center" vertical="center"/>
    </xf>
    <xf numFmtId="3" fontId="70" fillId="0" borderId="67" xfId="312" applyNumberFormat="1" applyFont="1" applyBorder="1" applyAlignment="1">
      <alignment horizontal="center" vertical="center" wrapText="1"/>
    </xf>
    <xf numFmtId="3" fontId="70" fillId="0" borderId="90" xfId="312" applyNumberFormat="1" applyFont="1" applyBorder="1" applyAlignment="1">
      <alignment horizontal="center" vertical="center" wrapText="1"/>
    </xf>
    <xf numFmtId="0" fontId="89" fillId="0" borderId="0" xfId="80" applyFont="1" applyAlignment="1">
      <alignment horizontal="left" vertical="center" wrapText="1"/>
    </xf>
    <xf numFmtId="0" fontId="69" fillId="0" borderId="0" xfId="80" applyFont="1" applyAlignment="1">
      <alignment horizontal="left" vertical="center" wrapText="1"/>
    </xf>
    <xf numFmtId="0" fontId="69" fillId="0" borderId="0" xfId="80" applyFont="1" applyAlignment="1">
      <alignment horizontal="left" wrapText="1"/>
    </xf>
    <xf numFmtId="0" fontId="70" fillId="0" borderId="17" xfId="64" applyFont="1" applyBorder="1" applyAlignment="1">
      <alignment horizontal="center" vertical="center" wrapText="1"/>
    </xf>
    <xf numFmtId="0" fontId="70" fillId="0" borderId="21" xfId="64" applyFont="1" applyBorder="1" applyAlignment="1">
      <alignment horizontal="center" vertical="center" wrapText="1"/>
    </xf>
    <xf numFmtId="0" fontId="70" fillId="0" borderId="15" xfId="64" applyFont="1" applyBorder="1" applyAlignment="1">
      <alignment horizontal="center" vertical="center" wrapText="1"/>
    </xf>
    <xf numFmtId="0" fontId="70" fillId="0" borderId="16" xfId="64" applyFont="1" applyBorder="1" applyAlignment="1">
      <alignment horizontal="center" vertical="center" wrapText="1"/>
    </xf>
    <xf numFmtId="0" fontId="70" fillId="0" borderId="60" xfId="64" applyFont="1" applyBorder="1" applyAlignment="1">
      <alignment horizontal="center" vertical="center" wrapText="1"/>
    </xf>
    <xf numFmtId="0" fontId="70" fillId="0" borderId="13" xfId="64" applyFont="1" applyBorder="1" applyAlignment="1">
      <alignment horizontal="center" vertical="center" wrapText="1"/>
    </xf>
    <xf numFmtId="0" fontId="70" fillId="0" borderId="62" xfId="64" applyFont="1" applyBorder="1" applyAlignment="1">
      <alignment horizontal="center" vertical="center" wrapText="1"/>
    </xf>
    <xf numFmtId="0" fontId="70" fillId="0" borderId="63" xfId="64" applyFont="1" applyBorder="1" applyAlignment="1">
      <alignment horizontal="center" vertical="center" wrapText="1"/>
    </xf>
    <xf numFmtId="0" fontId="71" fillId="0" borderId="10" xfId="64" applyFont="1" applyBorder="1" applyAlignment="1">
      <alignment horizontal="center" vertical="center" wrapText="1"/>
    </xf>
    <xf numFmtId="0" fontId="71" fillId="0" borderId="22" xfId="64" applyFont="1" applyBorder="1" applyAlignment="1">
      <alignment horizontal="center" wrapText="1"/>
    </xf>
    <xf numFmtId="0" fontId="70" fillId="0" borderId="79" xfId="128" applyFont="1" applyBorder="1" applyAlignment="1">
      <alignment horizontal="center" vertical="center"/>
    </xf>
    <xf numFmtId="0" fontId="70" fillId="0" borderId="78" xfId="128" applyFont="1" applyBorder="1" applyAlignment="1">
      <alignment horizontal="center" vertical="center"/>
    </xf>
    <xf numFmtId="0" fontId="70" fillId="0" borderId="83" xfId="128" applyFont="1" applyBorder="1" applyAlignment="1">
      <alignment horizontal="center" vertical="center"/>
    </xf>
    <xf numFmtId="0" fontId="70" fillId="0" borderId="81" xfId="128" applyFont="1" applyBorder="1" applyAlignment="1">
      <alignment horizontal="center" vertical="center" wrapText="1"/>
    </xf>
    <xf numFmtId="0" fontId="70" fillId="0" borderId="28" xfId="128" applyFont="1" applyBorder="1" applyAlignment="1">
      <alignment horizontal="center" vertical="center" wrapText="1"/>
    </xf>
    <xf numFmtId="0" fontId="70" fillId="0" borderId="94" xfId="128" applyFont="1" applyBorder="1" applyAlignment="1">
      <alignment horizontal="center" vertical="center" wrapText="1"/>
    </xf>
    <xf numFmtId="0" fontId="71" fillId="0" borderId="16" xfId="128" applyFont="1" applyBorder="1" applyAlignment="1">
      <alignment horizontal="center" vertical="center"/>
    </xf>
    <xf numFmtId="0" fontId="71" fillId="0" borderId="11" xfId="128" applyFont="1" applyBorder="1" applyAlignment="1">
      <alignment horizontal="center" vertical="center"/>
    </xf>
    <xf numFmtId="0" fontId="71" fillId="0" borderId="13" xfId="128" applyFont="1" applyBorder="1" applyAlignment="1">
      <alignment horizontal="center" vertical="center"/>
    </xf>
    <xf numFmtId="0" fontId="70" fillId="0" borderId="80" xfId="128" applyFont="1" applyBorder="1" applyAlignment="1">
      <alignment horizontal="center" vertical="center"/>
    </xf>
    <xf numFmtId="0" fontId="70" fillId="0" borderId="46" xfId="128" applyFont="1" applyBorder="1" applyAlignment="1">
      <alignment horizontal="center" vertical="center"/>
    </xf>
    <xf numFmtId="0" fontId="70" fillId="0" borderId="60" xfId="75" applyFont="1" applyBorder="1" applyAlignment="1">
      <alignment horizontal="center"/>
    </xf>
    <xf numFmtId="0" fontId="70" fillId="0" borderId="68" xfId="75" applyFont="1" applyBorder="1" applyAlignment="1">
      <alignment horizontal="center"/>
    </xf>
    <xf numFmtId="168" fontId="71" fillId="0" borderId="0" xfId="186" applyNumberFormat="1" applyFont="1" applyAlignment="1">
      <alignment horizontal="left" vertical="center" wrapText="1"/>
    </xf>
    <xf numFmtId="0" fontId="89" fillId="0" borderId="0" xfId="75" applyFont="1" applyBorder="1" applyAlignment="1">
      <alignment horizontal="left" vertical="center" wrapText="1"/>
    </xf>
    <xf numFmtId="0" fontId="70" fillId="0" borderId="52" xfId="75" applyFont="1" applyBorder="1" applyAlignment="1">
      <alignment horizontal="center" vertical="center"/>
    </xf>
    <xf numFmtId="0" fontId="70" fillId="0" borderId="50" xfId="75" applyFont="1" applyBorder="1" applyAlignment="1">
      <alignment horizontal="center" vertical="center"/>
    </xf>
    <xf numFmtId="0" fontId="70" fillId="0" borderId="55" xfId="75" applyFont="1" applyBorder="1" applyAlignment="1">
      <alignment horizontal="center" vertical="center"/>
    </xf>
    <xf numFmtId="0" fontId="70" fillId="0" borderId="67" xfId="75" applyFont="1" applyBorder="1" applyAlignment="1">
      <alignment horizontal="center" vertical="center"/>
    </xf>
    <xf numFmtId="0" fontId="70" fillId="0" borderId="26" xfId="75" applyFont="1" applyBorder="1" applyAlignment="1">
      <alignment horizontal="center" vertical="center"/>
    </xf>
    <xf numFmtId="0" fontId="70" fillId="0" borderId="90" xfId="75" applyFont="1" applyBorder="1" applyAlignment="1">
      <alignment horizontal="center" vertical="center"/>
    </xf>
    <xf numFmtId="0" fontId="70" fillId="0" borderId="60" xfId="75" applyFont="1" applyBorder="1" applyAlignment="1">
      <alignment horizontal="center" vertical="center"/>
    </xf>
    <xf numFmtId="0" fontId="70" fillId="0" borderId="62" xfId="75" applyFont="1" applyBorder="1" applyAlignment="1">
      <alignment horizontal="center" vertical="center"/>
    </xf>
    <xf numFmtId="0" fontId="70" fillId="0" borderId="63" xfId="75" applyFont="1" applyBorder="1" applyAlignment="1">
      <alignment horizontal="center" vertical="center"/>
    </xf>
    <xf numFmtId="0" fontId="70" fillId="0" borderId="49" xfId="75" applyFont="1" applyBorder="1" applyAlignment="1">
      <alignment horizontal="center" vertical="center" wrapText="1"/>
    </xf>
    <xf numFmtId="0" fontId="70" fillId="0" borderId="58" xfId="75" applyFont="1" applyBorder="1" applyAlignment="1">
      <alignment horizontal="center" vertical="center" wrapText="1"/>
    </xf>
    <xf numFmtId="0" fontId="70" fillId="0" borderId="42" xfId="75" applyFont="1" applyBorder="1" applyAlignment="1">
      <alignment horizontal="center" vertical="center"/>
    </xf>
    <xf numFmtId="0" fontId="70" fillId="0" borderId="29" xfId="75" applyFont="1" applyBorder="1" applyAlignment="1">
      <alignment horizontal="center" vertical="center"/>
    </xf>
    <xf numFmtId="0" fontId="70" fillId="0" borderId="70" xfId="186" applyFont="1" applyBorder="1" applyAlignment="1">
      <alignment horizontal="center" vertical="center" wrapText="1"/>
    </xf>
    <xf numFmtId="0" fontId="70" fillId="0" borderId="72" xfId="186" applyFont="1" applyBorder="1" applyAlignment="1">
      <alignment horizontal="center" vertical="center" wrapText="1"/>
    </xf>
    <xf numFmtId="0" fontId="70" fillId="0" borderId="92" xfId="75" applyFont="1" applyBorder="1" applyAlignment="1">
      <alignment horizontal="center" vertical="center" wrapText="1"/>
    </xf>
    <xf numFmtId="0" fontId="70" fillId="0" borderId="95" xfId="75" applyFont="1" applyBorder="1" applyAlignment="1">
      <alignment horizontal="center" vertical="center" wrapText="1"/>
    </xf>
    <xf numFmtId="0" fontId="71" fillId="0" borderId="60" xfId="75" applyFont="1" applyBorder="1" applyAlignment="1">
      <alignment horizontal="center" vertical="center" wrapText="1"/>
    </xf>
    <xf numFmtId="0" fontId="71" fillId="0" borderId="62" xfId="75" applyFont="1" applyBorder="1" applyAlignment="1">
      <alignment horizontal="center" vertical="center" wrapText="1"/>
    </xf>
    <xf numFmtId="0" fontId="71" fillId="0" borderId="68" xfId="75" applyFont="1" applyBorder="1" applyAlignment="1">
      <alignment horizontal="center" vertical="center" wrapText="1"/>
    </xf>
    <xf numFmtId="0" fontId="71" fillId="0" borderId="0" xfId="538" applyFont="1" applyBorder="1" applyAlignment="1"/>
    <xf numFmtId="0" fontId="89" fillId="0" borderId="0" xfId="75" applyFont="1" applyBorder="1" applyAlignment="1">
      <alignment horizontal="left" vertical="top" wrapText="1"/>
    </xf>
    <xf numFmtId="0" fontId="70" fillId="0" borderId="14" xfId="75" applyFont="1" applyBorder="1" applyAlignment="1">
      <alignment horizontal="center" vertical="center"/>
    </xf>
    <xf numFmtId="0" fontId="70" fillId="0" borderId="23" xfId="75" applyFont="1" applyBorder="1" applyAlignment="1">
      <alignment horizontal="center" vertical="center"/>
    </xf>
    <xf numFmtId="0" fontId="70" fillId="0" borderId="22" xfId="75" applyFont="1" applyBorder="1" applyAlignment="1">
      <alignment horizontal="center" vertical="center"/>
    </xf>
    <xf numFmtId="0" fontId="70" fillId="0" borderId="16" xfId="75" applyFont="1" applyBorder="1" applyAlignment="1">
      <alignment horizontal="center" vertical="center"/>
    </xf>
    <xf numFmtId="0" fontId="70" fillId="0" borderId="11" xfId="75" applyFont="1" applyBorder="1" applyAlignment="1">
      <alignment horizontal="center" vertical="center"/>
    </xf>
    <xf numFmtId="0" fontId="70" fillId="0" borderId="13" xfId="75" applyFont="1" applyBorder="1" applyAlignment="1">
      <alignment horizontal="center" vertical="center"/>
    </xf>
    <xf numFmtId="0" fontId="70" fillId="0" borderId="10" xfId="75" applyFont="1" applyBorder="1" applyAlignment="1">
      <alignment horizontal="center" vertical="center" wrapText="1"/>
    </xf>
    <xf numFmtId="0" fontId="71" fillId="0" borderId="10" xfId="75" applyFont="1" applyBorder="1" applyAlignment="1">
      <alignment horizontal="center" vertical="center" wrapText="1"/>
    </xf>
    <xf numFmtId="0" fontId="70" fillId="0" borderId="60" xfId="71" applyFont="1" applyFill="1" applyBorder="1" applyAlignment="1">
      <alignment horizontal="center" vertical="center" wrapText="1"/>
    </xf>
    <xf numFmtId="0" fontId="70" fillId="0" borderId="63" xfId="71" applyFont="1" applyFill="1" applyBorder="1" applyAlignment="1">
      <alignment horizontal="center" vertical="center" wrapText="1"/>
    </xf>
    <xf numFmtId="0" fontId="89" fillId="0" borderId="0" xfId="71" applyFont="1" applyFill="1" applyBorder="1" applyAlignment="1">
      <alignment horizontal="left" vertical="center" wrapText="1"/>
    </xf>
    <xf numFmtId="0" fontId="70" fillId="0" borderId="79" xfId="71" applyFont="1" applyFill="1" applyBorder="1" applyAlignment="1">
      <alignment horizontal="center" vertical="center"/>
    </xf>
    <xf numFmtId="0" fontId="70" fillId="0" borderId="80" xfId="71" applyFont="1" applyFill="1" applyBorder="1" applyAlignment="1">
      <alignment horizontal="center" vertical="center"/>
    </xf>
    <xf numFmtId="0" fontId="70" fillId="0" borderId="82" xfId="71" applyFont="1" applyFill="1" applyBorder="1" applyAlignment="1">
      <alignment horizontal="center" vertical="center"/>
    </xf>
    <xf numFmtId="0" fontId="70" fillId="0" borderId="52" xfId="71" applyFont="1" applyFill="1" applyBorder="1" applyAlignment="1">
      <alignment horizontal="center" vertical="center"/>
    </xf>
    <xf numFmtId="0" fontId="70" fillId="0" borderId="50" xfId="71" applyFont="1" applyFill="1" applyBorder="1" applyAlignment="1">
      <alignment horizontal="center" vertical="center"/>
    </xf>
    <xf numFmtId="0" fontId="70" fillId="0" borderId="58" xfId="71" applyFont="1" applyFill="1" applyBorder="1" applyAlignment="1">
      <alignment horizontal="center" vertical="center"/>
    </xf>
    <xf numFmtId="0" fontId="70" fillId="0" borderId="54" xfId="71" applyFont="1" applyFill="1" applyBorder="1" applyAlignment="1">
      <alignment horizontal="center" vertical="center" wrapText="1"/>
    </xf>
    <xf numFmtId="0" fontId="70" fillId="0" borderId="57" xfId="71" applyFont="1" applyFill="1" applyBorder="1" applyAlignment="1">
      <alignment horizontal="center" vertical="center" wrapText="1"/>
    </xf>
    <xf numFmtId="0" fontId="70" fillId="0" borderId="59" xfId="71" applyFont="1" applyFill="1" applyBorder="1" applyAlignment="1">
      <alignment horizontal="center" vertical="center" wrapText="1"/>
    </xf>
    <xf numFmtId="0" fontId="70" fillId="0" borderId="52" xfId="71" applyFont="1" applyFill="1" applyBorder="1" applyAlignment="1">
      <alignment horizontal="center" vertical="center" wrapText="1"/>
    </xf>
    <xf numFmtId="0" fontId="70" fillId="0" borderId="58" xfId="71" applyFont="1" applyFill="1" applyBorder="1" applyAlignment="1">
      <alignment horizontal="center" vertical="center" wrapText="1"/>
    </xf>
    <xf numFmtId="0" fontId="70" fillId="0" borderId="53" xfId="71" applyFont="1" applyFill="1" applyBorder="1" applyAlignment="1">
      <alignment horizontal="center" vertical="center" wrapText="1"/>
    </xf>
    <xf numFmtId="0" fontId="70" fillId="0" borderId="69" xfId="71" applyFont="1" applyFill="1" applyBorder="1" applyAlignment="1">
      <alignment horizontal="center" vertical="center" wrapText="1"/>
    </xf>
    <xf numFmtId="0" fontId="70" fillId="0" borderId="51" xfId="71" applyFont="1" applyFill="1" applyBorder="1" applyAlignment="1">
      <alignment horizontal="center" vertical="center" wrapText="1"/>
    </xf>
    <xf numFmtId="0" fontId="70" fillId="0" borderId="91" xfId="71" applyFont="1" applyFill="1" applyBorder="1" applyAlignment="1">
      <alignment horizontal="center" vertical="center" wrapText="1"/>
    </xf>
    <xf numFmtId="0" fontId="71" fillId="0" borderId="61" xfId="71" applyFont="1" applyFill="1" applyBorder="1" applyAlignment="1">
      <alignment horizontal="center" vertical="center"/>
    </xf>
    <xf numFmtId="0" fontId="71" fillId="0" borderId="62" xfId="71" applyFont="1" applyFill="1" applyBorder="1" applyAlignment="1">
      <alignment horizontal="center" vertical="center"/>
    </xf>
    <xf numFmtId="0" fontId="71" fillId="0" borderId="63" xfId="71" applyFont="1" applyFill="1" applyBorder="1" applyAlignment="1">
      <alignment horizontal="center" vertical="center"/>
    </xf>
    <xf numFmtId="0" fontId="71" fillId="0" borderId="21" xfId="150" applyFont="1" applyBorder="1" applyAlignment="1">
      <alignment horizontal="center"/>
    </xf>
    <xf numFmtId="0" fontId="71" fillId="0" borderId="0" xfId="150" applyFont="1" applyBorder="1" applyAlignment="1">
      <alignment horizontal="center"/>
    </xf>
    <xf numFmtId="0" fontId="71" fillId="0" borderId="20" xfId="150" applyFont="1" applyBorder="1" applyAlignment="1">
      <alignment horizontal="center"/>
    </xf>
    <xf numFmtId="0" fontId="71" fillId="0" borderId="48" xfId="150" applyFont="1" applyBorder="1" applyAlignment="1">
      <alignment horizontal="center"/>
    </xf>
    <xf numFmtId="0" fontId="71" fillId="0" borderId="46" xfId="150" applyFont="1" applyBorder="1" applyAlignment="1">
      <alignment horizontal="center"/>
    </xf>
    <xf numFmtId="0" fontId="71" fillId="0" borderId="16" xfId="150" applyFont="1" applyBorder="1" applyAlignment="1">
      <alignment horizontal="center"/>
    </xf>
    <xf numFmtId="0" fontId="71" fillId="0" borderId="11" xfId="150" applyFont="1" applyBorder="1" applyAlignment="1">
      <alignment horizontal="center"/>
    </xf>
    <xf numFmtId="0" fontId="71" fillId="0" borderId="13" xfId="150" applyFont="1" applyBorder="1" applyAlignment="1">
      <alignment horizontal="center"/>
    </xf>
    <xf numFmtId="0" fontId="71" fillId="0" borderId="78" xfId="150" applyFont="1" applyBorder="1" applyAlignment="1">
      <alignment horizontal="center"/>
    </xf>
    <xf numFmtId="0" fontId="70" fillId="0" borderId="86" xfId="169" applyFont="1" applyBorder="1" applyAlignment="1">
      <alignment horizontal="center" vertical="center"/>
    </xf>
    <xf numFmtId="0" fontId="70" fillId="0" borderId="91" xfId="169" applyFont="1" applyBorder="1" applyAlignment="1">
      <alignment horizontal="center" vertical="center" wrapText="1"/>
    </xf>
    <xf numFmtId="0" fontId="71" fillId="0" borderId="60" xfId="150" applyFont="1" applyBorder="1" applyAlignment="1">
      <alignment horizontal="center"/>
    </xf>
    <xf numFmtId="0" fontId="71" fillId="0" borderId="62" xfId="150" applyFont="1" applyBorder="1" applyAlignment="1">
      <alignment horizontal="center"/>
    </xf>
    <xf numFmtId="0" fontId="89" fillId="0" borderId="0" xfId="70" applyFont="1" applyAlignment="1">
      <alignment horizontal="left" vertical="center" wrapText="1"/>
    </xf>
    <xf numFmtId="0" fontId="70" fillId="0" borderId="52" xfId="70" applyFont="1" applyBorder="1" applyAlignment="1">
      <alignment horizontal="center" vertical="center"/>
    </xf>
    <xf numFmtId="0" fontId="70" fillId="0" borderId="50" xfId="70" applyFont="1" applyBorder="1" applyAlignment="1">
      <alignment horizontal="center" vertical="center"/>
    </xf>
    <xf numFmtId="0" fontId="70" fillId="0" borderId="58" xfId="70" applyFont="1" applyBorder="1" applyAlignment="1">
      <alignment horizontal="center" vertical="center"/>
    </xf>
    <xf numFmtId="0" fontId="70" fillId="0" borderId="67" xfId="70" applyFont="1" applyBorder="1" applyAlignment="1">
      <alignment horizontal="center" vertical="center" wrapText="1"/>
    </xf>
    <xf numFmtId="0" fontId="70" fillId="0" borderId="26" xfId="70" applyFont="1" applyBorder="1" applyAlignment="1">
      <alignment horizontal="center" vertical="center" wrapText="1"/>
    </xf>
    <xf numFmtId="0" fontId="70" fillId="0" borderId="44" xfId="70" applyFont="1" applyBorder="1" applyAlignment="1">
      <alignment horizontal="center" vertical="center" wrapText="1"/>
    </xf>
    <xf numFmtId="0" fontId="70" fillId="0" borderId="78" xfId="169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 wrapText="1"/>
    </xf>
    <xf numFmtId="0" fontId="70" fillId="0" borderId="47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70" fillId="0" borderId="46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 wrapText="1"/>
    </xf>
    <xf numFmtId="0" fontId="70" fillId="0" borderId="91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70" fillId="0" borderId="47" xfId="128" applyFont="1" applyBorder="1" applyAlignment="1">
      <alignment horizontal="center" vertical="center" wrapText="1"/>
    </xf>
    <xf numFmtId="0" fontId="70" fillId="0" borderId="46" xfId="128" applyFont="1" applyBorder="1" applyAlignment="1">
      <alignment horizontal="center" vertical="center" wrapText="1"/>
    </xf>
    <xf numFmtId="0" fontId="70" fillId="0" borderId="57" xfId="128" applyFont="1" applyBorder="1" applyAlignment="1">
      <alignment horizontal="center" vertical="center" wrapText="1"/>
    </xf>
    <xf numFmtId="0" fontId="70" fillId="0" borderId="91" xfId="128" applyFont="1" applyBorder="1" applyAlignment="1">
      <alignment horizontal="center" vertical="center" wrapText="1"/>
    </xf>
    <xf numFmtId="0" fontId="70" fillId="0" borderId="54" xfId="128" applyFont="1" applyBorder="1" applyAlignment="1">
      <alignment horizontal="center" vertical="center" wrapText="1"/>
    </xf>
    <xf numFmtId="0" fontId="70" fillId="0" borderId="69" xfId="128" applyFont="1" applyBorder="1" applyAlignment="1">
      <alignment horizontal="center" vertical="center"/>
    </xf>
    <xf numFmtId="0" fontId="70" fillId="0" borderId="27" xfId="128" applyFont="1" applyBorder="1" applyAlignment="1">
      <alignment horizontal="center" vertical="center"/>
    </xf>
    <xf numFmtId="0" fontId="70" fillId="0" borderId="51" xfId="128" applyFont="1" applyBorder="1" applyAlignment="1">
      <alignment horizontal="center" vertical="center"/>
    </xf>
    <xf numFmtId="0" fontId="70" fillId="0" borderId="25" xfId="128" applyFont="1" applyBorder="1" applyAlignment="1">
      <alignment horizontal="center" vertical="center" wrapText="1"/>
    </xf>
    <xf numFmtId="0" fontId="70" fillId="0" borderId="26" xfId="128" applyFont="1" applyBorder="1" applyAlignment="1">
      <alignment horizontal="center" vertical="center"/>
    </xf>
    <xf numFmtId="0" fontId="70" fillId="0" borderId="39" xfId="128" applyFont="1" applyBorder="1" applyAlignment="1">
      <alignment horizontal="center" vertical="center"/>
    </xf>
    <xf numFmtId="0" fontId="70" fillId="0" borderId="25" xfId="128" applyFont="1" applyBorder="1" applyAlignment="1">
      <alignment horizontal="center" vertical="center"/>
    </xf>
    <xf numFmtId="0" fontId="70" fillId="0" borderId="47" xfId="128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 wrapText="1"/>
    </xf>
    <xf numFmtId="0" fontId="70" fillId="0" borderId="58" xfId="0" applyFont="1" applyBorder="1" applyAlignment="1">
      <alignment horizontal="center" vertical="center" wrapText="1"/>
    </xf>
    <xf numFmtId="0" fontId="70" fillId="0" borderId="69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0" fontId="71" fillId="0" borderId="88" xfId="0" applyFont="1" applyBorder="1" applyAlignment="1">
      <alignment horizontal="center" vertical="center"/>
    </xf>
    <xf numFmtId="0" fontId="71" fillId="0" borderId="84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0" fillId="0" borderId="57" xfId="0" applyFont="1" applyBorder="1" applyAlignment="1">
      <alignment horizontal="center" vertical="center"/>
    </xf>
    <xf numFmtId="0" fontId="70" fillId="0" borderId="41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/>
    </xf>
    <xf numFmtId="0" fontId="70" fillId="0" borderId="59" xfId="0" applyFont="1" applyBorder="1" applyAlignment="1">
      <alignment horizontal="center" vertical="center" wrapText="1"/>
    </xf>
    <xf numFmtId="0" fontId="70" fillId="0" borderId="69" xfId="150" applyFont="1" applyBorder="1" applyAlignment="1">
      <alignment horizontal="center" vertical="center" wrapText="1"/>
    </xf>
    <xf numFmtId="0" fontId="70" fillId="0" borderId="43" xfId="150" applyFont="1" applyBorder="1" applyAlignment="1">
      <alignment horizontal="center" vertical="center" wrapText="1"/>
    </xf>
    <xf numFmtId="0" fontId="70" fillId="0" borderId="96" xfId="150" applyFont="1" applyBorder="1" applyAlignment="1">
      <alignment horizontal="center" vertical="center" wrapText="1"/>
    </xf>
    <xf numFmtId="0" fontId="70" fillId="0" borderId="95" xfId="150" applyFont="1" applyBorder="1" applyAlignment="1">
      <alignment horizontal="center" vertical="center" wrapText="1"/>
    </xf>
    <xf numFmtId="0" fontId="70" fillId="0" borderId="47" xfId="64" applyFont="1" applyBorder="1" applyAlignment="1">
      <alignment horizontal="center" vertical="center" wrapText="1"/>
    </xf>
    <xf numFmtId="0" fontId="70" fillId="0" borderId="91" xfId="64" applyFont="1" applyBorder="1" applyAlignment="1">
      <alignment horizontal="center" vertical="center" wrapText="1"/>
    </xf>
    <xf numFmtId="0" fontId="71" fillId="0" borderId="60" xfId="64" applyFont="1" applyBorder="1" applyAlignment="1">
      <alignment horizontal="center" vertical="center" wrapText="1"/>
    </xf>
    <xf numFmtId="0" fontId="71" fillId="0" borderId="62" xfId="64" applyFont="1" applyBorder="1" applyAlignment="1">
      <alignment horizontal="center" vertical="center" wrapText="1"/>
    </xf>
    <xf numFmtId="0" fontId="71" fillId="0" borderId="68" xfId="64" applyFont="1" applyBorder="1" applyAlignment="1">
      <alignment horizontal="center" vertical="center" wrapText="1"/>
    </xf>
    <xf numFmtId="0" fontId="71" fillId="0" borderId="60" xfId="64" applyFont="1" applyBorder="1" applyAlignment="1">
      <alignment horizontal="center" wrapText="1"/>
    </xf>
    <xf numFmtId="0" fontId="71" fillId="0" borderId="62" xfId="64" applyFont="1" applyBorder="1" applyAlignment="1">
      <alignment horizontal="center" wrapText="1"/>
    </xf>
    <xf numFmtId="0" fontId="71" fillId="0" borderId="63" xfId="64" applyFont="1" applyBorder="1" applyAlignment="1">
      <alignment horizontal="center" wrapText="1"/>
    </xf>
    <xf numFmtId="0" fontId="89" fillId="0" borderId="0" xfId="88" applyFont="1" applyFill="1" applyAlignment="1">
      <alignment horizontal="left" vertical="center" wrapText="1"/>
    </xf>
    <xf numFmtId="0" fontId="70" fillId="0" borderId="72" xfId="64" applyFont="1" applyBorder="1" applyAlignment="1">
      <alignment horizontal="center" vertical="center" wrapText="1"/>
    </xf>
    <xf numFmtId="0" fontId="70" fillId="0" borderId="51" xfId="64" applyFont="1" applyBorder="1" applyAlignment="1">
      <alignment horizontal="center" vertical="center" wrapText="1"/>
    </xf>
    <xf numFmtId="0" fontId="70" fillId="0" borderId="90" xfId="64" applyFont="1" applyBorder="1" applyAlignment="1">
      <alignment horizontal="center" vertical="center" wrapText="1"/>
    </xf>
    <xf numFmtId="0" fontId="70" fillId="0" borderId="55" xfId="64" applyFont="1" applyBorder="1" applyAlignment="1">
      <alignment horizontal="center" vertical="center" wrapText="1"/>
    </xf>
    <xf numFmtId="0" fontId="71" fillId="0" borderId="15" xfId="128" applyFont="1" applyBorder="1" applyAlignment="1">
      <alignment horizontal="center" vertical="center"/>
    </xf>
    <xf numFmtId="0" fontId="71" fillId="0" borderId="24" xfId="128" applyFont="1" applyBorder="1" applyAlignment="1">
      <alignment horizontal="center" vertical="center"/>
    </xf>
    <xf numFmtId="0" fontId="71" fillId="0" borderId="19" xfId="128" applyFont="1" applyBorder="1" applyAlignment="1">
      <alignment horizontal="center" vertical="center"/>
    </xf>
    <xf numFmtId="0" fontId="70" fillId="0" borderId="84" xfId="128" applyFont="1" applyBorder="1" applyAlignment="1">
      <alignment horizontal="center" vertical="center"/>
    </xf>
    <xf numFmtId="0" fontId="58" fillId="0" borderId="0" xfId="73" applyFont="1" applyFill="1" applyBorder="1" applyAlignment="1">
      <alignment horizontal="left" vertical="center" wrapText="1"/>
    </xf>
    <xf numFmtId="0" fontId="19" fillId="0" borderId="0" xfId="87" applyFont="1" applyAlignment="1">
      <alignment vertical="center"/>
    </xf>
    <xf numFmtId="3" fontId="70" fillId="0" borderId="57" xfId="312" applyNumberFormat="1" applyFont="1" applyBorder="1" applyAlignment="1">
      <alignment horizontal="center" vertical="center" wrapText="1"/>
    </xf>
    <xf numFmtId="3" fontId="70" fillId="0" borderId="75" xfId="312" applyNumberFormat="1" applyFont="1" applyBorder="1" applyAlignment="1">
      <alignment horizontal="center" vertical="center" wrapText="1"/>
    </xf>
    <xf numFmtId="3" fontId="70" fillId="0" borderId="72" xfId="312" applyNumberFormat="1" applyFont="1" applyBorder="1" applyAlignment="1">
      <alignment horizontal="center" vertical="center" wrapText="1"/>
    </xf>
    <xf numFmtId="3" fontId="70" fillId="0" borderId="69" xfId="312" applyNumberFormat="1" applyFont="1" applyBorder="1" applyAlignment="1">
      <alignment horizontal="center" vertical="center" wrapText="1"/>
    </xf>
    <xf numFmtId="3" fontId="70" fillId="0" borderId="27" xfId="312" applyNumberFormat="1" applyFont="1" applyBorder="1" applyAlignment="1">
      <alignment horizontal="center" vertical="center" wrapText="1"/>
    </xf>
    <xf numFmtId="0" fontId="71" fillId="0" borderId="55" xfId="312" applyFont="1" applyBorder="1" applyAlignment="1">
      <alignment horizontal="center" vertical="center"/>
    </xf>
    <xf numFmtId="0" fontId="71" fillId="0" borderId="47" xfId="312" applyFont="1" applyBorder="1" applyAlignment="1">
      <alignment horizontal="center" vertical="center"/>
    </xf>
    <xf numFmtId="0" fontId="71" fillId="0" borderId="48" xfId="312" applyFont="1" applyBorder="1" applyAlignment="1">
      <alignment horizontal="center" vertical="center"/>
    </xf>
    <xf numFmtId="0" fontId="70" fillId="0" borderId="52" xfId="312" applyFont="1" applyBorder="1" applyAlignment="1">
      <alignment horizontal="center" vertical="center" wrapText="1"/>
    </xf>
    <xf numFmtId="0" fontId="71" fillId="0" borderId="50" xfId="312" applyFont="1" applyBorder="1" applyAlignment="1">
      <alignment vertical="center" wrapText="1"/>
    </xf>
    <xf numFmtId="0" fontId="71" fillId="0" borderId="55" xfId="312" applyFont="1" applyBorder="1" applyAlignment="1">
      <alignment vertical="center"/>
    </xf>
    <xf numFmtId="49" fontId="70" fillId="0" borderId="53" xfId="312" applyNumberFormat="1" applyFont="1" applyBorder="1" applyAlignment="1">
      <alignment horizontal="center" vertical="center" wrapText="1"/>
    </xf>
    <xf numFmtId="49" fontId="71" fillId="0" borderId="25" xfId="312" applyNumberFormat="1" applyFont="1" applyBorder="1" applyAlignment="1">
      <alignment horizontal="center" vertical="center" wrapText="1"/>
    </xf>
    <xf numFmtId="49" fontId="71" fillId="0" borderId="47" xfId="312" applyNumberFormat="1" applyFont="1" applyBorder="1" applyAlignment="1">
      <alignment horizontal="center" vertical="center"/>
    </xf>
    <xf numFmtId="0" fontId="70" fillId="0" borderId="54" xfId="312" applyFont="1" applyBorder="1" applyAlignment="1">
      <alignment horizontal="center" vertical="center" wrapText="1"/>
    </xf>
    <xf numFmtId="0" fontId="71" fillId="0" borderId="57" xfId="312" applyFont="1" applyBorder="1" applyAlignment="1">
      <alignment horizontal="center" vertical="center" wrapText="1"/>
    </xf>
    <xf numFmtId="0" fontId="71" fillId="0" borderId="91" xfId="312" applyFont="1" applyBorder="1" applyAlignment="1">
      <alignment horizontal="center" vertical="center"/>
    </xf>
    <xf numFmtId="0" fontId="89" fillId="0" borderId="0" xfId="186" applyFont="1" applyBorder="1" applyAlignment="1">
      <alignment horizontal="left" vertical="center" wrapText="1"/>
    </xf>
    <xf numFmtId="0" fontId="70" fillId="0" borderId="52" xfId="186" quotePrefix="1" applyNumberFormat="1" applyFont="1" applyBorder="1" applyAlignment="1">
      <alignment horizontal="center" vertical="center"/>
    </xf>
    <xf numFmtId="0" fontId="70" fillId="0" borderId="50" xfId="186" quotePrefix="1" applyNumberFormat="1" applyFont="1" applyBorder="1" applyAlignment="1">
      <alignment horizontal="center" vertical="center"/>
    </xf>
    <xf numFmtId="0" fontId="70" fillId="0" borderId="58" xfId="186" quotePrefix="1" applyNumberFormat="1" applyFont="1" applyBorder="1" applyAlignment="1">
      <alignment horizontal="center" vertical="center"/>
    </xf>
    <xf numFmtId="0" fontId="70" fillId="0" borderId="53" xfId="186" quotePrefix="1" applyNumberFormat="1" applyFont="1" applyBorder="1" applyAlignment="1">
      <alignment horizontal="center" vertical="center"/>
    </xf>
    <xf numFmtId="0" fontId="70" fillId="0" borderId="25" xfId="186" quotePrefix="1" applyNumberFormat="1" applyFont="1" applyBorder="1" applyAlignment="1">
      <alignment horizontal="center" vertical="center"/>
    </xf>
    <xf numFmtId="0" fontId="70" fillId="0" borderId="41" xfId="186" quotePrefix="1" applyNumberFormat="1" applyFont="1" applyBorder="1" applyAlignment="1">
      <alignment horizontal="center" vertical="center"/>
    </xf>
    <xf numFmtId="0" fontId="70" fillId="0" borderId="54" xfId="186" quotePrefix="1" applyNumberFormat="1" applyFont="1" applyBorder="1" applyAlignment="1">
      <alignment horizontal="center" vertical="center"/>
    </xf>
    <xf numFmtId="0" fontId="70" fillId="0" borderId="57" xfId="186" quotePrefix="1" applyNumberFormat="1" applyFont="1" applyBorder="1" applyAlignment="1">
      <alignment horizontal="center" vertical="center"/>
    </xf>
    <xf numFmtId="0" fontId="70" fillId="0" borderId="59" xfId="186" quotePrefix="1" applyNumberFormat="1" applyFont="1" applyBorder="1" applyAlignment="1">
      <alignment horizontal="center" vertical="center"/>
    </xf>
    <xf numFmtId="0" fontId="70" fillId="0" borderId="61" xfId="75" applyFont="1" applyBorder="1" applyAlignment="1">
      <alignment horizontal="center" vertical="center"/>
    </xf>
    <xf numFmtId="0" fontId="70" fillId="0" borderId="52" xfId="75" applyFont="1" applyBorder="1" applyAlignment="1">
      <alignment horizontal="center" vertical="center" wrapText="1"/>
    </xf>
    <xf numFmtId="0" fontId="70" fillId="0" borderId="50" xfId="75" applyFont="1" applyBorder="1" applyAlignment="1">
      <alignment horizontal="center" vertical="center" wrapText="1"/>
    </xf>
    <xf numFmtId="0" fontId="70" fillId="0" borderId="75" xfId="75" applyFont="1" applyBorder="1" applyAlignment="1">
      <alignment horizontal="center" vertical="center" wrapText="1"/>
    </xf>
    <xf numFmtId="0" fontId="70" fillId="0" borderId="71" xfId="75" applyFont="1" applyBorder="1" applyAlignment="1">
      <alignment horizontal="center" vertical="center" wrapText="1"/>
    </xf>
    <xf numFmtId="0" fontId="70" fillId="0" borderId="72" xfId="75" applyFont="1" applyBorder="1" applyAlignment="1">
      <alignment horizontal="center" vertical="center" wrapText="1"/>
    </xf>
    <xf numFmtId="49" fontId="70" fillId="0" borderId="92" xfId="75" applyNumberFormat="1" applyFont="1" applyBorder="1" applyAlignment="1">
      <alignment horizontal="center" vertical="center" wrapText="1"/>
    </xf>
    <xf numFmtId="49" fontId="70" fillId="0" borderId="93" xfId="75" applyNumberFormat="1" applyFont="1" applyBorder="1" applyAlignment="1">
      <alignment horizontal="center" vertical="center" wrapText="1"/>
    </xf>
    <xf numFmtId="49" fontId="70" fillId="0" borderId="95" xfId="75" applyNumberFormat="1" applyFont="1" applyBorder="1" applyAlignment="1">
      <alignment horizontal="center" vertical="center" wrapText="1"/>
    </xf>
    <xf numFmtId="0" fontId="70" fillId="0" borderId="57" xfId="75" applyFont="1" applyFill="1" applyBorder="1" applyAlignment="1">
      <alignment horizontal="center" vertical="center" wrapText="1"/>
    </xf>
    <xf numFmtId="0" fontId="70" fillId="0" borderId="59" xfId="75" applyFont="1" applyFill="1" applyBorder="1" applyAlignment="1">
      <alignment horizontal="center" vertical="center" wrapText="1"/>
    </xf>
    <xf numFmtId="0" fontId="70" fillId="0" borderId="27" xfId="75" applyFont="1" applyBorder="1" applyAlignment="1">
      <alignment horizontal="center" vertical="center" wrapText="1"/>
    </xf>
    <xf numFmtId="0" fontId="70" fillId="0" borderId="51" xfId="75" applyFont="1" applyBorder="1" applyAlignment="1">
      <alignment horizontal="center" vertical="center" wrapText="1"/>
    </xf>
    <xf numFmtId="0" fontId="70" fillId="0" borderId="26" xfId="75" applyFont="1" applyBorder="1" applyAlignment="1">
      <alignment horizontal="center" vertical="center" wrapText="1"/>
    </xf>
    <xf numFmtId="0" fontId="70" fillId="0" borderId="90" xfId="75" applyFont="1" applyBorder="1" applyAlignment="1">
      <alignment horizontal="center" vertical="center" wrapText="1"/>
    </xf>
    <xf numFmtId="0" fontId="71" fillId="0" borderId="61" xfId="75" applyFont="1" applyBorder="1" applyAlignment="1">
      <alignment horizontal="center" vertical="center" wrapText="1"/>
    </xf>
    <xf numFmtId="168" fontId="71" fillId="0" borderId="0" xfId="186" applyNumberFormat="1" applyFont="1" applyBorder="1" applyAlignment="1">
      <alignment horizontal="left"/>
    </xf>
    <xf numFmtId="0" fontId="89" fillId="0" borderId="24" xfId="75" applyFont="1" applyBorder="1" applyAlignment="1">
      <alignment horizontal="left" vertical="center" wrapText="1"/>
    </xf>
    <xf numFmtId="0" fontId="70" fillId="0" borderId="10" xfId="186" quotePrefix="1" applyNumberFormat="1" applyFont="1" applyBorder="1" applyAlignment="1">
      <alignment horizontal="center" vertical="center"/>
    </xf>
    <xf numFmtId="0" fontId="70" fillId="0" borderId="10" xfId="75" applyFont="1" applyBorder="1" applyAlignment="1">
      <alignment horizontal="center" vertical="center"/>
    </xf>
    <xf numFmtId="0" fontId="70" fillId="0" borderId="10" xfId="75" applyFont="1" applyBorder="1" applyAlignment="1">
      <alignment horizontal="left" vertical="center"/>
    </xf>
    <xf numFmtId="49" fontId="70" fillId="0" borderId="10" xfId="75" applyNumberFormat="1" applyFont="1" applyBorder="1" applyAlignment="1">
      <alignment horizontal="center" vertical="center" wrapText="1"/>
    </xf>
    <xf numFmtId="0" fontId="71" fillId="0" borderId="25" xfId="71" applyFont="1" applyFill="1" applyBorder="1" applyAlignment="1">
      <alignment horizontal="left" vertical="center" wrapText="1"/>
    </xf>
    <xf numFmtId="0" fontId="71" fillId="0" borderId="57" xfId="71" applyFont="1" applyFill="1" applyBorder="1" applyAlignment="1">
      <alignment horizontal="left" vertical="center" wrapText="1"/>
    </xf>
    <xf numFmtId="0" fontId="71" fillId="0" borderId="47" xfId="71" applyFont="1" applyFill="1" applyBorder="1" applyAlignment="1">
      <alignment horizontal="left" vertical="center" wrapText="1"/>
    </xf>
    <xf numFmtId="0" fontId="71" fillId="0" borderId="91" xfId="71" applyFont="1" applyFill="1" applyBorder="1" applyAlignment="1">
      <alignment horizontal="left" vertical="center" wrapText="1"/>
    </xf>
    <xf numFmtId="0" fontId="70" fillId="0" borderId="62" xfId="71" applyFont="1" applyFill="1" applyBorder="1" applyAlignment="1">
      <alignment horizontal="center" vertical="center" wrapText="1"/>
    </xf>
    <xf numFmtId="0" fontId="71" fillId="0" borderId="40" xfId="71" applyFont="1" applyFill="1" applyBorder="1" applyAlignment="1">
      <alignment horizontal="left" vertical="center" wrapText="1"/>
    </xf>
    <xf numFmtId="0" fontId="71" fillId="0" borderId="56" xfId="71" applyFont="1" applyFill="1" applyBorder="1" applyAlignment="1">
      <alignment horizontal="left" vertical="center" wrapText="1"/>
    </xf>
    <xf numFmtId="0" fontId="70" fillId="0" borderId="25" xfId="71" applyFont="1" applyFill="1" applyBorder="1" applyAlignment="1">
      <alignment horizontal="center" vertical="center" wrapText="1"/>
    </xf>
    <xf numFmtId="0" fontId="70" fillId="0" borderId="41" xfId="71" applyFont="1" applyFill="1" applyBorder="1" applyAlignment="1">
      <alignment horizontal="center" vertical="center" wrapText="1"/>
    </xf>
    <xf numFmtId="0" fontId="70" fillId="0" borderId="47" xfId="71" applyFont="1" applyFill="1" applyBorder="1" applyAlignment="1">
      <alignment horizontal="center" vertical="center" wrapText="1"/>
    </xf>
    <xf numFmtId="0" fontId="70" fillId="0" borderId="81" xfId="169" applyFont="1" applyBorder="1" applyAlignment="1">
      <alignment horizontal="center" vertical="center"/>
    </xf>
    <xf numFmtId="0" fontId="70" fillId="0" borderId="12" xfId="169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0" fontId="71" fillId="0" borderId="62" xfId="0" applyFont="1" applyBorder="1" applyAlignment="1">
      <alignment horizontal="center" vertical="center"/>
    </xf>
    <xf numFmtId="0" fontId="71" fillId="0" borderId="63" xfId="0" applyFont="1" applyBorder="1" applyAlignment="1">
      <alignment horizontal="center" vertical="center"/>
    </xf>
    <xf numFmtId="0" fontId="70" fillId="0" borderId="67" xfId="0" applyFont="1" applyBorder="1" applyAlignment="1">
      <alignment horizontal="center" vertical="center"/>
    </xf>
    <xf numFmtId="0" fontId="70" fillId="0" borderId="90" xfId="0" applyFont="1" applyBorder="1" applyAlignment="1">
      <alignment horizontal="center" vertical="center" wrapText="1"/>
    </xf>
    <xf numFmtId="0" fontId="70" fillId="0" borderId="46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 wrapText="1"/>
    </xf>
    <xf numFmtId="0" fontId="70" fillId="0" borderId="51" xfId="0" applyFont="1" applyBorder="1" applyAlignment="1">
      <alignment horizontal="center" vertical="center" wrapText="1"/>
    </xf>
    <xf numFmtId="0" fontId="71" fillId="0" borderId="61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/>
    </xf>
    <xf numFmtId="0" fontId="89" fillId="0" borderId="0" xfId="0" applyFont="1" applyAlignment="1">
      <alignment horizontal="left"/>
    </xf>
    <xf numFmtId="0" fontId="70" fillId="0" borderId="51" xfId="150" applyFont="1" applyBorder="1" applyAlignment="1">
      <alignment horizontal="center" vertical="center" wrapText="1"/>
    </xf>
    <xf numFmtId="0" fontId="70" fillId="0" borderId="47" xfId="150" applyFont="1" applyBorder="1" applyAlignment="1">
      <alignment horizontal="center" vertical="center" wrapText="1"/>
    </xf>
    <xf numFmtId="0" fontId="70" fillId="0" borderId="90" xfId="150" applyFont="1" applyBorder="1" applyAlignment="1">
      <alignment horizontal="center" vertical="center" wrapText="1"/>
    </xf>
    <xf numFmtId="0" fontId="70" fillId="0" borderId="55" xfId="150" applyFont="1" applyBorder="1" applyAlignment="1">
      <alignment horizontal="center" vertical="center" wrapText="1"/>
    </xf>
    <xf numFmtId="0" fontId="70" fillId="0" borderId="91" xfId="150" applyFont="1" applyBorder="1" applyAlignment="1">
      <alignment horizontal="center" vertical="center" wrapText="1"/>
    </xf>
    <xf numFmtId="0" fontId="71" fillId="0" borderId="61" xfId="150" applyFont="1" applyBorder="1" applyAlignment="1">
      <alignment horizontal="center"/>
    </xf>
    <xf numFmtId="4" fontId="88" fillId="0" borderId="0" xfId="0" applyNumberFormat="1" applyFont="1" applyFill="1" applyBorder="1" applyAlignment="1">
      <alignment horizontal="center" vertical="center" wrapText="1"/>
    </xf>
    <xf numFmtId="0" fontId="89" fillId="0" borderId="0" xfId="89" applyFont="1" applyFill="1" applyBorder="1" applyAlignment="1">
      <alignment horizontal="left" vertical="center" wrapText="1"/>
    </xf>
    <xf numFmtId="0" fontId="89" fillId="0" borderId="0" xfId="128" applyFont="1" applyAlignment="1">
      <alignment horizontal="left"/>
    </xf>
    <xf numFmtId="0" fontId="89" fillId="0" borderId="0" xfId="80" applyFont="1" applyAlignment="1">
      <alignment vertical="center" wrapText="1"/>
    </xf>
    <xf numFmtId="0" fontId="69" fillId="0" borderId="0" xfId="80" applyFont="1" applyAlignment="1">
      <alignment vertical="center" wrapText="1"/>
    </xf>
    <xf numFmtId="0" fontId="69" fillId="0" borderId="0" xfId="80" applyFont="1" applyAlignment="1">
      <alignment wrapText="1"/>
    </xf>
    <xf numFmtId="0" fontId="87" fillId="0" borderId="0" xfId="73" applyFont="1" applyFill="1" applyBorder="1" applyAlignment="1">
      <alignment horizontal="left" vertical="center" wrapText="1"/>
    </xf>
    <xf numFmtId="0" fontId="71" fillId="0" borderId="0" xfId="87" applyFont="1" applyAlignment="1">
      <alignment vertical="center"/>
    </xf>
    <xf numFmtId="0" fontId="70" fillId="0" borderId="67" xfId="312" applyFont="1" applyBorder="1" applyAlignment="1">
      <alignment horizontal="center" vertical="center" wrapText="1"/>
    </xf>
    <xf numFmtId="0" fontId="71" fillId="0" borderId="26" xfId="312" applyFont="1" applyBorder="1" applyAlignment="1">
      <alignment horizontal="center" vertical="center" wrapText="1"/>
    </xf>
    <xf numFmtId="0" fontId="71" fillId="0" borderId="90" xfId="312" applyFont="1" applyBorder="1" applyAlignment="1">
      <alignment horizontal="center" vertical="center"/>
    </xf>
    <xf numFmtId="3" fontId="70" fillId="0" borderId="51" xfId="312" applyNumberFormat="1" applyFont="1" applyBorder="1" applyAlignment="1">
      <alignment horizontal="center" vertical="center" wrapText="1"/>
    </xf>
    <xf numFmtId="0" fontId="70" fillId="0" borderId="62" xfId="75" applyFont="1" applyBorder="1" applyAlignment="1">
      <alignment horizontal="center"/>
    </xf>
    <xf numFmtId="0" fontId="70" fillId="0" borderId="63" xfId="75" applyFont="1" applyBorder="1" applyAlignment="1">
      <alignment horizontal="center"/>
    </xf>
    <xf numFmtId="0" fontId="71" fillId="0" borderId="0" xfId="186" applyFont="1" applyAlignment="1">
      <alignment horizontal="left" wrapText="1"/>
    </xf>
    <xf numFmtId="0" fontId="71" fillId="0" borderId="0" xfId="186" applyFont="1" applyAlignment="1">
      <alignment horizontal="left"/>
    </xf>
    <xf numFmtId="0" fontId="89" fillId="0" borderId="0" xfId="186" applyFont="1" applyBorder="1" applyAlignment="1">
      <alignment horizontal="left" vertical="top" wrapText="1"/>
    </xf>
    <xf numFmtId="0" fontId="70" fillId="0" borderId="55" xfId="186" quotePrefix="1" applyNumberFormat="1" applyFont="1" applyBorder="1" applyAlignment="1">
      <alignment horizontal="center" vertical="center"/>
    </xf>
    <xf numFmtId="0" fontId="70" fillId="0" borderId="47" xfId="186" quotePrefix="1" applyNumberFormat="1" applyFont="1" applyBorder="1" applyAlignment="1">
      <alignment horizontal="center" vertical="center"/>
    </xf>
    <xf numFmtId="0" fontId="70" fillId="0" borderId="54" xfId="186" quotePrefix="1" applyNumberFormat="1" applyFont="1" applyBorder="1" applyAlignment="1">
      <alignment horizontal="center" vertical="center" wrapText="1"/>
    </xf>
    <xf numFmtId="0" fontId="70" fillId="0" borderId="57" xfId="186" quotePrefix="1" applyNumberFormat="1" applyFont="1" applyBorder="1" applyAlignment="1">
      <alignment horizontal="center" vertical="center" wrapText="1"/>
    </xf>
    <xf numFmtId="0" fontId="70" fillId="0" borderId="91" xfId="186" quotePrefix="1" applyNumberFormat="1" applyFont="1" applyBorder="1" applyAlignment="1">
      <alignment horizontal="center" vertical="center" wrapText="1"/>
    </xf>
    <xf numFmtId="0" fontId="70" fillId="0" borderId="54" xfId="75" applyFont="1" applyBorder="1" applyAlignment="1">
      <alignment horizontal="center" vertical="center"/>
    </xf>
    <xf numFmtId="0" fontId="70" fillId="0" borderId="45" xfId="75" applyFont="1" applyBorder="1" applyAlignment="1">
      <alignment horizontal="center" vertical="center" wrapText="1"/>
    </xf>
    <xf numFmtId="0" fontId="70" fillId="0" borderId="39" xfId="75" applyFont="1" applyBorder="1" applyAlignment="1">
      <alignment horizontal="center" vertical="center" wrapText="1"/>
    </xf>
    <xf numFmtId="0" fontId="70" fillId="0" borderId="96" xfId="75" applyFont="1" applyBorder="1" applyAlignment="1">
      <alignment horizontal="center" vertical="center" wrapText="1"/>
    </xf>
    <xf numFmtId="0" fontId="70" fillId="0" borderId="75" xfId="186" applyFont="1" applyBorder="1" applyAlignment="1">
      <alignment horizontal="center" vertical="center" wrapText="1"/>
    </xf>
    <xf numFmtId="0" fontId="70" fillId="0" borderId="71" xfId="186" applyFont="1" applyBorder="1" applyAlignment="1">
      <alignment horizontal="center" vertical="center" wrapText="1"/>
    </xf>
    <xf numFmtId="0" fontId="70" fillId="0" borderId="57" xfId="75" applyFont="1" applyBorder="1" applyAlignment="1">
      <alignment horizontal="center" vertical="center" wrapText="1"/>
    </xf>
    <xf numFmtId="0" fontId="70" fillId="0" borderId="59" xfId="75" applyFont="1" applyBorder="1" applyAlignment="1">
      <alignment horizontal="center" vertical="center" wrapText="1"/>
    </xf>
    <xf numFmtId="0" fontId="70" fillId="0" borderId="10" xfId="186" quotePrefix="1" applyNumberFormat="1" applyFont="1" applyBorder="1" applyAlignment="1">
      <alignment horizontal="center" vertical="center" wrapText="1"/>
    </xf>
    <xf numFmtId="0" fontId="70" fillId="0" borderId="10" xfId="186" applyFont="1" applyBorder="1" applyAlignment="1">
      <alignment horizontal="center" vertical="center" wrapText="1"/>
    </xf>
    <xf numFmtId="0" fontId="70" fillId="0" borderId="48" xfId="169" applyFont="1" applyBorder="1" applyAlignment="1">
      <alignment horizontal="center" vertical="center" wrapText="1"/>
    </xf>
    <xf numFmtId="0" fontId="70" fillId="0" borderId="16" xfId="150" applyFont="1" applyBorder="1" applyAlignment="1">
      <alignment horizontal="center"/>
    </xf>
    <xf numFmtId="0" fontId="70" fillId="0" borderId="11" xfId="150" applyFont="1" applyBorder="1" applyAlignment="1">
      <alignment horizontal="center"/>
    </xf>
    <xf numFmtId="0" fontId="70" fillId="0" borderId="13" xfId="150" applyFont="1" applyBorder="1" applyAlignment="1">
      <alignment horizontal="center"/>
    </xf>
    <xf numFmtId="0" fontId="70" fillId="0" borderId="60" xfId="150" applyFont="1" applyBorder="1" applyAlignment="1">
      <alignment horizontal="center"/>
    </xf>
    <xf numFmtId="0" fontId="70" fillId="0" borderId="62" xfId="150" applyFont="1" applyBorder="1" applyAlignment="1">
      <alignment horizontal="center"/>
    </xf>
    <xf numFmtId="0" fontId="11" fillId="0" borderId="69" xfId="79" applyFont="1" applyBorder="1" applyAlignment="1">
      <alignment horizontal="center" vertical="center" wrapText="1"/>
    </xf>
    <xf numFmtId="0" fontId="11" fillId="0" borderId="53" xfId="79" applyFont="1" applyBorder="1" applyAlignment="1">
      <alignment horizontal="center" vertical="center" wrapText="1"/>
    </xf>
    <xf numFmtId="0" fontId="11" fillId="0" borderId="67" xfId="79" applyFont="1" applyBorder="1" applyAlignment="1">
      <alignment horizontal="center" vertical="center" wrapText="1"/>
    </xf>
    <xf numFmtId="0" fontId="9" fillId="0" borderId="60" xfId="79" applyFont="1" applyBorder="1" applyAlignment="1">
      <alignment horizontal="center" vertical="center" wrapText="1"/>
    </xf>
    <xf numFmtId="0" fontId="9" fillId="0" borderId="62" xfId="79" applyFont="1" applyBorder="1" applyAlignment="1">
      <alignment horizontal="center" vertical="center" wrapText="1"/>
    </xf>
    <xf numFmtId="0" fontId="9" fillId="0" borderId="61" xfId="79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0" fontId="89" fillId="0" borderId="24" xfId="0" applyFont="1" applyBorder="1" applyAlignment="1">
      <alignment horizontal="left" vertical="center"/>
    </xf>
    <xf numFmtId="0" fontId="87" fillId="0" borderId="88" xfId="0" applyFont="1" applyFill="1" applyBorder="1" applyAlignment="1">
      <alignment horizontal="center" vertical="center"/>
    </xf>
    <xf numFmtId="0" fontId="87" fillId="0" borderId="84" xfId="0" applyFont="1" applyFill="1" applyBorder="1" applyAlignment="1">
      <alignment horizontal="center" vertical="center"/>
    </xf>
    <xf numFmtId="0" fontId="87" fillId="0" borderId="94" xfId="0" applyFont="1" applyFill="1" applyBorder="1" applyAlignment="1">
      <alignment horizontal="center" vertical="center"/>
    </xf>
    <xf numFmtId="0" fontId="87" fillId="0" borderId="83" xfId="0" applyFont="1" applyFill="1" applyBorder="1" applyAlignment="1">
      <alignment horizontal="center" vertical="center"/>
    </xf>
    <xf numFmtId="0" fontId="87" fillId="0" borderId="85" xfId="0" applyFont="1" applyFill="1" applyBorder="1" applyAlignment="1">
      <alignment horizontal="center" vertical="center"/>
    </xf>
    <xf numFmtId="0" fontId="90" fillId="0" borderId="84" xfId="0" applyFont="1" applyFill="1" applyBorder="1" applyAlignment="1">
      <alignment horizontal="center" vertical="center"/>
    </xf>
    <xf numFmtId="0" fontId="90" fillId="0" borderId="94" xfId="0" applyFont="1" applyFill="1" applyBorder="1" applyAlignment="1">
      <alignment horizontal="center" vertical="center"/>
    </xf>
    <xf numFmtId="4" fontId="71" fillId="0" borderId="41" xfId="0" applyNumberFormat="1" applyFont="1" applyFill="1" applyBorder="1" applyAlignment="1">
      <alignment vertical="center" wrapText="1"/>
    </xf>
    <xf numFmtId="4" fontId="71" fillId="0" borderId="44" xfId="0" applyNumberFormat="1" applyFont="1" applyFill="1" applyBorder="1" applyAlignment="1">
      <alignment vertical="center" wrapText="1"/>
    </xf>
    <xf numFmtId="0" fontId="70" fillId="0" borderId="0" xfId="0" applyFont="1" applyFill="1" applyAlignment="1">
      <alignment horizontal="center" vertical="center"/>
    </xf>
    <xf numFmtId="0" fontId="71" fillId="0" borderId="91" xfId="0" applyFont="1" applyFill="1" applyBorder="1" applyAlignment="1">
      <alignment horizontal="right" vertical="center" wrapText="1"/>
    </xf>
    <xf numFmtId="4" fontId="88" fillId="0" borderId="12" xfId="0" applyNumberFormat="1" applyFont="1" applyFill="1" applyBorder="1" applyAlignment="1">
      <alignment horizontal="right" vertical="center" wrapText="1"/>
    </xf>
    <xf numFmtId="165" fontId="71" fillId="0" borderId="0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 wrapText="1"/>
    </xf>
    <xf numFmtId="4" fontId="88" fillId="0" borderId="62" xfId="0" applyNumberFormat="1" applyFont="1" applyFill="1" applyBorder="1" applyAlignment="1">
      <alignment horizontal="right" vertical="center" wrapText="1"/>
    </xf>
    <xf numFmtId="0" fontId="70" fillId="0" borderId="68" xfId="0" applyFont="1" applyFill="1" applyBorder="1" applyAlignment="1">
      <alignment horizontal="right" vertical="center" wrapText="1"/>
    </xf>
    <xf numFmtId="4" fontId="87" fillId="0" borderId="40" xfId="0" applyNumberFormat="1" applyFont="1" applyFill="1" applyBorder="1" applyAlignment="1">
      <alignment horizontal="right" vertical="center" wrapText="1"/>
    </xf>
    <xf numFmtId="0" fontId="71" fillId="0" borderId="29" xfId="0" applyFont="1" applyFill="1" applyBorder="1" applyAlignment="1">
      <alignment horizontal="right" vertical="center" wrapText="1"/>
    </xf>
    <xf numFmtId="0" fontId="89" fillId="0" borderId="0" xfId="81" applyFont="1" applyFill="1" applyAlignment="1">
      <alignment vertical="center" wrapText="1"/>
    </xf>
    <xf numFmtId="0" fontId="69" fillId="0" borderId="0" xfId="81" applyFont="1" applyFill="1" applyAlignment="1">
      <alignment vertical="center" wrapText="1"/>
    </xf>
    <xf numFmtId="0" fontId="69" fillId="0" borderId="0" xfId="81" applyFont="1" applyFill="1" applyAlignment="1">
      <alignment wrapText="1"/>
    </xf>
    <xf numFmtId="0" fontId="70" fillId="0" borderId="76" xfId="0" applyFont="1" applyFill="1" applyBorder="1" applyAlignment="1">
      <alignment horizontal="center" vertical="center" wrapText="1"/>
    </xf>
    <xf numFmtId="0" fontId="71" fillId="0" borderId="61" xfId="0" applyFont="1" applyFill="1" applyBorder="1" applyAlignment="1">
      <alignment horizontal="center" vertical="center" wrapText="1"/>
    </xf>
    <xf numFmtId="0" fontId="90" fillId="0" borderId="83" xfId="89" applyFont="1" applyFill="1" applyBorder="1" applyAlignment="1">
      <alignment horizontal="center" vertical="center" wrapText="1"/>
    </xf>
    <xf numFmtId="0" fontId="90" fillId="0" borderId="84" xfId="89" applyFont="1" applyFill="1" applyBorder="1" applyAlignment="1">
      <alignment horizontal="center" vertical="center" wrapText="1"/>
    </xf>
    <xf numFmtId="0" fontId="90" fillId="0" borderId="85" xfId="89" applyFont="1" applyFill="1" applyBorder="1" applyAlignment="1">
      <alignment horizontal="center" vertical="center" wrapText="1"/>
    </xf>
    <xf numFmtId="0" fontId="89" fillId="0" borderId="0" xfId="128" applyFont="1" applyAlignment="1"/>
    <xf numFmtId="3" fontId="70" fillId="0" borderId="43" xfId="312" applyNumberFormat="1" applyFont="1" applyBorder="1" applyAlignment="1">
      <alignment horizontal="center" vertical="center" wrapText="1"/>
    </xf>
    <xf numFmtId="3" fontId="70" fillId="0" borderId="59" xfId="312" applyNumberFormat="1" applyFont="1" applyBorder="1" applyAlignment="1">
      <alignment horizontal="center" vertical="center" wrapText="1"/>
    </xf>
    <xf numFmtId="0" fontId="71" fillId="0" borderId="78" xfId="312" applyFont="1" applyBorder="1" applyAlignment="1">
      <alignment horizontal="center" vertical="center"/>
    </xf>
    <xf numFmtId="0" fontId="71" fillId="0" borderId="46" xfId="312" applyFont="1" applyBorder="1" applyAlignment="1">
      <alignment horizontal="center" vertical="center"/>
    </xf>
    <xf numFmtId="0" fontId="70" fillId="0" borderId="75" xfId="64" applyFont="1" applyFill="1" applyBorder="1" applyAlignment="1">
      <alignment horizontal="center" vertical="center" wrapText="1"/>
    </xf>
    <xf numFmtId="0" fontId="70" fillId="0" borderId="71" xfId="64" applyFont="1" applyFill="1" applyBorder="1" applyAlignment="1">
      <alignment horizontal="center" vertical="center" wrapText="1"/>
    </xf>
    <xf numFmtId="0" fontId="70" fillId="0" borderId="76" xfId="64" applyFont="1" applyFill="1" applyBorder="1" applyAlignment="1">
      <alignment horizontal="center" vertical="center" wrapText="1"/>
    </xf>
    <xf numFmtId="0" fontId="70" fillId="0" borderId="69" xfId="64" applyFont="1" applyFill="1" applyBorder="1" applyAlignment="1">
      <alignment horizontal="center" vertical="center" wrapText="1"/>
    </xf>
    <xf numFmtId="0" fontId="70" fillId="0" borderId="27" xfId="64" applyFont="1" applyFill="1" applyBorder="1" applyAlignment="1">
      <alignment horizontal="center" vertical="center" wrapText="1"/>
    </xf>
    <xf numFmtId="0" fontId="70" fillId="0" borderId="51" xfId="64" applyFont="1" applyFill="1" applyBorder="1" applyAlignment="1">
      <alignment horizontal="center" vertical="center" wrapText="1"/>
    </xf>
    <xf numFmtId="0" fontId="70" fillId="0" borderId="67" xfId="64" applyFont="1" applyFill="1" applyBorder="1" applyAlignment="1">
      <alignment horizontal="center" vertical="center" wrapText="1"/>
    </xf>
    <xf numFmtId="0" fontId="70" fillId="0" borderId="26" xfId="64" applyFont="1" applyFill="1" applyBorder="1" applyAlignment="1">
      <alignment horizontal="center" vertical="center" wrapText="1"/>
    </xf>
    <xf numFmtId="0" fontId="70" fillId="0" borderId="90" xfId="64" applyFont="1" applyFill="1" applyBorder="1" applyAlignment="1">
      <alignment horizontal="center" vertical="center" wrapText="1"/>
    </xf>
    <xf numFmtId="0" fontId="70" fillId="0" borderId="52" xfId="64" applyFont="1" applyFill="1" applyBorder="1" applyAlignment="1">
      <alignment horizontal="center" vertical="center" wrapText="1"/>
    </xf>
    <xf numFmtId="0" fontId="70" fillId="0" borderId="50" xfId="64" applyFont="1" applyFill="1" applyBorder="1" applyAlignment="1">
      <alignment horizontal="center" vertical="center" wrapText="1"/>
    </xf>
    <xf numFmtId="0" fontId="70" fillId="0" borderId="55" xfId="64" applyFont="1" applyFill="1" applyBorder="1" applyAlignment="1">
      <alignment horizontal="center" vertical="center" wrapText="1"/>
    </xf>
    <xf numFmtId="0" fontId="70" fillId="0" borderId="53" xfId="64" applyFont="1" applyFill="1" applyBorder="1" applyAlignment="1">
      <alignment horizontal="center" vertical="center" wrapText="1"/>
    </xf>
    <xf numFmtId="0" fontId="70" fillId="0" borderId="25" xfId="64" applyFont="1" applyFill="1" applyBorder="1" applyAlignment="1">
      <alignment horizontal="center" vertical="center" wrapText="1"/>
    </xf>
    <xf numFmtId="0" fontId="70" fillId="0" borderId="47" xfId="64" applyFont="1" applyFill="1" applyBorder="1" applyAlignment="1">
      <alignment horizontal="center" vertical="center" wrapText="1"/>
    </xf>
    <xf numFmtId="0" fontId="70" fillId="0" borderId="54" xfId="64" applyFont="1" applyFill="1" applyBorder="1" applyAlignment="1">
      <alignment horizontal="center" vertical="center" wrapText="1"/>
    </xf>
    <xf numFmtId="0" fontId="70" fillId="0" borderId="57" xfId="64" applyFont="1" applyFill="1" applyBorder="1" applyAlignment="1">
      <alignment horizontal="center" vertical="center" wrapText="1"/>
    </xf>
    <xf numFmtId="0" fontId="70" fillId="0" borderId="91" xfId="64" applyFont="1" applyFill="1" applyBorder="1" applyAlignment="1">
      <alignment horizontal="center" vertical="center" wrapText="1"/>
    </xf>
    <xf numFmtId="0" fontId="71" fillId="0" borderId="60" xfId="64" applyFont="1" applyFill="1" applyBorder="1" applyAlignment="1">
      <alignment horizontal="center" vertical="center" wrapText="1"/>
    </xf>
    <xf numFmtId="0" fontId="71" fillId="0" borderId="62" xfId="64" applyFont="1" applyFill="1" applyBorder="1" applyAlignment="1">
      <alignment horizontal="center" vertical="center" wrapText="1"/>
    </xf>
    <xf numFmtId="0" fontId="71" fillId="0" borderId="68" xfId="64" applyFont="1" applyFill="1" applyBorder="1" applyAlignment="1">
      <alignment horizontal="center" vertical="center" wrapText="1"/>
    </xf>
    <xf numFmtId="0" fontId="71" fillId="0" borderId="60" xfId="64" applyFont="1" applyFill="1" applyBorder="1" applyAlignment="1">
      <alignment horizontal="center" wrapText="1"/>
    </xf>
    <xf numFmtId="0" fontId="71" fillId="0" borderId="62" xfId="64" applyFont="1" applyFill="1" applyBorder="1" applyAlignment="1">
      <alignment horizontal="center" wrapText="1"/>
    </xf>
    <xf numFmtId="0" fontId="71" fillId="0" borderId="63" xfId="64" applyFont="1" applyFill="1" applyBorder="1" applyAlignment="1">
      <alignment horizontal="center" wrapText="1"/>
    </xf>
    <xf numFmtId="0" fontId="70" fillId="0" borderId="60" xfId="82" applyFont="1" applyBorder="1" applyAlignment="1">
      <alignment horizontal="center" vertical="center"/>
    </xf>
    <xf numFmtId="0" fontId="70" fillId="0" borderId="63" xfId="82" applyFont="1" applyBorder="1" applyAlignment="1">
      <alignment horizontal="center" vertical="center"/>
    </xf>
    <xf numFmtId="0" fontId="71" fillId="0" borderId="0" xfId="84" applyFont="1" applyAlignment="1"/>
    <xf numFmtId="0" fontId="70" fillId="0" borderId="91" xfId="186" quotePrefix="1" applyNumberFormat="1" applyFont="1" applyBorder="1" applyAlignment="1">
      <alignment horizontal="center" vertical="center"/>
    </xf>
    <xf numFmtId="0" fontId="70" fillId="0" borderId="69" xfId="75" applyFont="1" applyBorder="1" applyAlignment="1">
      <alignment horizontal="center" vertical="center" wrapText="1"/>
    </xf>
    <xf numFmtId="0" fontId="70" fillId="0" borderId="43" xfId="75" applyFont="1" applyBorder="1" applyAlignment="1">
      <alignment horizontal="center" vertical="center" wrapText="1"/>
    </xf>
    <xf numFmtId="0" fontId="70" fillId="0" borderId="92" xfId="82" applyFont="1" applyBorder="1" applyAlignment="1">
      <alignment horizontal="center" vertical="center" wrapText="1"/>
    </xf>
    <xf numFmtId="0" fontId="70" fillId="0" borderId="93" xfId="82" applyFont="1" applyBorder="1" applyAlignment="1">
      <alignment horizontal="center" vertical="center" wrapText="1"/>
    </xf>
    <xf numFmtId="0" fontId="70" fillId="0" borderId="95" xfId="82" applyFont="1" applyBorder="1" applyAlignment="1">
      <alignment horizontal="center" vertical="center" wrapText="1"/>
    </xf>
    <xf numFmtId="0" fontId="71" fillId="0" borderId="0" xfId="84" applyFont="1" applyBorder="1" applyAlignment="1">
      <alignment horizontal="left"/>
    </xf>
    <xf numFmtId="0" fontId="70" fillId="0" borderId="10" xfId="82" applyFont="1" applyBorder="1" applyAlignment="1">
      <alignment horizontal="center" vertical="center" wrapText="1"/>
    </xf>
    <xf numFmtId="0" fontId="71" fillId="0" borderId="60" xfId="71" applyFont="1" applyFill="1" applyBorder="1" applyAlignment="1">
      <alignment horizontal="center" vertical="center"/>
    </xf>
    <xf numFmtId="0" fontId="71" fillId="0" borderId="79" xfId="79" applyFont="1" applyBorder="1" applyAlignment="1">
      <alignment horizontal="center" vertical="center" wrapText="1"/>
    </xf>
    <xf numFmtId="0" fontId="71" fillId="0" borderId="80" xfId="79" applyFont="1" applyBorder="1" applyAlignment="1">
      <alignment horizontal="center" vertical="center" wrapText="1"/>
    </xf>
    <xf numFmtId="0" fontId="71" fillId="0" borderId="87" xfId="79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 wrapText="1"/>
    </xf>
    <xf numFmtId="0" fontId="70" fillId="0" borderId="61" xfId="0" applyFont="1" applyFill="1" applyBorder="1" applyAlignment="1">
      <alignment horizontal="center" vertical="center" wrapText="1"/>
    </xf>
    <xf numFmtId="0" fontId="70" fillId="0" borderId="62" xfId="0" applyFont="1" applyFill="1" applyBorder="1" applyAlignment="1">
      <alignment horizontal="center" vertical="center" wrapText="1"/>
    </xf>
    <xf numFmtId="0" fontId="70" fillId="0" borderId="62" xfId="0" applyFont="1" applyFill="1" applyBorder="1" applyAlignment="1">
      <alignment horizontal="center" vertical="top" wrapText="1"/>
    </xf>
    <xf numFmtId="0" fontId="70" fillId="0" borderId="63" xfId="0" applyFont="1" applyFill="1" applyBorder="1" applyAlignment="1">
      <alignment horizontal="center" vertical="top" wrapText="1"/>
    </xf>
    <xf numFmtId="0" fontId="71" fillId="0" borderId="0" xfId="0" applyFont="1" applyFill="1" applyAlignment="1">
      <alignment horizontal="center" vertical="center" wrapText="1"/>
    </xf>
    <xf numFmtId="0" fontId="71" fillId="0" borderId="83" xfId="89" applyFont="1" applyFill="1" applyBorder="1" applyAlignment="1">
      <alignment horizontal="center" vertical="center" wrapText="1"/>
    </xf>
    <xf numFmtId="0" fontId="71" fillId="0" borderId="84" xfId="89" applyFont="1" applyFill="1" applyBorder="1" applyAlignment="1">
      <alignment horizontal="center" vertical="center" wrapText="1"/>
    </xf>
    <xf numFmtId="0" fontId="71" fillId="0" borderId="85" xfId="89" applyFont="1" applyFill="1" applyBorder="1" applyAlignment="1">
      <alignment horizontal="center" vertical="center" wrapText="1"/>
    </xf>
    <xf numFmtId="0" fontId="89" fillId="0" borderId="0" xfId="0" applyFont="1" applyFill="1" applyAlignment="1">
      <alignment horizontal="left" vertical="center" wrapText="1"/>
    </xf>
    <xf numFmtId="0" fontId="70" fillId="0" borderId="68" xfId="0" applyFont="1" applyFill="1" applyBorder="1" applyAlignment="1">
      <alignment horizontal="center" vertical="center" wrapText="1"/>
    </xf>
    <xf numFmtId="0" fontId="70" fillId="0" borderId="60" xfId="0" applyFont="1" applyFill="1" applyBorder="1" applyAlignment="1">
      <alignment horizontal="center" vertical="top" wrapText="1"/>
    </xf>
    <xf numFmtId="0" fontId="71" fillId="0" borderId="90" xfId="0" applyFont="1" applyFill="1" applyBorder="1" applyAlignment="1">
      <alignment horizontal="right" vertical="center" wrapText="1"/>
    </xf>
    <xf numFmtId="0" fontId="70" fillId="19" borderId="60" xfId="105" applyFont="1" applyFill="1" applyBorder="1" applyAlignment="1">
      <alignment horizontal="left" indent="3"/>
    </xf>
    <xf numFmtId="0" fontId="70" fillId="19" borderId="62" xfId="105" applyFont="1" applyFill="1" applyBorder="1" applyAlignment="1">
      <alignment horizontal="left" indent="3"/>
    </xf>
    <xf numFmtId="0" fontId="70" fillId="19" borderId="63" xfId="105" applyFont="1" applyFill="1" applyBorder="1" applyAlignment="1">
      <alignment horizontal="left" indent="3"/>
    </xf>
    <xf numFmtId="1" fontId="93" fillId="0" borderId="0" xfId="105" applyNumberFormat="1" applyFont="1" applyBorder="1" applyAlignment="1"/>
    <xf numFmtId="0" fontId="93" fillId="0" borderId="0" xfId="0" applyFont="1" applyBorder="1" applyAlignment="1"/>
    <xf numFmtId="0" fontId="89" fillId="20" borderId="0" xfId="105" applyFont="1" applyFill="1" applyBorder="1" applyAlignment="1">
      <alignment horizontal="left" vertical="center" wrapText="1"/>
    </xf>
    <xf numFmtId="0" fontId="70" fillId="20" borderId="52" xfId="105" applyFont="1" applyFill="1" applyBorder="1" applyAlignment="1">
      <alignment horizontal="center" vertical="center"/>
    </xf>
    <xf numFmtId="0" fontId="70" fillId="20" borderId="58" xfId="105" applyFont="1" applyFill="1" applyBorder="1" applyAlignment="1">
      <alignment horizontal="center" vertical="center"/>
    </xf>
    <xf numFmtId="0" fontId="70" fillId="20" borderId="53" xfId="105" applyFont="1" applyFill="1" applyBorder="1" applyAlignment="1">
      <alignment horizontal="center" vertical="center"/>
    </xf>
    <xf numFmtId="0" fontId="70" fillId="20" borderId="41" xfId="105" applyFont="1" applyFill="1" applyBorder="1" applyAlignment="1">
      <alignment horizontal="center" vertical="center"/>
    </xf>
    <xf numFmtId="0" fontId="70" fillId="20" borderId="54" xfId="105" applyFont="1" applyFill="1" applyBorder="1" applyAlignment="1">
      <alignment horizontal="center" vertical="center"/>
    </xf>
    <xf numFmtId="0" fontId="70" fillId="20" borderId="59" xfId="105" applyFont="1" applyFill="1" applyBorder="1" applyAlignment="1">
      <alignment horizontal="center" vertical="center"/>
    </xf>
    <xf numFmtId="0" fontId="71" fillId="20" borderId="60" xfId="105" applyFont="1" applyFill="1" applyBorder="1" applyAlignment="1">
      <alignment horizontal="center" vertical="center" wrapText="1"/>
    </xf>
    <xf numFmtId="0" fontId="71" fillId="20" borderId="62" xfId="105" applyFont="1" applyFill="1" applyBorder="1" applyAlignment="1">
      <alignment horizontal="center" vertical="center" wrapText="1"/>
    </xf>
    <xf numFmtId="0" fontId="71" fillId="20" borderId="68" xfId="105" applyFont="1" applyFill="1" applyBorder="1" applyAlignment="1">
      <alignment horizontal="center" vertical="center" wrapText="1"/>
    </xf>
    <xf numFmtId="0" fontId="70" fillId="0" borderId="60" xfId="105" applyFont="1" applyBorder="1" applyAlignment="1">
      <alignment horizontal="center"/>
    </xf>
    <xf numFmtId="0" fontId="70" fillId="0" borderId="62" xfId="105" applyFont="1" applyBorder="1" applyAlignment="1">
      <alignment horizontal="center"/>
    </xf>
    <xf numFmtId="0" fontId="70" fillId="0" borderId="63" xfId="105" applyFont="1" applyBorder="1" applyAlignment="1">
      <alignment horizontal="center"/>
    </xf>
    <xf numFmtId="0" fontId="89" fillId="0" borderId="0" xfId="105" applyFont="1" applyBorder="1" applyAlignment="1">
      <alignment horizontal="left" vertical="center" wrapText="1"/>
    </xf>
    <xf numFmtId="0" fontId="70" fillId="0" borderId="52" xfId="105" applyFont="1" applyBorder="1" applyAlignment="1">
      <alignment horizontal="center" vertical="center"/>
    </xf>
    <xf numFmtId="0" fontId="70" fillId="0" borderId="58" xfId="105" applyFont="1" applyBorder="1" applyAlignment="1">
      <alignment horizontal="center" vertical="center"/>
    </xf>
    <xf numFmtId="0" fontId="70" fillId="0" borderId="53" xfId="105" applyFont="1" applyBorder="1" applyAlignment="1">
      <alignment horizontal="center" vertical="center"/>
    </xf>
    <xf numFmtId="0" fontId="70" fillId="0" borderId="41" xfId="105" applyFont="1" applyBorder="1" applyAlignment="1">
      <alignment horizontal="center" vertical="center"/>
    </xf>
    <xf numFmtId="0" fontId="70" fillId="0" borderId="54" xfId="105" applyFont="1" applyBorder="1" applyAlignment="1">
      <alignment horizontal="center" vertical="center"/>
    </xf>
    <xf numFmtId="0" fontId="70" fillId="0" borderId="59" xfId="105" applyFont="1" applyBorder="1" applyAlignment="1">
      <alignment horizontal="center" vertical="center"/>
    </xf>
    <xf numFmtId="0" fontId="71" fillId="0" borderId="88" xfId="105" applyFont="1" applyBorder="1" applyAlignment="1">
      <alignment horizontal="center" vertical="center" wrapText="1"/>
    </xf>
    <xf numFmtId="0" fontId="71" fillId="0" borderId="84" xfId="105" applyFont="1" applyBorder="1" applyAlignment="1">
      <alignment horizontal="center" vertical="center" wrapText="1"/>
    </xf>
    <xf numFmtId="0" fontId="71" fillId="0" borderId="94" xfId="105" applyFont="1" applyBorder="1" applyAlignment="1">
      <alignment horizontal="center" vertical="center" wrapText="1"/>
    </xf>
    <xf numFmtId="0" fontId="89" fillId="19" borderId="0" xfId="105" applyFont="1" applyFill="1" applyBorder="1" applyAlignment="1">
      <alignment horizontal="left" vertical="center" wrapText="1"/>
    </xf>
    <xf numFmtId="0" fontId="70" fillId="19" borderId="58" xfId="105" applyFont="1" applyFill="1" applyBorder="1" applyAlignment="1">
      <alignment horizontal="center" vertical="center"/>
    </xf>
    <xf numFmtId="0" fontId="70" fillId="19" borderId="41" xfId="105" applyFont="1" applyFill="1" applyBorder="1" applyAlignment="1">
      <alignment horizontal="center" vertical="center"/>
    </xf>
    <xf numFmtId="0" fontId="70" fillId="19" borderId="59" xfId="105" applyFont="1" applyFill="1" applyBorder="1" applyAlignment="1">
      <alignment horizontal="center" vertical="center"/>
    </xf>
    <xf numFmtId="0" fontId="71" fillId="19" borderId="88" xfId="105" applyFont="1" applyFill="1" applyBorder="1" applyAlignment="1">
      <alignment horizontal="center" vertical="center" wrapText="1"/>
    </xf>
    <xf numFmtId="0" fontId="71" fillId="19" borderId="84" xfId="105" applyFont="1" applyFill="1" applyBorder="1" applyAlignment="1">
      <alignment horizontal="center" vertical="center" wrapText="1"/>
    </xf>
    <xf numFmtId="0" fontId="71" fillId="19" borderId="94" xfId="105" applyFont="1" applyFill="1" applyBorder="1" applyAlignment="1">
      <alignment horizontal="center" vertical="center" wrapText="1"/>
    </xf>
    <xf numFmtId="0" fontId="71" fillId="0" borderId="61" xfId="105" applyFont="1" applyBorder="1" applyAlignment="1">
      <alignment horizontal="center" vertical="center" wrapText="1"/>
    </xf>
    <xf numFmtId="0" fontId="71" fillId="0" borderId="62" xfId="105" applyFont="1" applyBorder="1" applyAlignment="1">
      <alignment horizontal="center" vertical="center" wrapText="1"/>
    </xf>
    <xf numFmtId="0" fontId="71" fillId="0" borderId="68" xfId="105" applyFont="1" applyBorder="1" applyAlignment="1">
      <alignment horizontal="center" vertical="center" wrapText="1"/>
    </xf>
    <xf numFmtId="0" fontId="71" fillId="0" borderId="0" xfId="105" applyFont="1" applyBorder="1" applyAlignment="1"/>
  </cellXfs>
  <cellStyles count="5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110" builtinId="30" customBuiltin="1"/>
    <cellStyle name="20% — akcent 1 2" xfId="205"/>
    <cellStyle name="20% — akcent 1 2 2" xfId="278"/>
    <cellStyle name="20% — akcent 1 2 2 2" xfId="475"/>
    <cellStyle name="20% — akcent 1 2 3" xfId="346"/>
    <cellStyle name="20% — akcent 1 2 4" xfId="401"/>
    <cellStyle name="20% — akcent 1 2 5" xfId="438"/>
    <cellStyle name="20% — akcent 1 2 6" xfId="533"/>
    <cellStyle name="20% — akcent 1 3" xfId="227"/>
    <cellStyle name="20% — akcent 1 3 2" xfId="367"/>
    <cellStyle name="20% — akcent 1 3 3" xfId="442"/>
    <cellStyle name="20% — akcent 1 3 4" xfId="500"/>
    <cellStyle name="20% — akcent 1 4" xfId="313"/>
    <cellStyle name="20% — akcent 1 5" xfId="350"/>
    <cellStyle name="20% — akcent 1 6" xfId="405"/>
    <cellStyle name="20% — akcent 1 7" xfId="483"/>
    <cellStyle name="20% — akcent 2" xfId="113" builtinId="34" customBuiltin="1"/>
    <cellStyle name="20% — akcent 2 2" xfId="203"/>
    <cellStyle name="20% — akcent 2 2 2" xfId="276"/>
    <cellStyle name="20% — akcent 2 2 2 2" xfId="473"/>
    <cellStyle name="20% — akcent 2 2 3" xfId="344"/>
    <cellStyle name="20% — akcent 2 2 4" xfId="399"/>
    <cellStyle name="20% — akcent 2 2 5" xfId="436"/>
    <cellStyle name="20% — akcent 2 2 6" xfId="531"/>
    <cellStyle name="20% — akcent 2 3" xfId="229"/>
    <cellStyle name="20% — akcent 2 3 2" xfId="369"/>
    <cellStyle name="20% — akcent 2 3 3" xfId="444"/>
    <cellStyle name="20% — akcent 2 3 4" xfId="502"/>
    <cellStyle name="20% — akcent 2 4" xfId="315"/>
    <cellStyle name="20% — akcent 2 5" xfId="352"/>
    <cellStyle name="20% — akcent 2 6" xfId="407"/>
    <cellStyle name="20% — akcent 2 7" xfId="485"/>
    <cellStyle name="20% — akcent 3" xfId="116" builtinId="38" customBuiltin="1"/>
    <cellStyle name="20% — akcent 3 2" xfId="201"/>
    <cellStyle name="20% — akcent 3 2 2" xfId="274"/>
    <cellStyle name="20% — akcent 3 2 2 2" xfId="471"/>
    <cellStyle name="20% — akcent 3 2 3" xfId="342"/>
    <cellStyle name="20% — akcent 3 2 4" xfId="397"/>
    <cellStyle name="20% — akcent 3 2 5" xfId="434"/>
    <cellStyle name="20% — akcent 3 2 6" xfId="529"/>
    <cellStyle name="20% — akcent 3 3" xfId="231"/>
    <cellStyle name="20% — akcent 3 3 2" xfId="371"/>
    <cellStyle name="20% — akcent 3 3 3" xfId="446"/>
    <cellStyle name="20% — akcent 3 3 4" xfId="504"/>
    <cellStyle name="20% — akcent 3 4" xfId="317"/>
    <cellStyle name="20% — akcent 3 5" xfId="354"/>
    <cellStyle name="20% — akcent 3 6" xfId="409"/>
    <cellStyle name="20% — akcent 3 7" xfId="487"/>
    <cellStyle name="20% — akcent 4" xfId="119" builtinId="42" customBuiltin="1"/>
    <cellStyle name="20% — akcent 4 2" xfId="199"/>
    <cellStyle name="20% — akcent 4 2 2" xfId="272"/>
    <cellStyle name="20% — akcent 4 2 2 2" xfId="469"/>
    <cellStyle name="20% — akcent 4 2 3" xfId="340"/>
    <cellStyle name="20% — akcent 4 2 4" xfId="395"/>
    <cellStyle name="20% — akcent 4 2 5" xfId="432"/>
    <cellStyle name="20% — akcent 4 2 6" xfId="527"/>
    <cellStyle name="20% — akcent 4 3" xfId="233"/>
    <cellStyle name="20% — akcent 4 3 2" xfId="373"/>
    <cellStyle name="20% — akcent 4 3 3" xfId="448"/>
    <cellStyle name="20% — akcent 4 3 4" xfId="506"/>
    <cellStyle name="20% — akcent 4 4" xfId="319"/>
    <cellStyle name="20% — akcent 4 5" xfId="356"/>
    <cellStyle name="20% — akcent 4 6" xfId="411"/>
    <cellStyle name="20% — akcent 4 7" xfId="489"/>
    <cellStyle name="20% — akcent 5" xfId="122" builtinId="46" customBuiltin="1"/>
    <cellStyle name="20% — akcent 5 2" xfId="187"/>
    <cellStyle name="20% — akcent 5 2 2" xfId="253"/>
    <cellStyle name="20% — akcent 5 2 2 2" xfId="459"/>
    <cellStyle name="20% — akcent 5 2 3" xfId="330"/>
    <cellStyle name="20% — akcent 5 2 4" xfId="385"/>
    <cellStyle name="20% — akcent 5 2 5" xfId="422"/>
    <cellStyle name="20% — akcent 5 2 6" xfId="517"/>
    <cellStyle name="20% — akcent 5 3" xfId="235"/>
    <cellStyle name="20% — akcent 5 3 2" xfId="375"/>
    <cellStyle name="20% — akcent 5 3 3" xfId="450"/>
    <cellStyle name="20% — akcent 5 3 4" xfId="508"/>
    <cellStyle name="20% — akcent 5 4" xfId="321"/>
    <cellStyle name="20% — akcent 5 5" xfId="358"/>
    <cellStyle name="20% — akcent 5 6" xfId="413"/>
    <cellStyle name="20% — akcent 5 7" xfId="491"/>
    <cellStyle name="20% — akcent 6" xfId="125" builtinId="50" customBuiltin="1"/>
    <cellStyle name="20% — akcent 6 2" xfId="189"/>
    <cellStyle name="20% — akcent 6 2 2" xfId="255"/>
    <cellStyle name="20% — akcent 6 2 2 2" xfId="461"/>
    <cellStyle name="20% — akcent 6 2 3" xfId="332"/>
    <cellStyle name="20% — akcent 6 2 4" xfId="387"/>
    <cellStyle name="20% — akcent 6 2 5" xfId="424"/>
    <cellStyle name="20% — akcent 6 2 6" xfId="519"/>
    <cellStyle name="20% — akcent 6 3" xfId="237"/>
    <cellStyle name="20% — akcent 6 3 2" xfId="377"/>
    <cellStyle name="20% — akcent 6 3 3" xfId="452"/>
    <cellStyle name="20% — akcent 6 3 4" xfId="510"/>
    <cellStyle name="20% — akcent 6 4" xfId="323"/>
    <cellStyle name="20% — akcent 6 5" xfId="360"/>
    <cellStyle name="20% — akcent 6 6" xfId="415"/>
    <cellStyle name="20% — akcent 6 7" xfId="493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— akcent 1" xfId="111" builtinId="31" customBuiltin="1"/>
    <cellStyle name="40% — akcent 1 2" xfId="204"/>
    <cellStyle name="40% — akcent 1 2 2" xfId="277"/>
    <cellStyle name="40% — akcent 1 2 2 2" xfId="474"/>
    <cellStyle name="40% — akcent 1 2 3" xfId="345"/>
    <cellStyle name="40% — akcent 1 2 4" xfId="400"/>
    <cellStyle name="40% — akcent 1 2 5" xfId="437"/>
    <cellStyle name="40% — akcent 1 2 6" xfId="532"/>
    <cellStyle name="40% — akcent 1 3" xfId="228"/>
    <cellStyle name="40% — akcent 1 3 2" xfId="368"/>
    <cellStyle name="40% — akcent 1 3 3" xfId="443"/>
    <cellStyle name="40% — akcent 1 3 4" xfId="501"/>
    <cellStyle name="40% — akcent 1 4" xfId="314"/>
    <cellStyle name="40% — akcent 1 5" xfId="351"/>
    <cellStyle name="40% — akcent 1 6" xfId="406"/>
    <cellStyle name="40% — akcent 1 7" xfId="484"/>
    <cellStyle name="40% — akcent 2" xfId="114" builtinId="35" customBuiltin="1"/>
    <cellStyle name="40% — akcent 2 2" xfId="202"/>
    <cellStyle name="40% — akcent 2 2 2" xfId="275"/>
    <cellStyle name="40% — akcent 2 2 2 2" xfId="472"/>
    <cellStyle name="40% — akcent 2 2 3" xfId="343"/>
    <cellStyle name="40% — akcent 2 2 4" xfId="398"/>
    <cellStyle name="40% — akcent 2 2 5" xfId="435"/>
    <cellStyle name="40% — akcent 2 2 6" xfId="530"/>
    <cellStyle name="40% — akcent 2 3" xfId="230"/>
    <cellStyle name="40% — akcent 2 3 2" xfId="370"/>
    <cellStyle name="40% — akcent 2 3 3" xfId="445"/>
    <cellStyle name="40% — akcent 2 3 4" xfId="503"/>
    <cellStyle name="40% — akcent 2 4" xfId="316"/>
    <cellStyle name="40% — akcent 2 5" xfId="353"/>
    <cellStyle name="40% — akcent 2 6" xfId="408"/>
    <cellStyle name="40% — akcent 2 7" xfId="486"/>
    <cellStyle name="40% — akcent 3" xfId="117" builtinId="39" customBuiltin="1"/>
    <cellStyle name="40% — akcent 3 2" xfId="200"/>
    <cellStyle name="40% — akcent 3 2 2" xfId="273"/>
    <cellStyle name="40% — akcent 3 2 2 2" xfId="470"/>
    <cellStyle name="40% — akcent 3 2 3" xfId="341"/>
    <cellStyle name="40% — akcent 3 2 4" xfId="396"/>
    <cellStyle name="40% — akcent 3 2 5" xfId="433"/>
    <cellStyle name="40% — akcent 3 2 6" xfId="528"/>
    <cellStyle name="40% — akcent 3 3" xfId="232"/>
    <cellStyle name="40% — akcent 3 3 2" xfId="372"/>
    <cellStyle name="40% — akcent 3 3 3" xfId="447"/>
    <cellStyle name="40% — akcent 3 3 4" xfId="505"/>
    <cellStyle name="40% — akcent 3 4" xfId="318"/>
    <cellStyle name="40% — akcent 3 5" xfId="355"/>
    <cellStyle name="40% — akcent 3 6" xfId="410"/>
    <cellStyle name="40% — akcent 3 7" xfId="488"/>
    <cellStyle name="40% — akcent 4" xfId="120" builtinId="43" customBuiltin="1"/>
    <cellStyle name="40% — akcent 4 2" xfId="198"/>
    <cellStyle name="40% — akcent 4 2 2" xfId="271"/>
    <cellStyle name="40% — akcent 4 2 2 2" xfId="468"/>
    <cellStyle name="40% — akcent 4 2 3" xfId="339"/>
    <cellStyle name="40% — akcent 4 2 4" xfId="394"/>
    <cellStyle name="40% — akcent 4 2 5" xfId="431"/>
    <cellStyle name="40% — akcent 4 2 6" xfId="526"/>
    <cellStyle name="40% — akcent 4 3" xfId="234"/>
    <cellStyle name="40% — akcent 4 3 2" xfId="374"/>
    <cellStyle name="40% — akcent 4 3 3" xfId="449"/>
    <cellStyle name="40% — akcent 4 3 4" xfId="507"/>
    <cellStyle name="40% — akcent 4 4" xfId="320"/>
    <cellStyle name="40% — akcent 4 5" xfId="357"/>
    <cellStyle name="40% — akcent 4 6" xfId="412"/>
    <cellStyle name="40% — akcent 4 7" xfId="490"/>
    <cellStyle name="40% — akcent 5" xfId="123" builtinId="47" customBuiltin="1"/>
    <cellStyle name="40% — akcent 5 2" xfId="188"/>
    <cellStyle name="40% — akcent 5 2 2" xfId="254"/>
    <cellStyle name="40% — akcent 5 2 2 2" xfId="460"/>
    <cellStyle name="40% — akcent 5 2 3" xfId="331"/>
    <cellStyle name="40% — akcent 5 2 4" xfId="386"/>
    <cellStyle name="40% — akcent 5 2 5" xfId="423"/>
    <cellStyle name="40% — akcent 5 2 6" xfId="518"/>
    <cellStyle name="40% — akcent 5 3" xfId="236"/>
    <cellStyle name="40% — akcent 5 3 2" xfId="376"/>
    <cellStyle name="40% — akcent 5 3 3" xfId="451"/>
    <cellStyle name="40% — akcent 5 3 4" xfId="509"/>
    <cellStyle name="40% — akcent 5 4" xfId="322"/>
    <cellStyle name="40% — akcent 5 5" xfId="359"/>
    <cellStyle name="40% — akcent 5 6" xfId="414"/>
    <cellStyle name="40% — akcent 5 7" xfId="492"/>
    <cellStyle name="40% — akcent 6" xfId="126" builtinId="51" customBuiltin="1"/>
    <cellStyle name="40% — akcent 6 2" xfId="190"/>
    <cellStyle name="40% — akcent 6 2 2" xfId="256"/>
    <cellStyle name="40% — akcent 6 2 2 2" xfId="462"/>
    <cellStyle name="40% — akcent 6 2 3" xfId="333"/>
    <cellStyle name="40% — akcent 6 2 4" xfId="388"/>
    <cellStyle name="40% — akcent 6 2 5" xfId="425"/>
    <cellStyle name="40% — akcent 6 2 6" xfId="520"/>
    <cellStyle name="40% — akcent 6 3" xfId="238"/>
    <cellStyle name="40% — akcent 6 3 2" xfId="378"/>
    <cellStyle name="40% — akcent 6 3 3" xfId="453"/>
    <cellStyle name="40% — akcent 6 3 4" xfId="511"/>
    <cellStyle name="40% — akcent 6 4" xfId="324"/>
    <cellStyle name="40% — akcent 6 5" xfId="361"/>
    <cellStyle name="40% — akcent 6 6" xfId="416"/>
    <cellStyle name="40% — akcent 6 7" xfId="494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— akcent 1" xfId="112" builtinId="32" customBuiltin="1"/>
    <cellStyle name="60% — akcent 2" xfId="115" builtinId="36" customBuiltin="1"/>
    <cellStyle name="60% — akcent 3" xfId="118" builtinId="40" customBuiltin="1"/>
    <cellStyle name="60% — akcent 4" xfId="121" builtinId="44" customBuiltin="1"/>
    <cellStyle name="60% — akcent 5" xfId="124" builtinId="48" customBuiltin="1"/>
    <cellStyle name="60% — akcent 6" xfId="127" builtinId="52" customBuiltin="1"/>
    <cellStyle name="Accent1" xfId="19"/>
    <cellStyle name="Accent2" xfId="20"/>
    <cellStyle name="Accent3" xfId="21"/>
    <cellStyle name="Accent4" xfId="22"/>
    <cellStyle name="Accent5" xfId="23"/>
    <cellStyle name="Accent6" xfId="24"/>
    <cellStyle name="Akcent 1" xfId="25" builtinId="29" customBuiltin="1"/>
    <cellStyle name="Akcent 1 2" xfId="151"/>
    <cellStyle name="Akcent 1 3" xfId="142"/>
    <cellStyle name="Akcent 2" xfId="26" builtinId="33" customBuiltin="1"/>
    <cellStyle name="Akcent 2 2" xfId="152"/>
    <cellStyle name="Akcent 2 3" xfId="143"/>
    <cellStyle name="Akcent 3" xfId="27" builtinId="37" customBuiltin="1"/>
    <cellStyle name="Akcent 3 2" xfId="153"/>
    <cellStyle name="Akcent 3 3" xfId="144"/>
    <cellStyle name="Akcent 4" xfId="28" builtinId="41" customBuiltin="1"/>
    <cellStyle name="Akcent 4 2" xfId="154"/>
    <cellStyle name="Akcent 4 3" xfId="145"/>
    <cellStyle name="Akcent 5" xfId="29" builtinId="45" customBuiltin="1"/>
    <cellStyle name="Akcent 5 2" xfId="155"/>
    <cellStyle name="Akcent 5 3" xfId="146"/>
    <cellStyle name="Akcent 6" xfId="30" builtinId="49" customBuiltin="1"/>
    <cellStyle name="Akcent 6 2" xfId="156"/>
    <cellStyle name="Akcent 6 3" xfId="147"/>
    <cellStyle name="Bad" xfId="31"/>
    <cellStyle name="Calculation" xfId="32"/>
    <cellStyle name="Check Cell" xfId="33"/>
    <cellStyle name="Dane wejściowe" xfId="34" builtinId="20" customBuiltin="1"/>
    <cellStyle name="Dane wejściowe 2" xfId="157"/>
    <cellStyle name="Dane wejściowe 3" xfId="134"/>
    <cellStyle name="Dane wyjściowe" xfId="35" builtinId="21" customBuiltin="1"/>
    <cellStyle name="Dane wyjściowe 2" xfId="158"/>
    <cellStyle name="Dane wyjściowe 3" xfId="135"/>
    <cellStyle name="Dobry" xfId="107" builtinId="26" customBuiltin="1"/>
    <cellStyle name="Dziesiętny" xfId="537" builtinId="3"/>
    <cellStyle name="Dziesiętny 2" xfId="36"/>
    <cellStyle name="Dziesiętny 2 2" xfId="37"/>
    <cellStyle name="Dziesiętny 2 2 2" xfId="160"/>
    <cellStyle name="Dziesiętny 2 2 2 2" xfId="261"/>
    <cellStyle name="Dziesiętny 2 2 3" xfId="208"/>
    <cellStyle name="Dziesiętny 2 2 3 2" xfId="281"/>
    <cellStyle name="Dziesiętny 2 2 4" xfId="217"/>
    <cellStyle name="Dziesiętny 2 2 4 2" xfId="290"/>
    <cellStyle name="Dziesiętny 2 2 5" xfId="243"/>
    <cellStyle name="Dziesiętny 2 2 6" xfId="302"/>
    <cellStyle name="Dziesiętny 2 3" xfId="193"/>
    <cellStyle name="Dziesiętny 2 3 2" xfId="260"/>
    <cellStyle name="Dziesiętny 2 4" xfId="207"/>
    <cellStyle name="Dziesiętny 2 4 2" xfId="280"/>
    <cellStyle name="Dziesiętny 2 5" xfId="216"/>
    <cellStyle name="Dziesiętny 2 5 2" xfId="289"/>
    <cellStyle name="Dziesiętny 2 6" xfId="242"/>
    <cellStyle name="Dziesiętny 2 7" xfId="301"/>
    <cellStyle name="Dziesiętny 3" xfId="38"/>
    <cellStyle name="Dziesiętny 3 2" xfId="39"/>
    <cellStyle name="Dziesiętny 3 2 2" xfId="161"/>
    <cellStyle name="Dziesiętny 3 2 2 2" xfId="263"/>
    <cellStyle name="Dziesiętny 3 2 3" xfId="210"/>
    <cellStyle name="Dziesiętny 3 2 3 2" xfId="283"/>
    <cellStyle name="Dziesiętny 3 2 4" xfId="219"/>
    <cellStyle name="Dziesiętny 3 2 4 2" xfId="292"/>
    <cellStyle name="Dziesiętny 3 2 5" xfId="245"/>
    <cellStyle name="Dziesiętny 3 2 6" xfId="304"/>
    <cellStyle name="Dziesiętny 3 3" xfId="40"/>
    <cellStyle name="Dziesiętny 3 3 2" xfId="41"/>
    <cellStyle name="Dziesiętny 3 3 2 2" xfId="196"/>
    <cellStyle name="Dziesiętny 3 3 2 2 2" xfId="265"/>
    <cellStyle name="Dziesiętny 3 3 2 3" xfId="212"/>
    <cellStyle name="Dziesiętny 3 3 2 3 2" xfId="285"/>
    <cellStyle name="Dziesiętny 3 3 2 4" xfId="221"/>
    <cellStyle name="Dziesiętny 3 3 2 4 2" xfId="294"/>
    <cellStyle name="Dziesiętny 3 3 2 5" xfId="247"/>
    <cellStyle name="Dziesiętny 3 3 2 6" xfId="306"/>
    <cellStyle name="Dziesiętny 3 3 3" xfId="195"/>
    <cellStyle name="Dziesiętny 3 3 3 2" xfId="264"/>
    <cellStyle name="Dziesiętny 3 3 4" xfId="211"/>
    <cellStyle name="Dziesiętny 3 3 4 2" xfId="284"/>
    <cellStyle name="Dziesiętny 3 3 5" xfId="220"/>
    <cellStyle name="Dziesiętny 3 3 5 2" xfId="293"/>
    <cellStyle name="Dziesiętny 3 3 6" xfId="246"/>
    <cellStyle name="Dziesiętny 3 3 7" xfId="305"/>
    <cellStyle name="Dziesiętny 3 4" xfId="194"/>
    <cellStyle name="Dziesiętny 3 4 2" xfId="262"/>
    <cellStyle name="Dziesiętny 3 5" xfId="209"/>
    <cellStyle name="Dziesiętny 3 5 2" xfId="282"/>
    <cellStyle name="Dziesiętny 3 6" xfId="218"/>
    <cellStyle name="Dziesiętny 3 6 2" xfId="291"/>
    <cellStyle name="Dziesiętny 3 7" xfId="244"/>
    <cellStyle name="Dziesiętny 3 8" xfId="303"/>
    <cellStyle name="Dziesiętny 4" xfId="42"/>
    <cellStyle name="Dziesiętny 4 2" xfId="43"/>
    <cellStyle name="Dziesiętny 4 2 2" xfId="185"/>
    <cellStyle name="Dziesiętny 4 2 2 2" xfId="267"/>
    <cellStyle name="Dziesiętny 4 2 3" xfId="214"/>
    <cellStyle name="Dziesiętny 4 2 3 2" xfId="287"/>
    <cellStyle name="Dziesiętny 4 2 4" xfId="223"/>
    <cellStyle name="Dziesiętny 4 2 4 2" xfId="296"/>
    <cellStyle name="Dziesiętny 4 2 5" xfId="249"/>
    <cellStyle name="Dziesiętny 4 2 5 2" xfId="381"/>
    <cellStyle name="Dziesiętny 4 2 6" xfId="308"/>
    <cellStyle name="Dziesiętny 4 2 6 2" xfId="479"/>
    <cellStyle name="Dziesiętny 4 3" xfId="197"/>
    <cellStyle name="Dziesiętny 4 3 2" xfId="266"/>
    <cellStyle name="Dziesiętny 4 4" xfId="213"/>
    <cellStyle name="Dziesiętny 4 4 2" xfId="286"/>
    <cellStyle name="Dziesiętny 4 5" xfId="222"/>
    <cellStyle name="Dziesiętny 4 5 2" xfId="295"/>
    <cellStyle name="Dziesiętny 4 6" xfId="248"/>
    <cellStyle name="Dziesiętny 4 7" xfId="307"/>
    <cellStyle name="Dziesiętny 5" xfId="159"/>
    <cellStyle name="Dziesiętny 5 2" xfId="206"/>
    <cellStyle name="Dziesiętny 5 2 2" xfId="279"/>
    <cellStyle name="Dziesiętny 5 3" xfId="241"/>
    <cellStyle name="Dziesiętny 6" xfId="192"/>
    <cellStyle name="Dziesiętny 6 2" xfId="259"/>
    <cellStyle name="Dziesiętny 7" xfId="215"/>
    <cellStyle name="Dziesiętny 7 2" xfId="288"/>
    <cellStyle name="Dziesiętny 8" xfId="300"/>
    <cellStyle name="Explanatory Text" xfId="44"/>
    <cellStyle name="Good" xfId="45"/>
    <cellStyle name="Heading 1" xfId="46"/>
    <cellStyle name="Heading 2" xfId="47"/>
    <cellStyle name="Heading 3" xfId="48"/>
    <cellStyle name="Heading 4" xfId="49"/>
    <cellStyle name="Input" xfId="50"/>
    <cellStyle name="Komórka połączona" xfId="51" builtinId="24" customBuiltin="1"/>
    <cellStyle name="Komórka połączona 2" xfId="162"/>
    <cellStyle name="Komórka połączona 3" xfId="137"/>
    <cellStyle name="Komórka zaznaczona" xfId="52" builtinId="23" customBuiltin="1"/>
    <cellStyle name="Komórka zaznaczona 2" xfId="163"/>
    <cellStyle name="Komórka zaznaczona 3" xfId="138"/>
    <cellStyle name="Linked Cell" xfId="53"/>
    <cellStyle name="Nagłówek 1" xfId="54" builtinId="16" customBuiltin="1"/>
    <cellStyle name="Nagłówek 1 2" xfId="164"/>
    <cellStyle name="Nagłówek 1 3" xfId="130"/>
    <cellStyle name="Nagłówek 2" xfId="55" builtinId="17" customBuiltin="1"/>
    <cellStyle name="Nagłówek 2 2" xfId="165"/>
    <cellStyle name="Nagłówek 2 3" xfId="131"/>
    <cellStyle name="Nagłówek 3" xfId="56" builtinId="18" customBuiltin="1"/>
    <cellStyle name="Nagłówek 3 2" xfId="166"/>
    <cellStyle name="Nagłówek 3 3" xfId="132"/>
    <cellStyle name="Nagłówek 4" xfId="57" builtinId="19" customBuiltin="1"/>
    <cellStyle name="Nagłówek 4 2" xfId="167"/>
    <cellStyle name="Nagłówek 4 3" xfId="133"/>
    <cellStyle name="Neutral" xfId="58"/>
    <cellStyle name="Neutralny" xfId="109" builtinId="28" customBuiltin="1"/>
    <cellStyle name="Normalny" xfId="0" builtinId="0"/>
    <cellStyle name="Normalny 2" xfId="59"/>
    <cellStyle name="Normalny 2 2" xfId="60"/>
    <cellStyle name="Normalny 2 2 2" xfId="61"/>
    <cellStyle name="Normalny 2 2 2 10" xfId="497"/>
    <cellStyle name="Normalny 2 2 2 2" xfId="62"/>
    <cellStyle name="Normalny 2 2 2 2 2" xfId="171"/>
    <cellStyle name="Normalny 2 2 2 2 2 2" xfId="269"/>
    <cellStyle name="Normalny 2 2 2 2 2 2 2" xfId="466"/>
    <cellStyle name="Normalny 2 2 2 2 2 3" xfId="337"/>
    <cellStyle name="Normalny 2 2 2 2 2 4" xfId="392"/>
    <cellStyle name="Normalny 2 2 2 2 2 5" xfId="429"/>
    <cellStyle name="Normalny 2 2 2 2 2 6" xfId="524"/>
    <cellStyle name="Normalny 2 2 2 2 3" xfId="225"/>
    <cellStyle name="Normalny 2 2 2 2 3 2" xfId="298"/>
    <cellStyle name="Normalny 2 2 2 2 3 2 2" xfId="477"/>
    <cellStyle name="Normalny 2 2 2 2 3 3" xfId="348"/>
    <cellStyle name="Normalny 2 2 2 2 3 4" xfId="403"/>
    <cellStyle name="Normalny 2 2 2 2 3 5" xfId="440"/>
    <cellStyle name="Normalny 2 2 2 2 3 6" xfId="535"/>
    <cellStyle name="Normalny 2 2 2 2 4" xfId="251"/>
    <cellStyle name="Normalny 2 2 2 2 4 2" xfId="383"/>
    <cellStyle name="Normalny 2 2 2 2 4 3" xfId="457"/>
    <cellStyle name="Normalny 2 2 2 2 4 4" xfId="515"/>
    <cellStyle name="Normalny 2 2 2 2 5" xfId="310"/>
    <cellStyle name="Normalny 2 2 2 2 5 2" xfId="481"/>
    <cellStyle name="Normalny 2 2 2 2 6" xfId="328"/>
    <cellStyle name="Normalny 2 2 2 2 7" xfId="365"/>
    <cellStyle name="Normalny 2 2 2 2 8" xfId="420"/>
    <cellStyle name="Normalny 2 2 2 2 9" xfId="498"/>
    <cellStyle name="Normalny 2 2 2 3" xfId="170"/>
    <cellStyle name="Normalny 2 2 2 3 2" xfId="268"/>
    <cellStyle name="Normalny 2 2 2 3 2 2" xfId="465"/>
    <cellStyle name="Normalny 2 2 2 3 3" xfId="336"/>
    <cellStyle name="Normalny 2 2 2 3 4" xfId="391"/>
    <cellStyle name="Normalny 2 2 2 3 5" xfId="428"/>
    <cellStyle name="Normalny 2 2 2 3 6" xfId="523"/>
    <cellStyle name="Normalny 2 2 2 4" xfId="224"/>
    <cellStyle name="Normalny 2 2 2 4 2" xfId="297"/>
    <cellStyle name="Normalny 2 2 2 4 2 2" xfId="476"/>
    <cellStyle name="Normalny 2 2 2 4 3" xfId="347"/>
    <cellStyle name="Normalny 2 2 2 4 4" xfId="402"/>
    <cellStyle name="Normalny 2 2 2 4 5" xfId="439"/>
    <cellStyle name="Normalny 2 2 2 4 6" xfId="534"/>
    <cellStyle name="Normalny 2 2 2 5" xfId="250"/>
    <cellStyle name="Normalny 2 2 2 5 2" xfId="382"/>
    <cellStyle name="Normalny 2 2 2 5 3" xfId="456"/>
    <cellStyle name="Normalny 2 2 2 5 4" xfId="514"/>
    <cellStyle name="Normalny 2 2 2 6" xfId="309"/>
    <cellStyle name="Normalny 2 2 2 6 2" xfId="480"/>
    <cellStyle name="Normalny 2 2 2 7" xfId="327"/>
    <cellStyle name="Normalny 2 2 2 8" xfId="364"/>
    <cellStyle name="Normalny 2 2 2 9" xfId="419"/>
    <cellStyle name="Normalny 2 2 3" xfId="169"/>
    <cellStyle name="Normalny 2 3" xfId="168"/>
    <cellStyle name="Normalny 2 4" xfId="128"/>
    <cellStyle name="Normalny 3" xfId="63"/>
    <cellStyle name="Normalny 3 2" xfId="64"/>
    <cellStyle name="Normalny 3 2 2" xfId="173"/>
    <cellStyle name="Normalny 3 3" xfId="172"/>
    <cellStyle name="Normalny 3 4" xfId="148"/>
    <cellStyle name="Normalny 3 4 2" xfId="257"/>
    <cellStyle name="Normalny 3 4 2 2" xfId="463"/>
    <cellStyle name="Normalny 3 4 3" xfId="334"/>
    <cellStyle name="Normalny 3 4 4" xfId="389"/>
    <cellStyle name="Normalny 3 4 5" xfId="426"/>
    <cellStyle name="Normalny 3 4 6" xfId="521"/>
    <cellStyle name="Normalny 3 5" xfId="239"/>
    <cellStyle name="Normalny 3 5 2" xfId="379"/>
    <cellStyle name="Normalny 3 5 3" xfId="454"/>
    <cellStyle name="Normalny 3 5 4" xfId="512"/>
    <cellStyle name="Normalny 3 6" xfId="325"/>
    <cellStyle name="Normalny 3 7" xfId="362"/>
    <cellStyle name="Normalny 3 8" xfId="417"/>
    <cellStyle name="Normalny 3 9" xfId="495"/>
    <cellStyle name="Normalny 4" xfId="65"/>
    <cellStyle name="Normalny 4 10" xfId="499"/>
    <cellStyle name="Normalny 4 2" xfId="66"/>
    <cellStyle name="Normalny 4 3" xfId="174"/>
    <cellStyle name="Normalny 4 3 2" xfId="270"/>
    <cellStyle name="Normalny 4 3 2 2" xfId="467"/>
    <cellStyle name="Normalny 4 3 3" xfId="338"/>
    <cellStyle name="Normalny 4 3 4" xfId="393"/>
    <cellStyle name="Normalny 4 3 5" xfId="430"/>
    <cellStyle name="Normalny 4 3 6" xfId="525"/>
    <cellStyle name="Normalny 4 4" xfId="226"/>
    <cellStyle name="Normalny 4 4 2" xfId="299"/>
    <cellStyle name="Normalny 4 4 2 2" xfId="478"/>
    <cellStyle name="Normalny 4 4 3" xfId="349"/>
    <cellStyle name="Normalny 4 4 4" xfId="404"/>
    <cellStyle name="Normalny 4 4 5" xfId="441"/>
    <cellStyle name="Normalny 4 4 6" xfId="536"/>
    <cellStyle name="Normalny 4 5" xfId="252"/>
    <cellStyle name="Normalny 4 5 2" xfId="384"/>
    <cellStyle name="Normalny 4 5 3" xfId="458"/>
    <cellStyle name="Normalny 4 5 4" xfId="516"/>
    <cellStyle name="Normalny 4 6" xfId="311"/>
    <cellStyle name="Normalny 4 6 2" xfId="482"/>
    <cellStyle name="Normalny 4 7" xfId="329"/>
    <cellStyle name="Normalny 4 8" xfId="366"/>
    <cellStyle name="Normalny 4 9" xfId="421"/>
    <cellStyle name="Normalny 5" xfId="67"/>
    <cellStyle name="Normalny 6" xfId="68"/>
    <cellStyle name="Normalny 6 2" xfId="69"/>
    <cellStyle name="Normalny 6 2 2" xfId="70"/>
    <cellStyle name="Normalny 6 2 2 2" xfId="186"/>
    <cellStyle name="Normalny 6 2 3" xfId="71"/>
    <cellStyle name="Normalny 7" xfId="150"/>
    <cellStyle name="Normalny_22-" xfId="72"/>
    <cellStyle name="Normalny_Dochody 2010" xfId="73"/>
    <cellStyle name="Normalny_JST_zalaczniki2010" xfId="74"/>
    <cellStyle name="Normalny_NGwo_wyk" xfId="538"/>
    <cellStyle name="Normalny_NGwoj_pl" xfId="75"/>
    <cellStyle name="Normalny_P79tabele_00" xfId="76"/>
    <cellStyle name="Normalny_PorOrgAdRząd" xfId="77"/>
    <cellStyle name="Normalny_ST6-Zał_wplaty06" xfId="106"/>
    <cellStyle name="Normalny_tab12" xfId="78"/>
    <cellStyle name="Normalny_tabela11_ST2" xfId="79"/>
    <cellStyle name="Normalny_Tablica17" xfId="80"/>
    <cellStyle name="Normalny_Tablica17 2" xfId="81"/>
    <cellStyle name="Normalny_Woj79tabele_00" xfId="82"/>
    <cellStyle name="Normalny_ZadWł" xfId="83"/>
    <cellStyle name="Normalny_zał_68-71" xfId="105"/>
    <cellStyle name="Normalny_zał4kw_79woj" xfId="84"/>
    <cellStyle name="Normalny_Załączniki_MR_wzór (3)" xfId="85"/>
    <cellStyle name="Normalny_Załączniki_MR_wzór (5)" xfId="86"/>
    <cellStyle name="Normalny_Załączniki_MR_wzór (6)" xfId="87"/>
    <cellStyle name="Normalny_Załączniki_MR_wzór (6) 2" xfId="312"/>
    <cellStyle name="Normalny_Zeszyt1" xfId="88"/>
    <cellStyle name="Normalny_Zeszyt1 2" xfId="89"/>
    <cellStyle name="Note" xfId="90"/>
    <cellStyle name="Note 2" xfId="91"/>
    <cellStyle name="Note 2 2" xfId="92"/>
    <cellStyle name="Note 2 2 2" xfId="175"/>
    <cellStyle name="Note 3" xfId="93"/>
    <cellStyle name="Note 3 2" xfId="176"/>
    <cellStyle name="Obliczenia" xfId="94" builtinId="22" customBuiltin="1"/>
    <cellStyle name="Obliczenia 2" xfId="177"/>
    <cellStyle name="Obliczenia 3" xfId="136"/>
    <cellStyle name="Output" xfId="95"/>
    <cellStyle name="Procentowy 2" xfId="96"/>
    <cellStyle name="Procentowy 2 2" xfId="179"/>
    <cellStyle name="Procentowy 3" xfId="178"/>
    <cellStyle name="Suma" xfId="97" builtinId="25" customBuiltin="1"/>
    <cellStyle name="Suma 2" xfId="180"/>
    <cellStyle name="Suma 3" xfId="141"/>
    <cellStyle name="Tekst objaśnienia" xfId="98" builtinId="53" customBuiltin="1"/>
    <cellStyle name="Tekst objaśnienia 2" xfId="181"/>
    <cellStyle name="Tekst objaśnienia 3" xfId="140"/>
    <cellStyle name="Tekst ostrzeżenia" xfId="99" builtinId="11" customBuiltin="1"/>
    <cellStyle name="Tekst ostrzeżenia 2" xfId="182"/>
    <cellStyle name="Tekst ostrzeżenia 3" xfId="139"/>
    <cellStyle name="Title" xfId="100"/>
    <cellStyle name="Total" xfId="101"/>
    <cellStyle name="Tytuł" xfId="102" builtinId="15" customBuiltin="1"/>
    <cellStyle name="Tytuł 2" xfId="183"/>
    <cellStyle name="Tytuł 3" xfId="129"/>
    <cellStyle name="Uwaga" xfId="103" builtinId="10" customBuiltin="1"/>
    <cellStyle name="Uwaga 2" xfId="149"/>
    <cellStyle name="Uwaga 2 2" xfId="191"/>
    <cellStyle name="Uwaga 2 2 2" xfId="258"/>
    <cellStyle name="Uwaga 2 2 2 2" xfId="464"/>
    <cellStyle name="Uwaga 2 2 3" xfId="335"/>
    <cellStyle name="Uwaga 2 2 4" xfId="390"/>
    <cellStyle name="Uwaga 2 2 5" xfId="427"/>
    <cellStyle name="Uwaga 2 2 6" xfId="522"/>
    <cellStyle name="Uwaga 2 3" xfId="240"/>
    <cellStyle name="Uwaga 2 3 2" xfId="380"/>
    <cellStyle name="Uwaga 2 3 3" xfId="455"/>
    <cellStyle name="Uwaga 2 3 4" xfId="513"/>
    <cellStyle name="Uwaga 2 4" xfId="326"/>
    <cellStyle name="Uwaga 2 5" xfId="363"/>
    <cellStyle name="Uwaga 2 6" xfId="418"/>
    <cellStyle name="Uwaga 2 7" xfId="496"/>
    <cellStyle name="Uwaga 3" xfId="184"/>
    <cellStyle name="Warning Text" xfId="104"/>
    <cellStyle name="Zły" xfId="10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tyles" Target="styles.xml"/><Relationship Id="rId11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/Docs/ST7/Korona/ROCZNE%202021/Raporty%20System/Wyd_dzia&#322;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_Dzial"/>
      <sheetName val="Def_WK"/>
      <sheetName val="Def_Ludn"/>
      <sheetName val="Metryka"/>
      <sheetName val="SpisTablic"/>
      <sheetName val="JST_WydDz"/>
      <sheetName val="JST_WMa"/>
      <sheetName val="JST_WMa_Gm"/>
      <sheetName val="JST_WMa_Pow"/>
      <sheetName val="JST_WMa_MNPP"/>
      <sheetName val="JST_WMa_Woj"/>
      <sheetName val="JST_WydDzRdz"/>
      <sheetName val="JST_WydDzRdz_Gm"/>
      <sheetName val="JST_WydDzRdz_Pow"/>
      <sheetName val="JST_WydDzRdz_MNPP"/>
      <sheetName val="JST_WydDzRdz_Woj"/>
      <sheetName val="JST_801_G"/>
      <sheetName val="JST_801_P"/>
      <sheetName val="JST_801_M"/>
      <sheetName val="JST_801_W"/>
      <sheetName val="JST_750_G"/>
      <sheetName val="JST_750_P"/>
      <sheetName val="JST_750_M"/>
      <sheetName val="JST_750_W"/>
      <sheetName val="Rb28sN0"/>
      <sheetName val="Rb28sN1"/>
    </sheetNames>
    <sheetDataSet>
      <sheetData sheetId="0" refreshError="1"/>
      <sheetData sheetId="1" refreshError="1"/>
      <sheetData sheetId="2" refreshError="1"/>
      <sheetData sheetId="3">
        <row r="16">
          <cell r="C16">
            <v>2</v>
          </cell>
        </row>
        <row r="17">
          <cell r="C17">
            <v>1</v>
          </cell>
        </row>
        <row r="18">
          <cell r="C18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93"/>
  <sheetViews>
    <sheetView showGridLines="0" tabSelected="1" zoomScaleNormal="100" zoomScaleSheetLayoutView="75" workbookViewId="0">
      <selection activeCell="L2" sqref="L2"/>
    </sheetView>
  </sheetViews>
  <sheetFormatPr defaultColWidth="8.85546875" defaultRowHeight="13.5"/>
  <cols>
    <col min="1" max="1" width="30.5703125" style="1097" customWidth="1"/>
    <col min="2" max="2" width="13.28515625" style="1097" customWidth="1"/>
    <col min="3" max="4" width="13.140625" style="1097" bestFit="1" customWidth="1"/>
    <col min="5" max="5" width="12.28515625" style="1097" bestFit="1" customWidth="1"/>
    <col min="6" max="6" width="11" style="1097" customWidth="1"/>
    <col min="7" max="7" width="10.28515625" style="1097" bestFit="1" customWidth="1"/>
    <col min="8" max="8" width="10.42578125" style="1097" customWidth="1"/>
    <col min="9" max="9" width="9.140625" style="1097" bestFit="1" customWidth="1"/>
    <col min="10" max="10" width="7.28515625" style="1097" bestFit="1" customWidth="1"/>
    <col min="11" max="11" width="7.140625" style="1097" bestFit="1" customWidth="1"/>
    <col min="12" max="12" width="8" style="1097" customWidth="1"/>
    <col min="13" max="16384" width="8.85546875" style="1097"/>
  </cols>
  <sheetData>
    <row r="1" spans="1:12">
      <c r="A1" s="1691" t="s">
        <v>1141</v>
      </c>
      <c r="B1" s="1691"/>
      <c r="C1" s="1691"/>
      <c r="D1" s="1691"/>
      <c r="E1" s="1691"/>
      <c r="F1" s="1691"/>
      <c r="G1" s="1691"/>
      <c r="H1" s="1691"/>
      <c r="I1" s="1691"/>
      <c r="J1" s="1691"/>
      <c r="K1" s="1691"/>
      <c r="L1" s="1691"/>
    </row>
    <row r="3" spans="1:12" ht="81">
      <c r="A3" s="1692" t="s">
        <v>218</v>
      </c>
      <c r="B3" s="1134" t="s">
        <v>1080</v>
      </c>
      <c r="C3" s="1135" t="s">
        <v>1081</v>
      </c>
      <c r="D3" s="1135" t="s">
        <v>1082</v>
      </c>
      <c r="E3" s="1135" t="s">
        <v>1083</v>
      </c>
      <c r="F3" s="1135" t="s">
        <v>1084</v>
      </c>
      <c r="G3" s="1135" t="s">
        <v>1085</v>
      </c>
      <c r="H3" s="1135" t="s">
        <v>1086</v>
      </c>
      <c r="I3" s="1136" t="s">
        <v>1087</v>
      </c>
      <c r="J3" s="1137" t="s">
        <v>219</v>
      </c>
      <c r="K3" s="1135" t="s">
        <v>1079</v>
      </c>
      <c r="L3" s="1138" t="s">
        <v>221</v>
      </c>
    </row>
    <row r="4" spans="1:12">
      <c r="A4" s="1693"/>
      <c r="B4" s="1694" t="s">
        <v>4</v>
      </c>
      <c r="C4" s="1695"/>
      <c r="D4" s="1695"/>
      <c r="E4" s="1695"/>
      <c r="F4" s="1695"/>
      <c r="G4" s="1695"/>
      <c r="H4" s="1695"/>
      <c r="I4" s="1696"/>
      <c r="J4" s="1694" t="s">
        <v>5</v>
      </c>
      <c r="K4" s="1695"/>
      <c r="L4" s="1697"/>
    </row>
    <row r="5" spans="1:12">
      <c r="A5" s="1122" t="s">
        <v>887</v>
      </c>
      <c r="B5" s="1120" t="s">
        <v>888</v>
      </c>
      <c r="C5" s="1117" t="s">
        <v>889</v>
      </c>
      <c r="D5" s="1117" t="s">
        <v>890</v>
      </c>
      <c r="E5" s="1118" t="s">
        <v>891</v>
      </c>
      <c r="F5" s="1117" t="s">
        <v>892</v>
      </c>
      <c r="G5" s="1118" t="s">
        <v>893</v>
      </c>
      <c r="H5" s="1117" t="s">
        <v>894</v>
      </c>
      <c r="I5" s="1127" t="s">
        <v>932</v>
      </c>
      <c r="J5" s="1129" t="s">
        <v>966</v>
      </c>
      <c r="K5" s="1118" t="s">
        <v>967</v>
      </c>
      <c r="L5" s="1119" t="s">
        <v>969</v>
      </c>
    </row>
    <row r="6" spans="1:12">
      <c r="A6" s="1143" t="s">
        <v>222</v>
      </c>
      <c r="B6" s="1142">
        <v>324566985975.13</v>
      </c>
      <c r="C6" s="1139">
        <v>333409105565.12</v>
      </c>
      <c r="D6" s="1139">
        <v>331884014489.21002</v>
      </c>
      <c r="E6" s="1139">
        <v>3651937325.1300001</v>
      </c>
      <c r="F6" s="1139">
        <v>975057585.50999999</v>
      </c>
      <c r="G6" s="1139">
        <v>168594119</v>
      </c>
      <c r="H6" s="1139">
        <v>177656273.28999999</v>
      </c>
      <c r="I6" s="1173">
        <v>6806259.8200000003</v>
      </c>
      <c r="J6" s="1145">
        <v>100</v>
      </c>
      <c r="K6" s="1140">
        <v>102.72428188080335</v>
      </c>
      <c r="L6" s="1141"/>
    </row>
    <row r="7" spans="1:12" ht="27">
      <c r="A7" s="1124" t="s">
        <v>223</v>
      </c>
      <c r="B7" s="267">
        <v>150168866596.72998</v>
      </c>
      <c r="C7" s="253">
        <v>158619647883.16998</v>
      </c>
      <c r="D7" s="253">
        <v>157291489975.91003</v>
      </c>
      <c r="E7" s="253">
        <v>3651937325.1300001</v>
      </c>
      <c r="F7" s="253">
        <v>975057585.50999999</v>
      </c>
      <c r="G7" s="253">
        <v>168594119</v>
      </c>
      <c r="H7" s="253">
        <v>177656273.28999999</v>
      </c>
      <c r="I7" s="281">
        <v>6806259.8200000003</v>
      </c>
      <c r="J7" s="1131">
        <v>47.393511922528525</v>
      </c>
      <c r="K7" s="1108">
        <v>105.62751885790954</v>
      </c>
      <c r="L7" s="1109">
        <v>100</v>
      </c>
    </row>
    <row r="8" spans="1:12">
      <c r="A8" s="1125" t="s">
        <v>224</v>
      </c>
      <c r="B8" s="268">
        <v>12194920232.02</v>
      </c>
      <c r="C8" s="256">
        <v>14299975171.870001</v>
      </c>
      <c r="D8" s="256">
        <v>14293181088.67</v>
      </c>
      <c r="E8" s="256">
        <v>0</v>
      </c>
      <c r="F8" s="256">
        <v>0</v>
      </c>
      <c r="G8" s="256">
        <v>0</v>
      </c>
      <c r="H8" s="256">
        <v>0</v>
      </c>
      <c r="I8" s="282">
        <v>0</v>
      </c>
      <c r="J8" s="1132">
        <v>4.3066795822233521</v>
      </c>
      <c r="K8" s="1110">
        <v>117.26173603270313</v>
      </c>
      <c r="L8" s="1111">
        <v>9.0870657343630423</v>
      </c>
    </row>
    <row r="9" spans="1:12">
      <c r="A9" s="1125" t="s">
        <v>225</v>
      </c>
      <c r="B9" s="268">
        <v>57882755783.059998</v>
      </c>
      <c r="C9" s="256">
        <v>62081419900</v>
      </c>
      <c r="D9" s="256">
        <v>60855337570.230003</v>
      </c>
      <c r="E9" s="256">
        <v>0</v>
      </c>
      <c r="F9" s="256">
        <v>0</v>
      </c>
      <c r="G9" s="256">
        <v>0</v>
      </c>
      <c r="H9" s="256">
        <v>0</v>
      </c>
      <c r="I9" s="282">
        <v>0</v>
      </c>
      <c r="J9" s="1132">
        <v>18.33632682305899</v>
      </c>
      <c r="K9" s="1110">
        <v>107.25373914931809</v>
      </c>
      <c r="L9" s="1111">
        <v>38.689529598549989</v>
      </c>
    </row>
    <row r="10" spans="1:12">
      <c r="A10" s="1125" t="s">
        <v>80</v>
      </c>
      <c r="B10" s="268">
        <v>1674211542.3199999</v>
      </c>
      <c r="C10" s="256">
        <v>1649122841.54</v>
      </c>
      <c r="D10" s="256">
        <v>1647210456.3</v>
      </c>
      <c r="E10" s="256">
        <v>143025508.28</v>
      </c>
      <c r="F10" s="256">
        <v>1015668.52</v>
      </c>
      <c r="G10" s="256">
        <v>4046893.78</v>
      </c>
      <c r="H10" s="256">
        <v>803554.08</v>
      </c>
      <c r="I10" s="282">
        <v>2941.26</v>
      </c>
      <c r="J10" s="1132">
        <v>0.49632111954387392</v>
      </c>
      <c r="K10" s="1110">
        <v>98.501461724171733</v>
      </c>
      <c r="L10" s="1111">
        <v>1.04723431417191</v>
      </c>
    </row>
    <row r="11" spans="1:12">
      <c r="A11" s="1125" t="s">
        <v>81</v>
      </c>
      <c r="B11" s="268">
        <v>25656450744.080002</v>
      </c>
      <c r="C11" s="256">
        <v>26117025842.630001</v>
      </c>
      <c r="D11" s="256">
        <v>26079210282.880001</v>
      </c>
      <c r="E11" s="256">
        <v>2350729012.8200002</v>
      </c>
      <c r="F11" s="256">
        <v>810972529.61000001</v>
      </c>
      <c r="G11" s="256">
        <v>135932053.47</v>
      </c>
      <c r="H11" s="256">
        <v>145055777.50999999</v>
      </c>
      <c r="I11" s="282">
        <v>5112992.5</v>
      </c>
      <c r="J11" s="1132">
        <v>7.8579290186716326</v>
      </c>
      <c r="K11" s="1110">
        <v>101.79516295197718</v>
      </c>
      <c r="L11" s="1111">
        <v>16.580178804889037</v>
      </c>
    </row>
    <row r="12" spans="1:12">
      <c r="A12" s="1125" t="s">
        <v>226</v>
      </c>
      <c r="B12" s="268">
        <v>307061441.56999999</v>
      </c>
      <c r="C12" s="256">
        <v>306470071.61000001</v>
      </c>
      <c r="D12" s="256">
        <v>306134835.70999998</v>
      </c>
      <c r="E12" s="256">
        <v>929661.6</v>
      </c>
      <c r="F12" s="256">
        <v>608733.56999999995</v>
      </c>
      <c r="G12" s="256">
        <v>190334.82</v>
      </c>
      <c r="H12" s="256">
        <v>5883.71</v>
      </c>
      <c r="I12" s="282">
        <v>274.24</v>
      </c>
      <c r="J12" s="1132">
        <v>9.2241512801139389E-2</v>
      </c>
      <c r="K12" s="1110">
        <v>99.807409892633757</v>
      </c>
      <c r="L12" s="1111">
        <v>0.19462898835587736</v>
      </c>
    </row>
    <row r="13" spans="1:12">
      <c r="A13" s="1125" t="s">
        <v>227</v>
      </c>
      <c r="B13" s="268">
        <v>1239384512.45</v>
      </c>
      <c r="C13" s="256">
        <v>1238614545.8800001</v>
      </c>
      <c r="D13" s="256">
        <v>1237306914.6500001</v>
      </c>
      <c r="E13" s="256">
        <v>1148919822.02</v>
      </c>
      <c r="F13" s="256">
        <v>4995245.38</v>
      </c>
      <c r="G13" s="256">
        <v>6618659.5499999998</v>
      </c>
      <c r="H13" s="256">
        <v>4366514.38</v>
      </c>
      <c r="I13" s="282">
        <v>32951.5</v>
      </c>
      <c r="J13" s="1132">
        <v>0.37281304932817927</v>
      </c>
      <c r="K13" s="1110">
        <v>99.937875085393969</v>
      </c>
      <c r="L13" s="1111">
        <v>0.78663309428850847</v>
      </c>
    </row>
    <row r="14" spans="1:12" ht="27">
      <c r="A14" s="1125" t="s">
        <v>228</v>
      </c>
      <c r="B14" s="268">
        <v>116962155.89</v>
      </c>
      <c r="C14" s="256">
        <v>184766374.08000001</v>
      </c>
      <c r="D14" s="256">
        <v>184655039.31</v>
      </c>
      <c r="E14" s="256">
        <v>0</v>
      </c>
      <c r="F14" s="256">
        <v>0</v>
      </c>
      <c r="G14" s="256">
        <v>113534.43</v>
      </c>
      <c r="H14" s="256">
        <v>326554.03999999998</v>
      </c>
      <c r="I14" s="282">
        <v>0</v>
      </c>
      <c r="J14" s="1132">
        <v>5.5638425247505667E-2</v>
      </c>
      <c r="K14" s="1110">
        <v>157.97107421119031</v>
      </c>
      <c r="L14" s="1111">
        <v>0.11739671315865902</v>
      </c>
    </row>
    <row r="15" spans="1:12">
      <c r="A15" s="1125" t="s">
        <v>229</v>
      </c>
      <c r="B15" s="268">
        <v>327771390.75</v>
      </c>
      <c r="C15" s="256">
        <v>418026345.10000002</v>
      </c>
      <c r="D15" s="256">
        <v>416507349.27999997</v>
      </c>
      <c r="E15" s="256">
        <v>0</v>
      </c>
      <c r="F15" s="256">
        <v>0</v>
      </c>
      <c r="G15" s="256">
        <v>6263459.9400000004</v>
      </c>
      <c r="H15" s="256">
        <v>10655341.609999999</v>
      </c>
      <c r="I15" s="282">
        <v>0</v>
      </c>
      <c r="J15" s="1132">
        <v>0.12549786404175883</v>
      </c>
      <c r="K15" s="1110">
        <v>127.53594636294534</v>
      </c>
      <c r="L15" s="1111">
        <v>0.26479967183462383</v>
      </c>
    </row>
    <row r="16" spans="1:12">
      <c r="A16" s="1125" t="s">
        <v>86</v>
      </c>
      <c r="B16" s="268">
        <v>3309158927.6100001</v>
      </c>
      <c r="C16" s="256">
        <v>4482687087.8900003</v>
      </c>
      <c r="D16" s="256">
        <v>4495386714.5799999</v>
      </c>
      <c r="E16" s="256">
        <v>0</v>
      </c>
      <c r="F16" s="256">
        <v>0</v>
      </c>
      <c r="G16" s="256">
        <v>373043.99</v>
      </c>
      <c r="H16" s="256">
        <v>740184.16</v>
      </c>
      <c r="I16" s="282">
        <v>0</v>
      </c>
      <c r="J16" s="1132">
        <v>1.354505344735774</v>
      </c>
      <c r="K16" s="1110">
        <v>135.46303414105188</v>
      </c>
      <c r="L16" s="1111">
        <v>2.8579974131267307</v>
      </c>
    </row>
    <row r="17" spans="1:12">
      <c r="A17" s="1125" t="s">
        <v>230</v>
      </c>
      <c r="B17" s="268">
        <v>524063060.14999998</v>
      </c>
      <c r="C17" s="256">
        <v>578973629.45000005</v>
      </c>
      <c r="D17" s="256">
        <v>578674275.98000002</v>
      </c>
      <c r="E17" s="256">
        <v>0</v>
      </c>
      <c r="F17" s="256">
        <v>6150.71</v>
      </c>
      <c r="G17" s="256">
        <v>5865</v>
      </c>
      <c r="H17" s="256">
        <v>2461.08</v>
      </c>
      <c r="I17" s="282">
        <v>0</v>
      </c>
      <c r="J17" s="1132">
        <v>0.17436039420898755</v>
      </c>
      <c r="K17" s="1110">
        <v>110.47785533372326</v>
      </c>
      <c r="L17" s="1111">
        <v>0.36789929071727073</v>
      </c>
    </row>
    <row r="18" spans="1:12">
      <c r="A18" s="1125" t="s">
        <v>88</v>
      </c>
      <c r="B18" s="268">
        <v>440496778.69</v>
      </c>
      <c r="C18" s="256">
        <v>426691728.93000001</v>
      </c>
      <c r="D18" s="256">
        <v>426780438.23000002</v>
      </c>
      <c r="E18" s="256">
        <v>0</v>
      </c>
      <c r="F18" s="256">
        <v>0</v>
      </c>
      <c r="G18" s="256">
        <v>12465.89</v>
      </c>
      <c r="H18" s="256">
        <v>43142.6</v>
      </c>
      <c r="I18" s="282">
        <v>0</v>
      </c>
      <c r="J18" s="1132">
        <v>0.12859324932743188</v>
      </c>
      <c r="K18" s="1110">
        <v>96.866027079459002</v>
      </c>
      <c r="L18" s="1111">
        <v>0.27133091453031788</v>
      </c>
    </row>
    <row r="19" spans="1:12">
      <c r="A19" s="1125" t="s">
        <v>89</v>
      </c>
      <c r="B19" s="268">
        <v>2481124.48</v>
      </c>
      <c r="C19" s="256">
        <v>1843571.47</v>
      </c>
      <c r="D19" s="256">
        <v>1859045.47</v>
      </c>
      <c r="E19" s="256">
        <v>88537.89</v>
      </c>
      <c r="F19" s="256">
        <v>0</v>
      </c>
      <c r="G19" s="256">
        <v>4682.5</v>
      </c>
      <c r="H19" s="256">
        <v>152067.37</v>
      </c>
      <c r="I19" s="282">
        <v>0</v>
      </c>
      <c r="J19" s="1132">
        <v>5.6014914513468977E-4</v>
      </c>
      <c r="K19" s="1110">
        <v>74.303868462093448</v>
      </c>
      <c r="L19" s="1111">
        <v>1.1819110304598945E-3</v>
      </c>
    </row>
    <row r="20" spans="1:12">
      <c r="A20" s="1125" t="s">
        <v>90</v>
      </c>
      <c r="B20" s="268">
        <v>9900063269.25</v>
      </c>
      <c r="C20" s="256">
        <v>10039354024.209999</v>
      </c>
      <c r="D20" s="256">
        <v>10000365669.52</v>
      </c>
      <c r="E20" s="256">
        <v>0</v>
      </c>
      <c r="F20" s="256">
        <v>209934.15</v>
      </c>
      <c r="G20" s="256">
        <v>0</v>
      </c>
      <c r="H20" s="256">
        <v>146085.82</v>
      </c>
      <c r="I20" s="282">
        <v>0</v>
      </c>
      <c r="J20" s="1132">
        <v>3.0132110113562351</v>
      </c>
      <c r="K20" s="1110">
        <v>101.40696833112816</v>
      </c>
      <c r="L20" s="1111">
        <v>6.357855514657281</v>
      </c>
    </row>
    <row r="21" spans="1:12">
      <c r="A21" s="1125" t="s">
        <v>231</v>
      </c>
      <c r="B21" s="268">
        <v>36593085634.409981</v>
      </c>
      <c r="C21" s="256">
        <v>36794676748.509995</v>
      </c>
      <c r="D21" s="256">
        <v>36768880295.099991</v>
      </c>
      <c r="E21" s="256">
        <v>8244782.5199998477</v>
      </c>
      <c r="F21" s="256">
        <v>157249323.56999999</v>
      </c>
      <c r="G21" s="256">
        <v>15033125.629999997</v>
      </c>
      <c r="H21" s="256">
        <v>15358706.92999999</v>
      </c>
      <c r="I21" s="282">
        <v>1657100.3200000005</v>
      </c>
      <c r="J21" s="1132">
        <v>11.078834378838513</v>
      </c>
      <c r="K21" s="1110">
        <v>100.55089946804172</v>
      </c>
      <c r="L21" s="1113">
        <v>23.376268036326266</v>
      </c>
    </row>
    <row r="22" spans="1:12" ht="27">
      <c r="A22" s="1123" t="s">
        <v>1142</v>
      </c>
      <c r="B22" s="266">
        <v>95950319857.62999</v>
      </c>
      <c r="C22" s="263">
        <v>92471065707.949997</v>
      </c>
      <c r="D22" s="263">
        <v>92503476916.859985</v>
      </c>
      <c r="E22" s="1171" t="s">
        <v>232</v>
      </c>
      <c r="F22" s="1171" t="s">
        <v>232</v>
      </c>
      <c r="G22" s="1171" t="s">
        <v>232</v>
      </c>
      <c r="H22" s="1171" t="s">
        <v>232</v>
      </c>
      <c r="I22" s="1172" t="s">
        <v>232</v>
      </c>
      <c r="J22" s="1130">
        <v>27.872230320953705</v>
      </c>
      <c r="K22" s="1115">
        <v>96.373900415504124</v>
      </c>
      <c r="L22" s="1094"/>
    </row>
    <row r="23" spans="1:12" ht="27">
      <c r="A23" s="1124" t="s">
        <v>233</v>
      </c>
      <c r="B23" s="267">
        <v>77391953427.839996</v>
      </c>
      <c r="C23" s="253">
        <v>77694918090.169998</v>
      </c>
      <c r="D23" s="253">
        <v>77630763925.349991</v>
      </c>
      <c r="E23" s="256" t="s">
        <v>232</v>
      </c>
      <c r="F23" s="256" t="s">
        <v>232</v>
      </c>
      <c r="G23" s="256" t="s">
        <v>232</v>
      </c>
      <c r="H23" s="256" t="s">
        <v>232</v>
      </c>
      <c r="I23" s="282" t="s">
        <v>232</v>
      </c>
      <c r="J23" s="1131">
        <v>23.390931932900873</v>
      </c>
      <c r="K23" s="1109">
        <v>100.39146790966129</v>
      </c>
      <c r="L23" s="1094"/>
    </row>
    <row r="24" spans="1:12">
      <c r="A24" s="1125" t="s">
        <v>234</v>
      </c>
      <c r="B24" s="268">
        <v>63560206917.589996</v>
      </c>
      <c r="C24" s="256">
        <v>63086584137.209999</v>
      </c>
      <c r="D24" s="256">
        <v>63145778896.010002</v>
      </c>
      <c r="E24" s="256" t="s">
        <v>232</v>
      </c>
      <c r="F24" s="256" t="s">
        <v>232</v>
      </c>
      <c r="G24" s="256" t="s">
        <v>232</v>
      </c>
      <c r="H24" s="256" t="s">
        <v>232</v>
      </c>
      <c r="I24" s="282" t="s">
        <v>232</v>
      </c>
      <c r="J24" s="1132">
        <v>19.026459889366848</v>
      </c>
      <c r="K24" s="1111">
        <v>99.254843866392562</v>
      </c>
      <c r="L24" s="1099"/>
    </row>
    <row r="25" spans="1:12">
      <c r="A25" s="1144" t="s">
        <v>235</v>
      </c>
      <c r="B25" s="268">
        <v>213811733.75</v>
      </c>
      <c r="C25" s="256">
        <v>141694061.52000001</v>
      </c>
      <c r="D25" s="256">
        <v>142016436.15000001</v>
      </c>
      <c r="E25" s="256" t="s">
        <v>232</v>
      </c>
      <c r="F25" s="256" t="s">
        <v>232</v>
      </c>
      <c r="G25" s="256" t="s">
        <v>232</v>
      </c>
      <c r="H25" s="256" t="s">
        <v>232</v>
      </c>
      <c r="I25" s="282" t="s">
        <v>232</v>
      </c>
      <c r="J25" s="1132">
        <v>4.2790984184210276E-2</v>
      </c>
      <c r="K25" s="1111">
        <v>66.270479657433683</v>
      </c>
      <c r="L25" s="1099"/>
    </row>
    <row r="26" spans="1:12">
      <c r="A26" s="1125" t="s">
        <v>236</v>
      </c>
      <c r="B26" s="268">
        <v>6376554468.1999998</v>
      </c>
      <c r="C26" s="256">
        <v>6129211521.7700005</v>
      </c>
      <c r="D26" s="256">
        <v>6145359088.4899998</v>
      </c>
      <c r="E26" s="256" t="s">
        <v>232</v>
      </c>
      <c r="F26" s="256" t="s">
        <v>232</v>
      </c>
      <c r="G26" s="256" t="s">
        <v>232</v>
      </c>
      <c r="H26" s="256" t="s">
        <v>232</v>
      </c>
      <c r="I26" s="282" t="s">
        <v>232</v>
      </c>
      <c r="J26" s="1132">
        <v>1.8516586579043546</v>
      </c>
      <c r="K26" s="1111">
        <v>96.121056478643695</v>
      </c>
      <c r="L26" s="1099"/>
    </row>
    <row r="27" spans="1:12">
      <c r="A27" s="1144" t="s">
        <v>235</v>
      </c>
      <c r="B27" s="268">
        <v>681738217.61000001</v>
      </c>
      <c r="C27" s="256">
        <v>548857743.94000006</v>
      </c>
      <c r="D27" s="256">
        <v>549684474.01999998</v>
      </c>
      <c r="E27" s="256" t="s">
        <v>232</v>
      </c>
      <c r="F27" s="256" t="s">
        <v>232</v>
      </c>
      <c r="G27" s="256" t="s">
        <v>232</v>
      </c>
      <c r="H27" s="256" t="s">
        <v>232</v>
      </c>
      <c r="I27" s="282" t="s">
        <v>232</v>
      </c>
      <c r="J27" s="1132">
        <v>0.16562547457008386</v>
      </c>
      <c r="K27" s="1111">
        <v>80.508577891401643</v>
      </c>
      <c r="L27" s="1099"/>
    </row>
    <row r="28" spans="1:12" ht="27">
      <c r="A28" s="1125" t="s">
        <v>363</v>
      </c>
      <c r="B28" s="268">
        <v>234346571.03</v>
      </c>
      <c r="C28" s="256">
        <v>198125422.84999999</v>
      </c>
      <c r="D28" s="256">
        <v>204457660.69999999</v>
      </c>
      <c r="E28" s="256" t="s">
        <v>232</v>
      </c>
      <c r="F28" s="256" t="s">
        <v>232</v>
      </c>
      <c r="G28" s="256" t="s">
        <v>232</v>
      </c>
      <c r="H28" s="256" t="s">
        <v>232</v>
      </c>
      <c r="I28" s="282" t="s">
        <v>232</v>
      </c>
      <c r="J28" s="1132">
        <v>6.1605154745001188E-2</v>
      </c>
      <c r="K28" s="1111">
        <v>84.543768649653884</v>
      </c>
      <c r="L28" s="1099"/>
    </row>
    <row r="29" spans="1:12">
      <c r="A29" s="1144" t="s">
        <v>235</v>
      </c>
      <c r="B29" s="268">
        <v>17262779.149999999</v>
      </c>
      <c r="C29" s="256">
        <v>14632722.630000001</v>
      </c>
      <c r="D29" s="256">
        <v>14540812.710000001</v>
      </c>
      <c r="E29" s="256" t="s">
        <v>232</v>
      </c>
      <c r="F29" s="256" t="s">
        <v>232</v>
      </c>
      <c r="G29" s="256" t="s">
        <v>232</v>
      </c>
      <c r="H29" s="256" t="s">
        <v>232</v>
      </c>
      <c r="I29" s="282" t="s">
        <v>232</v>
      </c>
      <c r="J29" s="1132">
        <v>4.3812934866354469E-3</v>
      </c>
      <c r="K29" s="1111">
        <v>84.764582242830826</v>
      </c>
      <c r="L29" s="1099"/>
    </row>
    <row r="30" spans="1:12" ht="27">
      <c r="A30" s="1125" t="s">
        <v>362</v>
      </c>
      <c r="B30" s="268">
        <v>1521561775.1099999</v>
      </c>
      <c r="C30" s="256">
        <v>1480449622.4400001</v>
      </c>
      <c r="D30" s="256">
        <v>1480127383.0899999</v>
      </c>
      <c r="E30" s="256" t="s">
        <v>232</v>
      </c>
      <c r="F30" s="256" t="s">
        <v>232</v>
      </c>
      <c r="G30" s="256" t="s">
        <v>232</v>
      </c>
      <c r="H30" s="256" t="s">
        <v>232</v>
      </c>
      <c r="I30" s="282" t="s">
        <v>232</v>
      </c>
      <c r="J30" s="1132">
        <v>0.44597730486296766</v>
      </c>
      <c r="K30" s="1111">
        <v>97.298029344419632</v>
      </c>
      <c r="L30" s="1099"/>
    </row>
    <row r="31" spans="1:12">
      <c r="A31" s="1144" t="s">
        <v>235</v>
      </c>
      <c r="B31" s="268">
        <v>327270716.19</v>
      </c>
      <c r="C31" s="256">
        <v>288269627.47000003</v>
      </c>
      <c r="D31" s="256">
        <v>286412446.20999998</v>
      </c>
      <c r="E31" s="256" t="s">
        <v>232</v>
      </c>
      <c r="F31" s="256" t="s">
        <v>232</v>
      </c>
      <c r="G31" s="256" t="s">
        <v>232</v>
      </c>
      <c r="H31" s="256" t="s">
        <v>232</v>
      </c>
      <c r="I31" s="282" t="s">
        <v>232</v>
      </c>
      <c r="J31" s="1132">
        <v>8.6298957981090593E-2</v>
      </c>
      <c r="K31" s="1111">
        <v>88.08292743877594</v>
      </c>
      <c r="L31" s="1099"/>
    </row>
    <row r="32" spans="1:12" ht="40.5">
      <c r="A32" s="1125" t="s">
        <v>237</v>
      </c>
      <c r="B32" s="268">
        <v>1458268896.71</v>
      </c>
      <c r="C32" s="256">
        <v>1263950652.3900001</v>
      </c>
      <c r="D32" s="256">
        <v>1266463153.1099999</v>
      </c>
      <c r="E32" s="256" t="s">
        <v>232</v>
      </c>
      <c r="F32" s="256" t="s">
        <v>232</v>
      </c>
      <c r="G32" s="256" t="s">
        <v>232</v>
      </c>
      <c r="H32" s="256" t="s">
        <v>232</v>
      </c>
      <c r="I32" s="282" t="s">
        <v>232</v>
      </c>
      <c r="J32" s="1132">
        <v>0.38159811796273613</v>
      </c>
      <c r="K32" s="1111">
        <v>86.6747316109943</v>
      </c>
      <c r="L32" s="1099"/>
    </row>
    <row r="33" spans="1:12">
      <c r="A33" s="1144" t="s">
        <v>235</v>
      </c>
      <c r="B33" s="268">
        <v>1162271000.0899999</v>
      </c>
      <c r="C33" s="256">
        <v>986029798.44000006</v>
      </c>
      <c r="D33" s="256">
        <v>988177109.90999997</v>
      </c>
      <c r="E33" s="256" t="s">
        <v>232</v>
      </c>
      <c r="F33" s="256" t="s">
        <v>232</v>
      </c>
      <c r="G33" s="256" t="s">
        <v>232</v>
      </c>
      <c r="H33" s="256" t="s">
        <v>232</v>
      </c>
      <c r="I33" s="282" t="s">
        <v>232</v>
      </c>
      <c r="J33" s="1132">
        <v>0.29774772714825254</v>
      </c>
      <c r="K33" s="1111">
        <v>84.8364794754104</v>
      </c>
      <c r="L33" s="1099"/>
    </row>
    <row r="34" spans="1:12">
      <c r="A34" s="1125" t="s">
        <v>238</v>
      </c>
      <c r="B34" s="268">
        <v>663997348.38999999</v>
      </c>
      <c r="C34" s="256">
        <v>625235515.63999999</v>
      </c>
      <c r="D34" s="256">
        <v>625369325.19000006</v>
      </c>
      <c r="E34" s="256" t="s">
        <v>232</v>
      </c>
      <c r="F34" s="256" t="s">
        <v>232</v>
      </c>
      <c r="G34" s="256" t="s">
        <v>232</v>
      </c>
      <c r="H34" s="256" t="s">
        <v>232</v>
      </c>
      <c r="I34" s="282" t="s">
        <v>232</v>
      </c>
      <c r="J34" s="1132">
        <v>0.18843008336887876</v>
      </c>
      <c r="K34" s="1111">
        <v>94.162351273843768</v>
      </c>
      <c r="L34" s="1099"/>
    </row>
    <row r="35" spans="1:12">
      <c r="A35" s="1144" t="s">
        <v>235</v>
      </c>
      <c r="B35" s="268">
        <v>478917580.98000002</v>
      </c>
      <c r="C35" s="256">
        <v>447430937.91000003</v>
      </c>
      <c r="D35" s="256">
        <v>446323268.25999999</v>
      </c>
      <c r="E35" s="256" t="s">
        <v>232</v>
      </c>
      <c r="F35" s="256" t="s">
        <v>232</v>
      </c>
      <c r="G35" s="256" t="s">
        <v>232</v>
      </c>
      <c r="H35" s="256" t="s">
        <v>232</v>
      </c>
      <c r="I35" s="282" t="s">
        <v>232</v>
      </c>
      <c r="J35" s="1132">
        <v>0.13448170106864563</v>
      </c>
      <c r="K35" s="1111">
        <v>93.42545683840433</v>
      </c>
      <c r="L35" s="1099"/>
    </row>
    <row r="36" spans="1:12" ht="40.5">
      <c r="A36" s="1125" t="s">
        <v>1072</v>
      </c>
      <c r="B36" s="268">
        <v>3577017450.8099999</v>
      </c>
      <c r="C36" s="256">
        <v>4911361217.8699999</v>
      </c>
      <c r="D36" s="256">
        <v>4763208418.7600002</v>
      </c>
      <c r="E36" s="256" t="s">
        <v>232</v>
      </c>
      <c r="F36" s="256" t="s">
        <v>232</v>
      </c>
      <c r="G36" s="256" t="s">
        <v>232</v>
      </c>
      <c r="H36" s="256" t="s">
        <v>232</v>
      </c>
      <c r="I36" s="282" t="s">
        <v>232</v>
      </c>
      <c r="J36" s="1132">
        <v>1.4352027246900914</v>
      </c>
      <c r="K36" s="1111">
        <v>137.30325013532834</v>
      </c>
      <c r="L36" s="1099"/>
    </row>
    <row r="37" spans="1:12">
      <c r="A37" s="1144" t="s">
        <v>235</v>
      </c>
      <c r="B37" s="268">
        <v>2689619583.8899999</v>
      </c>
      <c r="C37" s="256">
        <v>3762466200.9099998</v>
      </c>
      <c r="D37" s="256">
        <v>3611809629.6799998</v>
      </c>
      <c r="E37" s="256" t="s">
        <v>232</v>
      </c>
      <c r="F37" s="256" t="s">
        <v>232</v>
      </c>
      <c r="G37" s="256" t="s">
        <v>232</v>
      </c>
      <c r="H37" s="256" t="s">
        <v>232</v>
      </c>
      <c r="I37" s="282" t="s">
        <v>232</v>
      </c>
      <c r="J37" s="1132">
        <v>1.0882746598201778</v>
      </c>
      <c r="K37" s="1111">
        <v>139.88841483182321</v>
      </c>
      <c r="L37" s="1099"/>
    </row>
    <row r="38" spans="1:12">
      <c r="A38" s="1124" t="s">
        <v>239</v>
      </c>
      <c r="B38" s="267">
        <v>2598524265.73</v>
      </c>
      <c r="C38" s="253">
        <v>2060809086.9000001</v>
      </c>
      <c r="D38" s="253">
        <v>2107337093.3399999</v>
      </c>
      <c r="E38" s="256" t="s">
        <v>232</v>
      </c>
      <c r="F38" s="256" t="s">
        <v>232</v>
      </c>
      <c r="G38" s="256" t="s">
        <v>232</v>
      </c>
      <c r="H38" s="256" t="s">
        <v>232</v>
      </c>
      <c r="I38" s="282" t="s">
        <v>232</v>
      </c>
      <c r="J38" s="1131">
        <v>0.63496191480729247</v>
      </c>
      <c r="K38" s="1109">
        <v>79.306901770303824</v>
      </c>
      <c r="L38" s="1099"/>
    </row>
    <row r="39" spans="1:12">
      <c r="A39" s="1144" t="s">
        <v>240</v>
      </c>
      <c r="B39" s="268">
        <v>1812966716.99</v>
      </c>
      <c r="C39" s="256">
        <v>1367030467.22</v>
      </c>
      <c r="D39" s="256">
        <v>1393925777.9200001</v>
      </c>
      <c r="E39" s="256" t="s">
        <v>232</v>
      </c>
      <c r="F39" s="256" t="s">
        <v>232</v>
      </c>
      <c r="G39" s="256" t="s">
        <v>232</v>
      </c>
      <c r="H39" s="256" t="s">
        <v>232</v>
      </c>
      <c r="I39" s="282" t="s">
        <v>232</v>
      </c>
      <c r="J39" s="1132">
        <v>0.42000389204202493</v>
      </c>
      <c r="K39" s="1111">
        <v>75.402954417697686</v>
      </c>
      <c r="L39" s="1099"/>
    </row>
    <row r="40" spans="1:12">
      <c r="A40" s="1124" t="s">
        <v>241</v>
      </c>
      <c r="B40" s="267">
        <v>15959842164.059999</v>
      </c>
      <c r="C40" s="253">
        <v>12715338530.879999</v>
      </c>
      <c r="D40" s="253">
        <v>12765375898.17</v>
      </c>
      <c r="E40" s="256" t="s">
        <v>232</v>
      </c>
      <c r="F40" s="256" t="s">
        <v>232</v>
      </c>
      <c r="G40" s="256" t="s">
        <v>232</v>
      </c>
      <c r="H40" s="256" t="s">
        <v>232</v>
      </c>
      <c r="I40" s="282" t="s">
        <v>232</v>
      </c>
      <c r="J40" s="1131">
        <v>3.8463364732455405</v>
      </c>
      <c r="K40" s="1109">
        <v>79.670828822566278</v>
      </c>
      <c r="L40" s="1099"/>
    </row>
    <row r="41" spans="1:12">
      <c r="A41" s="1144" t="s">
        <v>242</v>
      </c>
      <c r="B41" s="268">
        <v>12266138016.879999</v>
      </c>
      <c r="C41" s="256">
        <v>9519373932.6500092</v>
      </c>
      <c r="D41" s="256">
        <v>9528211539.8500004</v>
      </c>
      <c r="E41" s="256" t="s">
        <v>232</v>
      </c>
      <c r="F41" s="256" t="s">
        <v>232</v>
      </c>
      <c r="G41" s="256" t="s">
        <v>232</v>
      </c>
      <c r="H41" s="256" t="s">
        <v>232</v>
      </c>
      <c r="I41" s="282" t="s">
        <v>232</v>
      </c>
      <c r="J41" s="1132">
        <v>2.8709462112884543</v>
      </c>
      <c r="K41" s="1111">
        <v>77.606936425710842</v>
      </c>
      <c r="L41" s="1099"/>
    </row>
    <row r="42" spans="1:12" ht="27">
      <c r="A42" s="1124" t="s">
        <v>243</v>
      </c>
      <c r="B42" s="267">
        <v>78447799520.770004</v>
      </c>
      <c r="C42" s="253">
        <v>82318391974</v>
      </c>
      <c r="D42" s="253">
        <v>82089047596.440002</v>
      </c>
      <c r="E42" s="256" t="s">
        <v>232</v>
      </c>
      <c r="F42" s="256" t="s">
        <v>232</v>
      </c>
      <c r="G42" s="256" t="s">
        <v>232</v>
      </c>
      <c r="H42" s="256" t="s">
        <v>232</v>
      </c>
      <c r="I42" s="282" t="s">
        <v>232</v>
      </c>
      <c r="J42" s="1131">
        <v>24.734257756517774</v>
      </c>
      <c r="K42" s="1109">
        <v>104.93397198758291</v>
      </c>
      <c r="L42" s="1099"/>
    </row>
    <row r="43" spans="1:12">
      <c r="A43" s="1125" t="s">
        <v>244</v>
      </c>
      <c r="B43" s="268">
        <v>14240504793</v>
      </c>
      <c r="C43" s="256">
        <v>14239059991</v>
      </c>
      <c r="D43" s="256">
        <v>14234842331</v>
      </c>
      <c r="E43" s="256" t="s">
        <v>232</v>
      </c>
      <c r="F43" s="256" t="s">
        <v>232</v>
      </c>
      <c r="G43" s="256" t="s">
        <v>232</v>
      </c>
      <c r="H43" s="256" t="s">
        <v>232</v>
      </c>
      <c r="I43" s="282" t="s">
        <v>232</v>
      </c>
      <c r="J43" s="1132">
        <v>4.2891015262992704</v>
      </c>
      <c r="K43" s="1111">
        <v>99.989854278194471</v>
      </c>
      <c r="L43" s="1099"/>
    </row>
    <row r="44" spans="1:12">
      <c r="A44" s="1125" t="s">
        <v>245</v>
      </c>
      <c r="B44" s="268">
        <v>52221831491</v>
      </c>
      <c r="C44" s="256">
        <v>52222758000</v>
      </c>
      <c r="D44" s="256">
        <v>52002077097.440002</v>
      </c>
      <c r="E44" s="256" t="s">
        <v>232</v>
      </c>
      <c r="F44" s="256" t="s">
        <v>232</v>
      </c>
      <c r="G44" s="256" t="s">
        <v>232</v>
      </c>
      <c r="H44" s="256" t="s">
        <v>232</v>
      </c>
      <c r="I44" s="282" t="s">
        <v>232</v>
      </c>
      <c r="J44" s="1132">
        <v>15.668750173904701</v>
      </c>
      <c r="K44" s="1111">
        <v>100.00177417944478</v>
      </c>
      <c r="L44" s="1099"/>
    </row>
    <row r="45" spans="1:12">
      <c r="A45" s="1125" t="s">
        <v>246</v>
      </c>
      <c r="B45" s="268">
        <v>3163088</v>
      </c>
      <c r="C45" s="256">
        <v>3163088</v>
      </c>
      <c r="D45" s="256">
        <v>3163088</v>
      </c>
      <c r="E45" s="256" t="s">
        <v>232</v>
      </c>
      <c r="F45" s="256" t="s">
        <v>232</v>
      </c>
      <c r="G45" s="256" t="s">
        <v>232</v>
      </c>
      <c r="H45" s="256" t="s">
        <v>232</v>
      </c>
      <c r="I45" s="282" t="s">
        <v>232</v>
      </c>
      <c r="J45" s="1132">
        <v>9.5307030827266194E-4</v>
      </c>
      <c r="K45" s="1111">
        <v>100</v>
      </c>
      <c r="L45" s="1099"/>
    </row>
    <row r="46" spans="1:12">
      <c r="A46" s="1125" t="s">
        <v>247</v>
      </c>
      <c r="B46" s="268">
        <v>2135199922</v>
      </c>
      <c r="C46" s="256">
        <v>2135199440</v>
      </c>
      <c r="D46" s="256">
        <v>2132467645</v>
      </c>
      <c r="E46" s="256" t="s">
        <v>232</v>
      </c>
      <c r="F46" s="256" t="s">
        <v>232</v>
      </c>
      <c r="G46" s="256" t="s">
        <v>232</v>
      </c>
      <c r="H46" s="256" t="s">
        <v>232</v>
      </c>
      <c r="I46" s="282" t="s">
        <v>232</v>
      </c>
      <c r="J46" s="1132">
        <v>0.64253400341742861</v>
      </c>
      <c r="K46" s="1111">
        <v>99.999977426001422</v>
      </c>
      <c r="L46" s="1099"/>
    </row>
    <row r="47" spans="1:12">
      <c r="A47" s="1125" t="s">
        <v>248</v>
      </c>
      <c r="B47" s="268">
        <v>638823295</v>
      </c>
      <c r="C47" s="256">
        <v>638823295</v>
      </c>
      <c r="D47" s="256">
        <v>638823295</v>
      </c>
      <c r="E47" s="256" t="s">
        <v>232</v>
      </c>
      <c r="F47" s="256" t="s">
        <v>232</v>
      </c>
      <c r="G47" s="256" t="s">
        <v>232</v>
      </c>
      <c r="H47" s="256" t="s">
        <v>232</v>
      </c>
      <c r="I47" s="282" t="s">
        <v>232</v>
      </c>
      <c r="J47" s="1132">
        <v>0.1924839001309504</v>
      </c>
      <c r="K47" s="1111">
        <v>100</v>
      </c>
      <c r="L47" s="1099"/>
    </row>
    <row r="48" spans="1:12">
      <c r="A48" s="1126" t="s">
        <v>249</v>
      </c>
      <c r="B48" s="1121">
        <v>9208276931.7700005</v>
      </c>
      <c r="C48" s="1112">
        <v>13079388160</v>
      </c>
      <c r="D48" s="1112">
        <v>13077674140</v>
      </c>
      <c r="E48" s="1112" t="s">
        <v>232</v>
      </c>
      <c r="F48" s="1112" t="s">
        <v>232</v>
      </c>
      <c r="G48" s="1112" t="s">
        <v>232</v>
      </c>
      <c r="H48" s="1112" t="s">
        <v>232</v>
      </c>
      <c r="I48" s="1128" t="s">
        <v>232</v>
      </c>
      <c r="J48" s="1133">
        <v>3.940435082457149</v>
      </c>
      <c r="K48" s="1113">
        <v>142.03947445231645</v>
      </c>
      <c r="L48" s="1099"/>
    </row>
    <row r="49" spans="1:12">
      <c r="A49" s="1095"/>
      <c r="B49" s="1088"/>
      <c r="C49" s="1089"/>
      <c r="D49" s="1089"/>
      <c r="E49" s="1090"/>
      <c r="F49" s="1090"/>
      <c r="G49" s="1090"/>
      <c r="H49" s="1090"/>
      <c r="I49" s="1090"/>
      <c r="J49" s="1091"/>
      <c r="K49" s="1091"/>
      <c r="L49" s="1096"/>
    </row>
    <row r="50" spans="1:12">
      <c r="A50" s="1100" t="s">
        <v>222</v>
      </c>
      <c r="B50" s="1155">
        <v>324566985975.13</v>
      </c>
      <c r="C50" s="1154">
        <v>333409105565.12</v>
      </c>
      <c r="D50" s="1154">
        <v>331884014489.21002</v>
      </c>
      <c r="E50" s="1154">
        <v>3651937325.1300001</v>
      </c>
      <c r="F50" s="1154">
        <v>975057585.50999999</v>
      </c>
      <c r="G50" s="1154">
        <v>168594119</v>
      </c>
      <c r="H50" s="1154">
        <v>177656273.28999999</v>
      </c>
      <c r="I50" s="1160">
        <v>6806259.8200000003</v>
      </c>
      <c r="J50" s="1165">
        <v>100</v>
      </c>
      <c r="K50" s="1166">
        <v>102.72428188080335</v>
      </c>
      <c r="L50" s="1096"/>
    </row>
    <row r="51" spans="1:12">
      <c r="A51" s="1158" t="s">
        <v>740</v>
      </c>
      <c r="B51" s="1156">
        <v>33168751110.2799</v>
      </c>
      <c r="C51" s="1151">
        <v>32675688918.9799</v>
      </c>
      <c r="D51" s="1151">
        <v>32538684906.8899</v>
      </c>
      <c r="E51" s="1151">
        <v>0</v>
      </c>
      <c r="F51" s="1151">
        <v>216.89</v>
      </c>
      <c r="G51" s="1151">
        <v>0</v>
      </c>
      <c r="H51" s="1151">
        <v>122480.7</v>
      </c>
      <c r="I51" s="1161">
        <v>0</v>
      </c>
      <c r="J51" s="1163">
        <v>9.8042338547003975</v>
      </c>
      <c r="K51" s="1153">
        <v>98.513473752265625</v>
      </c>
      <c r="L51" s="1096"/>
    </row>
    <row r="52" spans="1:12">
      <c r="A52" s="1159" t="s">
        <v>739</v>
      </c>
      <c r="B52" s="1157">
        <v>291398234864.8501</v>
      </c>
      <c r="C52" s="1148">
        <v>300733416646.14008</v>
      </c>
      <c r="D52" s="1148">
        <v>299345329582.32013</v>
      </c>
      <c r="E52" s="1148">
        <v>3651937325.1300001</v>
      </c>
      <c r="F52" s="1148">
        <v>975057368.62</v>
      </c>
      <c r="G52" s="1148">
        <v>168594119</v>
      </c>
      <c r="H52" s="1148">
        <v>177533792.59</v>
      </c>
      <c r="I52" s="1162">
        <v>6806259.8200000003</v>
      </c>
      <c r="J52" s="1164">
        <v>90.195766145299601</v>
      </c>
      <c r="K52" s="1150">
        <v>103.20358213069466</v>
      </c>
      <c r="L52" s="1096"/>
    </row>
    <row r="53" spans="1:12">
      <c r="A53" s="1095"/>
      <c r="B53" s="1088"/>
      <c r="C53" s="1089"/>
      <c r="D53" s="1089"/>
      <c r="E53" s="1090"/>
      <c r="F53" s="1090"/>
      <c r="G53" s="1090"/>
      <c r="H53" s="1090"/>
      <c r="I53" s="1090"/>
      <c r="J53" s="1091"/>
      <c r="K53" s="1091"/>
      <c r="L53" s="1096"/>
    </row>
    <row r="54" spans="1:12" ht="28.15" customHeight="1">
      <c r="A54" s="1692" t="s">
        <v>218</v>
      </c>
      <c r="B54" s="1699" t="s">
        <v>1080</v>
      </c>
      <c r="C54" s="1702" t="s">
        <v>1088</v>
      </c>
      <c r="D54" s="1702" t="s">
        <v>1089</v>
      </c>
      <c r="E54" s="1702" t="s">
        <v>250</v>
      </c>
      <c r="F54" s="1702"/>
      <c r="G54" s="1702"/>
      <c r="H54" s="1702" t="s">
        <v>1090</v>
      </c>
      <c r="I54" s="1707"/>
      <c r="J54" s="1710" t="s">
        <v>219</v>
      </c>
      <c r="K54" s="1713" t="s">
        <v>1094</v>
      </c>
    </row>
    <row r="55" spans="1:12">
      <c r="A55" s="1698"/>
      <c r="B55" s="1700"/>
      <c r="C55" s="1703"/>
      <c r="D55" s="1705"/>
      <c r="E55" s="1705" t="s">
        <v>1091</v>
      </c>
      <c r="F55" s="1703" t="s">
        <v>252</v>
      </c>
      <c r="G55" s="1703"/>
      <c r="H55" s="1705"/>
      <c r="I55" s="1708"/>
      <c r="J55" s="1711"/>
      <c r="K55" s="1714"/>
      <c r="L55" s="1101"/>
    </row>
    <row r="56" spans="1:12" ht="54">
      <c r="A56" s="1698"/>
      <c r="B56" s="1701"/>
      <c r="C56" s="1704"/>
      <c r="D56" s="1706"/>
      <c r="E56" s="1704"/>
      <c r="F56" s="1184" t="s">
        <v>1092</v>
      </c>
      <c r="G56" s="1184" t="s">
        <v>1093</v>
      </c>
      <c r="H56" s="1706"/>
      <c r="I56" s="1709"/>
      <c r="J56" s="1712"/>
      <c r="K56" s="1715"/>
      <c r="L56" s="1101"/>
    </row>
    <row r="57" spans="1:12">
      <c r="A57" s="1693"/>
      <c r="B57" s="1686" t="s">
        <v>4</v>
      </c>
      <c r="C57" s="1687"/>
      <c r="D57" s="1687"/>
      <c r="E57" s="1687"/>
      <c r="F57" s="1687"/>
      <c r="G57" s="1687"/>
      <c r="H57" s="1687"/>
      <c r="I57" s="1688"/>
      <c r="J57" s="1689" t="s">
        <v>5</v>
      </c>
      <c r="K57" s="1690"/>
    </row>
    <row r="58" spans="1:12">
      <c r="A58" s="1122" t="s">
        <v>887</v>
      </c>
      <c r="B58" s="1120" t="s">
        <v>888</v>
      </c>
      <c r="C58" s="1117" t="s">
        <v>889</v>
      </c>
      <c r="D58" s="1117" t="s">
        <v>890</v>
      </c>
      <c r="E58" s="1118" t="s">
        <v>891</v>
      </c>
      <c r="F58" s="1118" t="s">
        <v>892</v>
      </c>
      <c r="G58" s="1117" t="s">
        <v>893</v>
      </c>
      <c r="H58" s="1717" t="s">
        <v>894</v>
      </c>
      <c r="I58" s="1718"/>
      <c r="J58" s="1116" t="s">
        <v>932</v>
      </c>
      <c r="K58" s="1119" t="s">
        <v>966</v>
      </c>
    </row>
    <row r="59" spans="1:12" ht="27">
      <c r="A59" s="1123" t="s">
        <v>253</v>
      </c>
      <c r="B59" s="1177">
        <v>343995521409.92999</v>
      </c>
      <c r="C59" s="1175">
        <v>316311955654.44</v>
      </c>
      <c r="D59" s="1175">
        <v>315967267602.63</v>
      </c>
      <c r="E59" s="1175">
        <v>12844249790.98</v>
      </c>
      <c r="F59" s="1175">
        <v>2417562.52</v>
      </c>
      <c r="G59" s="1175">
        <v>12086843.23</v>
      </c>
      <c r="H59" s="1719">
        <v>2817866244.5</v>
      </c>
      <c r="I59" s="1720"/>
      <c r="J59" s="1181">
        <v>100</v>
      </c>
      <c r="K59" s="1176">
        <v>91.852145722007961</v>
      </c>
    </row>
    <row r="60" spans="1:12">
      <c r="A60" s="1124" t="s">
        <v>254</v>
      </c>
      <c r="B60" s="1178">
        <v>66572683257.029999</v>
      </c>
      <c r="C60" s="1169">
        <v>52024238683.580002</v>
      </c>
      <c r="D60" s="1169">
        <v>51840177209.059998</v>
      </c>
      <c r="E60" s="1169">
        <v>1310292153.3</v>
      </c>
      <c r="F60" s="1169">
        <v>139062.76999999999</v>
      </c>
      <c r="G60" s="1169">
        <v>1590865.6</v>
      </c>
      <c r="H60" s="1721">
        <v>2568100277.5900002</v>
      </c>
      <c r="I60" s="1722"/>
      <c r="J60" s="1182">
        <v>10.201391086462406</v>
      </c>
      <c r="K60" s="1168">
        <v>77.87004319611188</v>
      </c>
    </row>
    <row r="61" spans="1:12">
      <c r="A61" s="1125" t="s">
        <v>255</v>
      </c>
      <c r="B61" s="268">
        <v>62550711029.300003</v>
      </c>
      <c r="C61" s="256">
        <v>48283419684.730003</v>
      </c>
      <c r="D61" s="256">
        <v>48099358210.209999</v>
      </c>
      <c r="E61" s="256">
        <v>1280823973.71</v>
      </c>
      <c r="F61" s="256">
        <v>139062.76999999999</v>
      </c>
      <c r="G61" s="256">
        <v>1590865.6</v>
      </c>
      <c r="H61" s="1723">
        <v>2567900277.5900002</v>
      </c>
      <c r="I61" s="1724"/>
      <c r="J61" s="1183">
        <v>9.9719640660482263</v>
      </c>
      <c r="K61" s="1147">
        <v>76.896581059932799</v>
      </c>
    </row>
    <row r="62" spans="1:12" ht="27">
      <c r="A62" s="1124" t="s">
        <v>256</v>
      </c>
      <c r="B62" s="1179">
        <v>277422838152.90002</v>
      </c>
      <c r="C62" s="1167">
        <v>264287716970.85999</v>
      </c>
      <c r="D62" s="1167">
        <v>264127090393.57001</v>
      </c>
      <c r="E62" s="1167">
        <v>11533957637.68</v>
      </c>
      <c r="F62" s="1167">
        <v>2278499.75</v>
      </c>
      <c r="G62" s="1167">
        <v>10495977.630000001</v>
      </c>
      <c r="H62" s="1725">
        <v>249765966.90999985</v>
      </c>
      <c r="I62" s="1726"/>
      <c r="J62" s="1182">
        <v>89.798608913537592</v>
      </c>
      <c r="K62" s="1168">
        <v>95.207406914349946</v>
      </c>
    </row>
    <row r="63" spans="1:12" ht="27">
      <c r="A63" s="1125" t="s">
        <v>257</v>
      </c>
      <c r="B63" s="268">
        <v>106730649341.98</v>
      </c>
      <c r="C63" s="256">
        <v>103839669954.12</v>
      </c>
      <c r="D63" s="256">
        <v>103785260853.74001</v>
      </c>
      <c r="E63" s="256">
        <v>8284892265.4500103</v>
      </c>
      <c r="F63" s="256">
        <v>1291753.0900000001</v>
      </c>
      <c r="G63" s="256">
        <v>1720995.29</v>
      </c>
      <c r="H63" s="1723">
        <v>572037.05000000005</v>
      </c>
      <c r="I63" s="1724"/>
      <c r="J63" s="1183">
        <v>64.502733910299355</v>
      </c>
      <c r="K63" s="1147">
        <v>97.240353631877042</v>
      </c>
    </row>
    <row r="64" spans="1:12">
      <c r="A64" s="1125" t="s">
        <v>258</v>
      </c>
      <c r="B64" s="268">
        <v>28541392897.259998</v>
      </c>
      <c r="C64" s="256">
        <v>27657146312.009998</v>
      </c>
      <c r="D64" s="256">
        <v>27649636106.779999</v>
      </c>
      <c r="E64" s="256">
        <v>14188886.07</v>
      </c>
      <c r="F64" s="256">
        <v>0</v>
      </c>
      <c r="G64" s="256">
        <v>1032946.12</v>
      </c>
      <c r="H64" s="1723">
        <v>29127295.489999998</v>
      </c>
      <c r="I64" s="1724"/>
      <c r="J64" s="1183">
        <v>0.11046878020049318</v>
      </c>
      <c r="K64" s="1147">
        <v>96.875566677176408</v>
      </c>
    </row>
    <row r="65" spans="1:12">
      <c r="A65" s="1125" t="s">
        <v>259</v>
      </c>
      <c r="B65" s="268">
        <v>1639767790.45</v>
      </c>
      <c r="C65" s="256">
        <v>1191445733.9400001</v>
      </c>
      <c r="D65" s="256">
        <v>1187144131.9300001</v>
      </c>
      <c r="E65" s="256">
        <v>50696613.719999999</v>
      </c>
      <c r="F65" s="256">
        <v>435.86</v>
      </c>
      <c r="G65" s="256">
        <v>25438.68</v>
      </c>
      <c r="H65" s="1723">
        <v>0</v>
      </c>
      <c r="I65" s="1724"/>
      <c r="J65" s="1183">
        <v>0.39470280121461199</v>
      </c>
      <c r="K65" s="1147">
        <v>72.397088102591226</v>
      </c>
    </row>
    <row r="66" spans="1:12" ht="27">
      <c r="A66" s="1125" t="s">
        <v>260</v>
      </c>
      <c r="B66" s="268">
        <v>219896001</v>
      </c>
      <c r="C66" s="256">
        <v>35364073.93</v>
      </c>
      <c r="D66" s="256">
        <v>32322574.510000002</v>
      </c>
      <c r="E66" s="256">
        <v>40800</v>
      </c>
      <c r="F66" s="256">
        <v>0</v>
      </c>
      <c r="G66" s="256">
        <v>0</v>
      </c>
      <c r="H66" s="1723">
        <v>0</v>
      </c>
      <c r="I66" s="1724"/>
      <c r="J66" s="1183">
        <v>3.1765187273648476E-4</v>
      </c>
      <c r="K66" s="1147">
        <v>14.699027887278405</v>
      </c>
    </row>
    <row r="67" spans="1:12">
      <c r="A67" s="1125" t="s">
        <v>261</v>
      </c>
      <c r="B67" s="268">
        <v>60043453674.019997</v>
      </c>
      <c r="C67" s="256">
        <v>59406878411.199997</v>
      </c>
      <c r="D67" s="256">
        <v>59393886293.019997</v>
      </c>
      <c r="E67" s="256">
        <v>620227736.92999995</v>
      </c>
      <c r="F67" s="256">
        <v>54004</v>
      </c>
      <c r="G67" s="256">
        <v>284577.42</v>
      </c>
      <c r="H67" s="1723">
        <v>7200</v>
      </c>
      <c r="I67" s="1724"/>
      <c r="J67" s="1183">
        <v>4.8288358372285858</v>
      </c>
      <c r="K67" s="1147">
        <v>98.918171188941699</v>
      </c>
    </row>
    <row r="68" spans="1:12">
      <c r="A68" s="1125" t="s">
        <v>262</v>
      </c>
      <c r="B68" s="268">
        <v>80247678448.190033</v>
      </c>
      <c r="C68" s="256">
        <v>72157212485.660004</v>
      </c>
      <c r="D68" s="256">
        <v>72078840433.590027</v>
      </c>
      <c r="E68" s="1112">
        <v>2563911335.5099902</v>
      </c>
      <c r="F68" s="1112">
        <v>932306.79999999993</v>
      </c>
      <c r="G68" s="1112">
        <v>7432020.1200000001</v>
      </c>
      <c r="H68" s="1727">
        <v>220059434.36999983</v>
      </c>
      <c r="I68" s="1728"/>
      <c r="J68" s="1164">
        <v>19.961549932721816</v>
      </c>
      <c r="K68" s="1150">
        <v>89.820468115007202</v>
      </c>
    </row>
    <row r="69" spans="1:12">
      <c r="A69" s="1336" t="s">
        <v>263</v>
      </c>
      <c r="B69" s="1337">
        <v>-19428535434.799988</v>
      </c>
      <c r="C69" s="1338"/>
      <c r="D69" s="1339">
        <v>17441837962.48999</v>
      </c>
      <c r="E69" s="1185"/>
      <c r="F69" s="1174"/>
      <c r="G69" s="1174"/>
      <c r="H69" s="1716"/>
      <c r="I69" s="1716"/>
      <c r="J69" s="1102"/>
      <c r="K69" s="1102"/>
      <c r="L69" s="1103"/>
    </row>
    <row r="70" spans="1:12" ht="40.5">
      <c r="A70" s="1104" t="s">
        <v>1073</v>
      </c>
      <c r="B70" s="1340">
        <v>13975396711.950073</v>
      </c>
      <c r="C70" s="1341"/>
      <c r="D70" s="1342">
        <v>36606326252.570068</v>
      </c>
      <c r="E70" s="1180"/>
      <c r="F70" s="1170"/>
      <c r="G70" s="1170"/>
      <c r="H70" s="1733"/>
      <c r="I70" s="1733"/>
      <c r="J70" s="1102"/>
      <c r="K70" s="1102"/>
      <c r="L70" s="1103"/>
    </row>
    <row r="71" spans="1:12">
      <c r="A71" s="1105"/>
      <c r="B71" s="1106"/>
      <c r="C71" s="1106"/>
      <c r="D71" s="1106"/>
      <c r="E71" s="1096"/>
      <c r="F71" s="1096"/>
      <c r="G71" s="1096"/>
      <c r="H71" s="1096"/>
      <c r="K71" s="1107"/>
      <c r="L71" s="1107"/>
    </row>
    <row r="72" spans="1:12">
      <c r="A72" s="1189" t="s">
        <v>1074</v>
      </c>
      <c r="B72" s="1106"/>
      <c r="C72" s="1106"/>
      <c r="D72" s="1106"/>
      <c r="E72" s="1096"/>
      <c r="F72" s="1096"/>
      <c r="G72" s="1096"/>
      <c r="H72" s="1096"/>
      <c r="K72" s="1107"/>
      <c r="L72" s="1107"/>
    </row>
    <row r="73" spans="1:12" ht="27">
      <c r="A73" s="1100" t="s">
        <v>1075</v>
      </c>
      <c r="B73" s="1155">
        <v>27521763654.68</v>
      </c>
      <c r="C73" s="1154">
        <v>21732132155.420101</v>
      </c>
      <c r="D73" s="1154">
        <v>21661317428.240101</v>
      </c>
      <c r="E73" s="1154">
        <v>610100993.53000104</v>
      </c>
      <c r="F73" s="1154">
        <v>10649.84</v>
      </c>
      <c r="G73" s="1154">
        <v>697689.78</v>
      </c>
      <c r="H73" s="1734">
        <v>383511175.39999998</v>
      </c>
      <c r="I73" s="1735"/>
      <c r="J73" s="1165">
        <v>100</v>
      </c>
      <c r="K73" s="1166">
        <v>78.70613853104814</v>
      </c>
      <c r="L73" s="1107"/>
    </row>
    <row r="74" spans="1:12">
      <c r="A74" s="1158" t="s">
        <v>1076</v>
      </c>
      <c r="B74" s="1190">
        <v>21547327595.279999</v>
      </c>
      <c r="C74" s="1191">
        <v>17217964876.34</v>
      </c>
      <c r="D74" s="1191">
        <v>17152342688.889999</v>
      </c>
      <c r="E74" s="1191">
        <v>526615795.80000001</v>
      </c>
      <c r="F74" s="1191">
        <v>0</v>
      </c>
      <c r="G74" s="1191">
        <v>696712.72</v>
      </c>
      <c r="H74" s="1736">
        <v>374537253.76999998</v>
      </c>
      <c r="I74" s="1737"/>
      <c r="J74" s="1181">
        <v>86.316167550070418</v>
      </c>
      <c r="K74" s="1176">
        <v>79.603109077189075</v>
      </c>
      <c r="L74" s="1107"/>
    </row>
    <row r="75" spans="1:12">
      <c r="A75" s="1159" t="s">
        <v>1077</v>
      </c>
      <c r="B75" s="1188">
        <v>5974436059.4000015</v>
      </c>
      <c r="C75" s="1186">
        <v>4514167279.080101</v>
      </c>
      <c r="D75" s="1186">
        <v>4508974739.3501015</v>
      </c>
      <c r="E75" s="1186">
        <v>83485197.730001032</v>
      </c>
      <c r="F75" s="1186">
        <v>10649.84</v>
      </c>
      <c r="G75" s="1186">
        <v>977.06000000005588</v>
      </c>
      <c r="H75" s="1738">
        <v>8973921.6299999952</v>
      </c>
      <c r="I75" s="1739"/>
      <c r="J75" s="1193">
        <v>13.683832449929577</v>
      </c>
      <c r="K75" s="1187">
        <v>75.471135593723758</v>
      </c>
    </row>
    <row r="76" spans="1:12">
      <c r="A76" s="1740" t="s">
        <v>3</v>
      </c>
      <c r="B76" s="1740"/>
      <c r="C76" s="1740"/>
      <c r="D76" s="1740"/>
      <c r="E76" s="1740"/>
      <c r="F76" s="1740"/>
      <c r="G76" s="1740"/>
      <c r="H76" s="1740"/>
      <c r="I76" s="1740"/>
      <c r="J76" s="1740"/>
      <c r="K76" s="1740"/>
      <c r="L76" s="1740"/>
    </row>
    <row r="77" spans="1:12" ht="27">
      <c r="A77" s="1741" t="s">
        <v>68</v>
      </c>
      <c r="B77" s="1213" t="s">
        <v>1095</v>
      </c>
      <c r="C77" s="1194" t="s">
        <v>264</v>
      </c>
      <c r="D77" s="1209" t="s">
        <v>22</v>
      </c>
      <c r="E77" s="1195" t="s">
        <v>265</v>
      </c>
    </row>
    <row r="78" spans="1:12" ht="13.9" customHeight="1">
      <c r="A78" s="1742"/>
      <c r="B78" s="1729" t="s">
        <v>4</v>
      </c>
      <c r="C78" s="1730"/>
      <c r="D78" s="1731" t="s">
        <v>5</v>
      </c>
      <c r="E78" s="1732"/>
    </row>
    <row r="79" spans="1:12">
      <c r="A79" s="1200" t="s">
        <v>887</v>
      </c>
      <c r="B79" s="1198" t="s">
        <v>888</v>
      </c>
      <c r="C79" s="1196" t="s">
        <v>889</v>
      </c>
      <c r="D79" s="1210" t="s">
        <v>890</v>
      </c>
      <c r="E79" s="1197" t="s">
        <v>891</v>
      </c>
    </row>
    <row r="80" spans="1:12" ht="27">
      <c r="A80" s="1201" t="s">
        <v>266</v>
      </c>
      <c r="B80" s="1177">
        <v>33984628681.330002</v>
      </c>
      <c r="C80" s="1175">
        <v>45099074458.660004</v>
      </c>
      <c r="D80" s="1211">
        <v>100</v>
      </c>
      <c r="E80" s="1176">
        <v>132.70433195415754</v>
      </c>
    </row>
    <row r="81" spans="1:5" ht="27">
      <c r="A81" s="1202" t="s">
        <v>267</v>
      </c>
      <c r="B81" s="1199">
        <v>13627796683.040001</v>
      </c>
      <c r="C81" s="1146">
        <v>11052941328.709999</v>
      </c>
      <c r="D81" s="1214">
        <v>24.50813339604488</v>
      </c>
      <c r="E81" s="1147">
        <v>81.105857284072584</v>
      </c>
    </row>
    <row r="82" spans="1:5" ht="13.9" customHeight="1">
      <c r="A82" s="1203" t="s">
        <v>268</v>
      </c>
      <c r="B82" s="1199">
        <v>1158234404.9100001</v>
      </c>
      <c r="C82" s="1146">
        <v>1110042000</v>
      </c>
      <c r="D82" s="1214">
        <v>2.4613409772245287</v>
      </c>
      <c r="E82" s="1147">
        <v>95.839149251161743</v>
      </c>
    </row>
    <row r="83" spans="1:5" ht="13.9" customHeight="1">
      <c r="A83" s="1202" t="s">
        <v>269</v>
      </c>
      <c r="B83" s="1199">
        <v>197999665.94</v>
      </c>
      <c r="C83" s="1146">
        <v>171786424.84</v>
      </c>
      <c r="D83" s="1214">
        <v>0.38090898073189455</v>
      </c>
      <c r="E83" s="1147">
        <v>86.76096700691231</v>
      </c>
    </row>
    <row r="84" spans="1:5" ht="13.9" customHeight="1">
      <c r="A84" s="1202" t="s">
        <v>270</v>
      </c>
      <c r="B84" s="1199">
        <v>1823483966.0799999</v>
      </c>
      <c r="C84" s="1146">
        <v>4228495984.1599998</v>
      </c>
      <c r="D84" s="1214">
        <v>9.3760149956869814</v>
      </c>
      <c r="E84" s="1147">
        <v>231.89104279595773</v>
      </c>
    </row>
    <row r="85" spans="1:5" ht="40.5">
      <c r="A85" s="1202" t="s">
        <v>1078</v>
      </c>
      <c r="B85" s="1199">
        <v>7096656778.5500002</v>
      </c>
      <c r="C85" s="1146">
        <v>9356424810.1499996</v>
      </c>
      <c r="D85" s="1214">
        <v>20.746378772643219</v>
      </c>
      <c r="E85" s="1147">
        <v>131.8427127324272</v>
      </c>
    </row>
    <row r="86" spans="1:5">
      <c r="A86" s="1202" t="s">
        <v>272</v>
      </c>
      <c r="B86" s="1199">
        <v>650003.68000000005</v>
      </c>
      <c r="C86" s="1146">
        <v>44431143.68</v>
      </c>
      <c r="D86" s="1214">
        <v>9.851897009710861E-2</v>
      </c>
      <c r="E86" s="1147">
        <v>6835.5218665838929</v>
      </c>
    </row>
    <row r="87" spans="1:5" ht="27">
      <c r="A87" s="1202" t="s">
        <v>274</v>
      </c>
      <c r="B87" s="1199">
        <v>10788202446.610001</v>
      </c>
      <c r="C87" s="1146">
        <v>20109119969.939999</v>
      </c>
      <c r="D87" s="1214">
        <v>44.588764207063697</v>
      </c>
      <c r="E87" s="1147">
        <v>186.39917140467574</v>
      </c>
    </row>
    <row r="88" spans="1:5">
      <c r="A88" s="1202" t="s">
        <v>275</v>
      </c>
      <c r="B88" s="1199">
        <v>449839137.43000001</v>
      </c>
      <c r="C88" s="1146">
        <v>135874797.18000001</v>
      </c>
      <c r="D88" s="1214">
        <v>0.30128067773219924</v>
      </c>
      <c r="E88" s="1147">
        <v>30.205196896889309</v>
      </c>
    </row>
    <row r="89" spans="1:5" ht="27">
      <c r="A89" s="1204" t="s">
        <v>276</v>
      </c>
      <c r="B89" s="1179">
        <v>14244069584.92</v>
      </c>
      <c r="C89" s="1167">
        <v>12483792847.49</v>
      </c>
      <c r="D89" s="1212">
        <v>100</v>
      </c>
      <c r="E89" s="1168">
        <v>87.642037783263987</v>
      </c>
    </row>
    <row r="90" spans="1:5" ht="27">
      <c r="A90" s="1202" t="s">
        <v>277</v>
      </c>
      <c r="B90" s="1199">
        <v>9857998419.8700008</v>
      </c>
      <c r="C90" s="1146">
        <v>9807391557.1700001</v>
      </c>
      <c r="D90" s="1215">
        <v>78.560992456246026</v>
      </c>
      <c r="E90" s="1147">
        <v>99.486641602640177</v>
      </c>
    </row>
    <row r="91" spans="1:5">
      <c r="A91" s="1203" t="s">
        <v>278</v>
      </c>
      <c r="B91" s="1199">
        <v>520854711.44</v>
      </c>
      <c r="C91" s="1146">
        <v>520896711.44</v>
      </c>
      <c r="D91" s="1215">
        <v>4.1725837476126646</v>
      </c>
      <c r="E91" s="1147">
        <v>100.00806366901892</v>
      </c>
    </row>
    <row r="92" spans="1:5">
      <c r="A92" s="1202" t="s">
        <v>279</v>
      </c>
      <c r="B92" s="1199">
        <v>341861333.41000003</v>
      </c>
      <c r="C92" s="1146">
        <v>294224550.01999998</v>
      </c>
      <c r="D92" s="1215">
        <v>2.3568522292418281</v>
      </c>
      <c r="E92" s="1147">
        <v>86.065466101465049</v>
      </c>
    </row>
    <row r="93" spans="1:5">
      <c r="A93" s="1205" t="s">
        <v>280</v>
      </c>
      <c r="B93" s="1157">
        <v>4044209831.6399999</v>
      </c>
      <c r="C93" s="1148">
        <v>2382176740.3000002</v>
      </c>
      <c r="D93" s="1216">
        <v>19.082155314512146</v>
      </c>
      <c r="E93" s="1150">
        <v>58.903391254898978</v>
      </c>
    </row>
  </sheetData>
  <mergeCells count="36">
    <mergeCell ref="B78:C78"/>
    <mergeCell ref="D78:E78"/>
    <mergeCell ref="H70:I70"/>
    <mergeCell ref="H73:I73"/>
    <mergeCell ref="H74:I74"/>
    <mergeCell ref="H75:I75"/>
    <mergeCell ref="A76:L76"/>
    <mergeCell ref="A77:A78"/>
    <mergeCell ref="H69:I69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B57:I57"/>
    <mergeCell ref="J57:K57"/>
    <mergeCell ref="A1:L1"/>
    <mergeCell ref="A3:A4"/>
    <mergeCell ref="B4:I4"/>
    <mergeCell ref="J4:L4"/>
    <mergeCell ref="A54:A57"/>
    <mergeCell ref="B54:B56"/>
    <mergeCell ref="C54:C56"/>
    <mergeCell ref="D54:D56"/>
    <mergeCell ref="E54:G54"/>
    <mergeCell ref="H54:I56"/>
    <mergeCell ref="J54:J56"/>
    <mergeCell ref="K54:K56"/>
    <mergeCell ref="E55:E56"/>
    <mergeCell ref="F55:G55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  <rowBreaks count="2" manualBreakCount="2">
    <brk id="52" max="16383" man="1"/>
    <brk id="76" max="1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4"/>
  <sheetViews>
    <sheetView showGridLines="0" workbookViewId="0">
      <selection activeCell="O3" sqref="O3"/>
    </sheetView>
  </sheetViews>
  <sheetFormatPr defaultColWidth="9.140625" defaultRowHeight="12.75"/>
  <cols>
    <col min="1" max="1" width="6.28515625" style="79" customWidth="1"/>
    <col min="2" max="2" width="25.7109375" style="79" customWidth="1"/>
    <col min="3" max="4" width="12.42578125" style="79" bestFit="1" customWidth="1"/>
    <col min="5" max="5" width="6.5703125" style="79" bestFit="1" customWidth="1"/>
    <col min="6" max="7" width="11.7109375" style="79" bestFit="1" customWidth="1"/>
    <col min="8" max="8" width="6.5703125" style="79" bestFit="1" customWidth="1"/>
    <col min="9" max="16384" width="9.140625" style="79"/>
  </cols>
  <sheetData>
    <row r="1" spans="1:9" ht="39.75" customHeight="1">
      <c r="A1" s="1847" t="s">
        <v>989</v>
      </c>
      <c r="B1" s="1847"/>
      <c r="C1" s="1847"/>
      <c r="D1" s="1847"/>
      <c r="E1" s="1847"/>
      <c r="F1" s="1847"/>
      <c r="G1" s="1847"/>
      <c r="H1" s="1847"/>
      <c r="I1" s="1847"/>
    </row>
    <row r="3" spans="1:9" ht="13.5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78"/>
      <c r="I3" s="360" t="s">
        <v>938</v>
      </c>
    </row>
    <row r="4" spans="1:9" ht="13.5">
      <c r="A4" s="1799"/>
      <c r="B4" s="1802"/>
      <c r="C4" s="352" t="s">
        <v>70</v>
      </c>
      <c r="D4" s="353" t="s">
        <v>71</v>
      </c>
      <c r="E4" s="355" t="s">
        <v>931</v>
      </c>
      <c r="F4" s="359" t="s">
        <v>70</v>
      </c>
      <c r="G4" s="353" t="s">
        <v>71</v>
      </c>
      <c r="H4" s="355" t="s">
        <v>939</v>
      </c>
      <c r="I4" s="361" t="s">
        <v>940</v>
      </c>
    </row>
    <row r="5" spans="1:9" ht="13.5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8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242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18558366429.790001</v>
      </c>
      <c r="D7" s="158">
        <v>14776147617.780001</v>
      </c>
      <c r="E7" s="232">
        <v>79.599999999999994</v>
      </c>
      <c r="F7" s="159">
        <v>4479261695.9200001</v>
      </c>
      <c r="G7" s="158">
        <v>3889743217.9099998</v>
      </c>
      <c r="H7" s="232">
        <v>86.8</v>
      </c>
      <c r="I7" s="363">
        <v>26.3</v>
      </c>
    </row>
    <row r="8" spans="1:9" s="88" customFormat="1" ht="19.899999999999999" customHeight="1">
      <c r="A8" s="233" t="s">
        <v>895</v>
      </c>
      <c r="B8" s="63" t="s">
        <v>99</v>
      </c>
      <c r="C8" s="333">
        <v>765297021.37</v>
      </c>
      <c r="D8" s="155">
        <v>581262990.20000005</v>
      </c>
      <c r="E8" s="234">
        <v>76</v>
      </c>
      <c r="F8" s="64">
        <v>159404160.50999999</v>
      </c>
      <c r="G8" s="157">
        <v>151719721.39000005</v>
      </c>
      <c r="H8" s="344">
        <v>95.2</v>
      </c>
      <c r="I8" s="364">
        <v>26.1</v>
      </c>
    </row>
    <row r="9" spans="1:9" s="88" customFormat="1" ht="19.899999999999999" customHeight="1">
      <c r="A9" s="233" t="s">
        <v>896</v>
      </c>
      <c r="B9" s="63" t="s">
        <v>100</v>
      </c>
      <c r="C9" s="333">
        <v>191821.87</v>
      </c>
      <c r="D9" s="155">
        <v>191820.67</v>
      </c>
      <c r="E9" s="234">
        <v>100</v>
      </c>
      <c r="F9" s="64">
        <v>191821.87</v>
      </c>
      <c r="G9" s="157">
        <v>191820.67</v>
      </c>
      <c r="H9" s="344">
        <v>100</v>
      </c>
      <c r="I9" s="364">
        <v>100</v>
      </c>
    </row>
    <row r="10" spans="1:9" ht="19.899999999999999" customHeight="1">
      <c r="A10" s="233" t="s">
        <v>897</v>
      </c>
      <c r="B10" s="63" t="s">
        <v>101</v>
      </c>
      <c r="C10" s="333">
        <v>6982152.1200000001</v>
      </c>
      <c r="D10" s="155">
        <v>6017688.0700000003</v>
      </c>
      <c r="E10" s="234">
        <v>86.2</v>
      </c>
      <c r="F10" s="64">
        <v>6219586.7300000004</v>
      </c>
      <c r="G10" s="157">
        <v>5727560.0700000003</v>
      </c>
      <c r="H10" s="344">
        <v>92.1</v>
      </c>
      <c r="I10" s="364">
        <v>95.2</v>
      </c>
    </row>
    <row r="11" spans="1:9" ht="19.899999999999999" customHeight="1">
      <c r="A11" s="233" t="s">
        <v>899</v>
      </c>
      <c r="B11" s="63" t="s">
        <v>102</v>
      </c>
      <c r="C11" s="333">
        <v>34290562.200000003</v>
      </c>
      <c r="D11" s="155">
        <v>28645892.329999998</v>
      </c>
      <c r="E11" s="234">
        <v>83.5</v>
      </c>
      <c r="F11" s="64">
        <v>29780933.200000003</v>
      </c>
      <c r="G11" s="157">
        <v>28388526.259999998</v>
      </c>
      <c r="H11" s="344">
        <v>95.3</v>
      </c>
      <c r="I11" s="364">
        <v>99.1</v>
      </c>
    </row>
    <row r="12" spans="1:9" ht="27">
      <c r="A12" s="233" t="s">
        <v>900</v>
      </c>
      <c r="B12" s="63" t="s">
        <v>103</v>
      </c>
      <c r="C12" s="333">
        <v>70181302.709999993</v>
      </c>
      <c r="D12" s="155">
        <v>49190905.640000001</v>
      </c>
      <c r="E12" s="234">
        <v>70.099999999999994</v>
      </c>
      <c r="F12" s="64">
        <v>182221</v>
      </c>
      <c r="G12" s="157">
        <v>49576.079999998212</v>
      </c>
      <c r="H12" s="344">
        <v>27.2</v>
      </c>
      <c r="I12" s="364">
        <v>0.1</v>
      </c>
    </row>
    <row r="13" spans="1:9" ht="19.899999999999999" customHeight="1">
      <c r="A13" s="233" t="s">
        <v>901</v>
      </c>
      <c r="B13" s="63" t="s">
        <v>216</v>
      </c>
      <c r="C13" s="333">
        <v>3035690.36</v>
      </c>
      <c r="D13" s="155">
        <v>2307689.91</v>
      </c>
      <c r="E13" s="234">
        <v>76</v>
      </c>
      <c r="F13" s="64">
        <v>703517</v>
      </c>
      <c r="G13" s="157">
        <v>703516.60000000009</v>
      </c>
      <c r="H13" s="344">
        <v>100</v>
      </c>
      <c r="I13" s="364">
        <v>30.5</v>
      </c>
    </row>
    <row r="14" spans="1:9" ht="19.899999999999999" customHeight="1">
      <c r="A14" s="233" t="s">
        <v>903</v>
      </c>
      <c r="B14" s="63" t="s">
        <v>104</v>
      </c>
      <c r="C14" s="333">
        <v>4452365307.3800001</v>
      </c>
      <c r="D14" s="155">
        <v>3684924009.5599999</v>
      </c>
      <c r="E14" s="234">
        <v>82.8</v>
      </c>
      <c r="F14" s="64">
        <v>26992822.31000042</v>
      </c>
      <c r="G14" s="157">
        <v>26028221.039999962</v>
      </c>
      <c r="H14" s="344">
        <v>96.4</v>
      </c>
      <c r="I14" s="364">
        <v>0.7</v>
      </c>
    </row>
    <row r="15" spans="1:9" ht="19.899999999999999" customHeight="1">
      <c r="A15" s="233" t="s">
        <v>904</v>
      </c>
      <c r="B15" s="63" t="s">
        <v>105</v>
      </c>
      <c r="C15" s="333">
        <v>233620066.59</v>
      </c>
      <c r="D15" s="155">
        <v>151808813.03999999</v>
      </c>
      <c r="E15" s="234">
        <v>65</v>
      </c>
      <c r="F15" s="64">
        <v>10849815.140000015</v>
      </c>
      <c r="G15" s="157">
        <v>7030717.6099999845</v>
      </c>
      <c r="H15" s="344">
        <v>64.8</v>
      </c>
      <c r="I15" s="364">
        <v>4.5999999999999996</v>
      </c>
    </row>
    <row r="16" spans="1:9" ht="19.899999999999999" customHeight="1">
      <c r="A16" s="233" t="s">
        <v>905</v>
      </c>
      <c r="B16" s="63" t="s">
        <v>106</v>
      </c>
      <c r="C16" s="333">
        <v>648312427.60000002</v>
      </c>
      <c r="D16" s="155">
        <v>388735216.51999998</v>
      </c>
      <c r="E16" s="234">
        <v>60</v>
      </c>
      <c r="F16" s="64">
        <v>7537302.3200000525</v>
      </c>
      <c r="G16" s="157">
        <v>3759909.75</v>
      </c>
      <c r="H16" s="344">
        <v>49.9</v>
      </c>
      <c r="I16" s="364">
        <v>1</v>
      </c>
    </row>
    <row r="17" spans="1:9" ht="19.899999999999999" customHeight="1">
      <c r="A17" s="233" t="s">
        <v>906</v>
      </c>
      <c r="B17" s="63" t="s">
        <v>107</v>
      </c>
      <c r="C17" s="333">
        <v>334127913.20999998</v>
      </c>
      <c r="D17" s="155">
        <v>262602943.03</v>
      </c>
      <c r="E17" s="234">
        <v>78.599999999999994</v>
      </c>
      <c r="F17" s="64">
        <v>54914223.609999955</v>
      </c>
      <c r="G17" s="157">
        <v>42554548.020000011</v>
      </c>
      <c r="H17" s="344">
        <v>77.5</v>
      </c>
      <c r="I17" s="364">
        <v>16.2</v>
      </c>
    </row>
    <row r="18" spans="1:9" ht="19.899999999999999" customHeight="1">
      <c r="A18" s="233" t="s">
        <v>907</v>
      </c>
      <c r="B18" s="63" t="s">
        <v>108</v>
      </c>
      <c r="C18" s="333">
        <v>42006697.840000004</v>
      </c>
      <c r="D18" s="155">
        <v>23786483.170000002</v>
      </c>
      <c r="E18" s="234">
        <v>56.6</v>
      </c>
      <c r="F18" s="64">
        <v>4226010.4100000039</v>
      </c>
      <c r="G18" s="157">
        <v>2109215.0800000019</v>
      </c>
      <c r="H18" s="344">
        <v>49.9</v>
      </c>
      <c r="I18" s="364">
        <v>8.9</v>
      </c>
    </row>
    <row r="19" spans="1:9" ht="19.899999999999999" customHeight="1">
      <c r="A19" s="233" t="s">
        <v>908</v>
      </c>
      <c r="B19" s="63" t="s">
        <v>217</v>
      </c>
      <c r="C19" s="333">
        <v>1560587.02</v>
      </c>
      <c r="D19" s="155">
        <v>783659.15</v>
      </c>
      <c r="E19" s="234">
        <v>50.2</v>
      </c>
      <c r="F19" s="64">
        <v>1560587.02</v>
      </c>
      <c r="G19" s="157">
        <v>783659.15</v>
      </c>
      <c r="H19" s="344">
        <v>50.2</v>
      </c>
      <c r="I19" s="364">
        <v>100</v>
      </c>
    </row>
    <row r="20" spans="1:9" ht="19.899999999999999" customHeight="1">
      <c r="A20" s="233" t="s">
        <v>909</v>
      </c>
      <c r="B20" s="63" t="s">
        <v>109</v>
      </c>
      <c r="C20" s="333">
        <v>356796628.99000001</v>
      </c>
      <c r="D20" s="155">
        <v>292217337.79000002</v>
      </c>
      <c r="E20" s="234">
        <v>81.900000000000006</v>
      </c>
      <c r="F20" s="64">
        <v>124389150.26000002</v>
      </c>
      <c r="G20" s="157">
        <v>117903959.17000002</v>
      </c>
      <c r="H20" s="344">
        <v>94.8</v>
      </c>
      <c r="I20" s="364">
        <v>40.299999999999997</v>
      </c>
    </row>
    <row r="21" spans="1:9" ht="27">
      <c r="A21" s="233" t="s">
        <v>914</v>
      </c>
      <c r="B21" s="63" t="s">
        <v>112</v>
      </c>
      <c r="C21" s="333">
        <v>71923103.579999998</v>
      </c>
      <c r="D21" s="155">
        <v>53521287.049999997</v>
      </c>
      <c r="E21" s="234">
        <v>74.400000000000006</v>
      </c>
      <c r="F21" s="64">
        <v>8651178.2699999958</v>
      </c>
      <c r="G21" s="157">
        <v>5847372.75</v>
      </c>
      <c r="H21" s="344">
        <v>67.599999999999994</v>
      </c>
      <c r="I21" s="364">
        <v>10.9</v>
      </c>
    </row>
    <row r="22" spans="1:9" ht="19.899999999999999" customHeight="1">
      <c r="A22" s="233" t="s">
        <v>918</v>
      </c>
      <c r="B22" s="63" t="s">
        <v>114</v>
      </c>
      <c r="C22" s="333">
        <v>4942352487.3400002</v>
      </c>
      <c r="D22" s="155">
        <v>4509218019.4899998</v>
      </c>
      <c r="E22" s="234">
        <v>91.2</v>
      </c>
      <c r="F22" s="64">
        <v>1850222248.3200002</v>
      </c>
      <c r="G22" s="157">
        <v>1676088320.1999998</v>
      </c>
      <c r="H22" s="344">
        <v>90.6</v>
      </c>
      <c r="I22" s="364">
        <v>37.200000000000003</v>
      </c>
    </row>
    <row r="23" spans="1:9" ht="19.899999999999999" customHeight="1">
      <c r="A23" s="233" t="s">
        <v>919</v>
      </c>
      <c r="B23" s="63" t="s">
        <v>115</v>
      </c>
      <c r="C23" s="333">
        <v>1561850877.55</v>
      </c>
      <c r="D23" s="155">
        <v>1155866556.27</v>
      </c>
      <c r="E23" s="234">
        <v>74</v>
      </c>
      <c r="F23" s="64">
        <v>884609999.13999999</v>
      </c>
      <c r="G23" s="157">
        <v>711963098.64999998</v>
      </c>
      <c r="H23" s="344">
        <v>80.5</v>
      </c>
      <c r="I23" s="364">
        <v>61.6</v>
      </c>
    </row>
    <row r="24" spans="1:9" ht="19.899999999999999" customHeight="1">
      <c r="A24" s="233" t="s">
        <v>921</v>
      </c>
      <c r="B24" s="63" t="s">
        <v>116</v>
      </c>
      <c r="C24" s="333">
        <v>101114632.37</v>
      </c>
      <c r="D24" s="155">
        <v>64492293.450000003</v>
      </c>
      <c r="E24" s="234">
        <v>63.8</v>
      </c>
      <c r="F24" s="64">
        <v>15592923.38000001</v>
      </c>
      <c r="G24" s="157">
        <v>7935144.5400000066</v>
      </c>
      <c r="H24" s="344">
        <v>50.9</v>
      </c>
      <c r="I24" s="364">
        <v>12.3</v>
      </c>
    </row>
    <row r="25" spans="1:9" ht="19.899999999999999" customHeight="1">
      <c r="A25" s="233" t="s">
        <v>922</v>
      </c>
      <c r="B25" s="63" t="s">
        <v>117</v>
      </c>
      <c r="C25" s="333">
        <v>479724495.63</v>
      </c>
      <c r="D25" s="155">
        <v>406158953.17000002</v>
      </c>
      <c r="E25" s="234">
        <v>84.7</v>
      </c>
      <c r="F25" s="64">
        <v>391120365.51999998</v>
      </c>
      <c r="G25" s="157">
        <v>341097686.80000001</v>
      </c>
      <c r="H25" s="344">
        <v>87.2</v>
      </c>
      <c r="I25" s="364">
        <v>84</v>
      </c>
    </row>
    <row r="26" spans="1:9" ht="27">
      <c r="A26" s="233" t="s">
        <v>923</v>
      </c>
      <c r="B26" s="63" t="s">
        <v>118</v>
      </c>
      <c r="C26" s="333">
        <v>696242220.25999999</v>
      </c>
      <c r="D26" s="155">
        <v>568986285.30999994</v>
      </c>
      <c r="E26" s="234">
        <v>81.7</v>
      </c>
      <c r="F26" s="64">
        <v>624505908.97000003</v>
      </c>
      <c r="G26" s="157">
        <v>527121337.50999993</v>
      </c>
      <c r="H26" s="344">
        <v>84.4</v>
      </c>
      <c r="I26" s="364">
        <v>92.6</v>
      </c>
    </row>
    <row r="27" spans="1:9" ht="19.899999999999999" customHeight="1">
      <c r="A27" s="233" t="s">
        <v>924</v>
      </c>
      <c r="B27" s="63" t="s">
        <v>119</v>
      </c>
      <c r="C27" s="333">
        <v>36208645.329999998</v>
      </c>
      <c r="D27" s="155">
        <v>36403722.390000001</v>
      </c>
      <c r="E27" s="234">
        <v>100.5</v>
      </c>
      <c r="F27" s="64">
        <v>12952397.259999998</v>
      </c>
      <c r="G27" s="157">
        <v>15082648.25</v>
      </c>
      <c r="H27" s="344">
        <v>116.4</v>
      </c>
      <c r="I27" s="364">
        <v>41.4</v>
      </c>
    </row>
    <row r="28" spans="1:9" ht="19.899999999999999" customHeight="1">
      <c r="A28" s="233" t="s">
        <v>925</v>
      </c>
      <c r="B28" s="63" t="s">
        <v>120</v>
      </c>
      <c r="C28" s="333">
        <v>185151117.56</v>
      </c>
      <c r="D28" s="155">
        <v>162193387.31</v>
      </c>
      <c r="E28" s="234">
        <v>87.6</v>
      </c>
      <c r="F28" s="64">
        <v>153817465.69</v>
      </c>
      <c r="G28" s="157">
        <v>138104983.38</v>
      </c>
      <c r="H28" s="344">
        <v>89.8</v>
      </c>
      <c r="I28" s="364">
        <v>85.1</v>
      </c>
    </row>
    <row r="29" spans="1:9" ht="27">
      <c r="A29" s="233" t="s">
        <v>926</v>
      </c>
      <c r="B29" s="63" t="s">
        <v>121</v>
      </c>
      <c r="C29" s="333">
        <v>2693162632.6199999</v>
      </c>
      <c r="D29" s="155">
        <v>1754780505.1400001</v>
      </c>
      <c r="E29" s="234">
        <v>65.2</v>
      </c>
      <c r="F29" s="64">
        <v>63953333.170000076</v>
      </c>
      <c r="G29" s="157">
        <v>48850902.680000067</v>
      </c>
      <c r="H29" s="344">
        <v>76.400000000000006</v>
      </c>
      <c r="I29" s="364">
        <v>2.8</v>
      </c>
    </row>
    <row r="30" spans="1:9" ht="27">
      <c r="A30" s="233" t="s">
        <v>927</v>
      </c>
      <c r="B30" s="63" t="s">
        <v>122</v>
      </c>
      <c r="C30" s="333">
        <v>670100785.63999999</v>
      </c>
      <c r="D30" s="155">
        <v>449521388.55000001</v>
      </c>
      <c r="E30" s="234">
        <v>67.099999999999994</v>
      </c>
      <c r="F30" s="64">
        <v>40595032.610000014</v>
      </c>
      <c r="G30" s="157">
        <v>25864686.290000021</v>
      </c>
      <c r="H30" s="344">
        <v>63.7</v>
      </c>
      <c r="I30" s="364">
        <v>5.8</v>
      </c>
    </row>
    <row r="31" spans="1:9" ht="40.5">
      <c r="A31" s="233" t="s">
        <v>928</v>
      </c>
      <c r="B31" s="63" t="s">
        <v>123</v>
      </c>
      <c r="C31" s="333">
        <v>21501764</v>
      </c>
      <c r="D31" s="155">
        <v>19361705.420000002</v>
      </c>
      <c r="E31" s="234">
        <v>90</v>
      </c>
      <c r="F31" s="64">
        <v>2234638</v>
      </c>
      <c r="G31" s="157">
        <v>1199381.2800000012</v>
      </c>
      <c r="H31" s="344">
        <v>53.7</v>
      </c>
      <c r="I31" s="364">
        <v>6.2</v>
      </c>
    </row>
    <row r="32" spans="1:9" ht="19.899999999999999" customHeight="1">
      <c r="A32" s="235" t="s">
        <v>929</v>
      </c>
      <c r="B32" s="295" t="s">
        <v>124</v>
      </c>
      <c r="C32" s="335">
        <v>150265488.65000001</v>
      </c>
      <c r="D32" s="149">
        <v>123168065.15000001</v>
      </c>
      <c r="E32" s="238">
        <v>82</v>
      </c>
      <c r="F32" s="329">
        <v>4054054.2100000083</v>
      </c>
      <c r="G32" s="130">
        <v>3636704.6900000125</v>
      </c>
      <c r="H32" s="345">
        <v>89.7</v>
      </c>
      <c r="I32" s="365">
        <v>3</v>
      </c>
    </row>
    <row r="34" spans="1:9" ht="13.5">
      <c r="A34" s="99" t="s">
        <v>1158</v>
      </c>
      <c r="B34" s="98"/>
      <c r="C34" s="98"/>
      <c r="D34" s="98"/>
      <c r="E34" s="98"/>
      <c r="F34" s="98"/>
      <c r="G34" s="98"/>
      <c r="H34" s="98"/>
      <c r="I34" s="98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66" right="0.59" top="0.75" bottom="0.75" header="0.3" footer="0.3"/>
  <pageSetup paperSize="9" scale="8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75"/>
  <sheetViews>
    <sheetView showGridLines="0" topLeftCell="A67" zoomScaleNormal="100" zoomScaleSheetLayoutView="100" workbookViewId="0">
      <selection activeCell="A76" sqref="A76"/>
    </sheetView>
  </sheetViews>
  <sheetFormatPr defaultColWidth="9.140625" defaultRowHeight="13.5"/>
  <cols>
    <col min="1" max="1" width="40.28515625" style="1097" customWidth="1"/>
    <col min="2" max="2" width="11.42578125" style="1097" bestFit="1" customWidth="1"/>
    <col min="3" max="3" width="14" style="1097" customWidth="1"/>
    <col min="4" max="4" width="11.42578125" style="1097" bestFit="1" customWidth="1"/>
    <col min="5" max="5" width="10.28515625" style="1097" bestFit="1" customWidth="1"/>
    <col min="6" max="7" width="9.28515625" style="1097" bestFit="1" customWidth="1"/>
    <col min="8" max="9" width="9.140625" style="1097"/>
    <col min="10" max="11" width="9.28515625" style="1097" bestFit="1" customWidth="1"/>
    <col min="12" max="16384" width="9.140625" style="1097"/>
  </cols>
  <sheetData>
    <row r="1" spans="1:7">
      <c r="A1" s="2336" t="s">
        <v>1140</v>
      </c>
      <c r="B1" s="2336"/>
      <c r="C1" s="2336"/>
      <c r="D1" s="2336"/>
      <c r="E1" s="2336"/>
      <c r="F1" s="2337"/>
      <c r="G1" s="2338"/>
    </row>
    <row r="3" spans="1:7" ht="67.5">
      <c r="A3" s="1692" t="s">
        <v>218</v>
      </c>
      <c r="B3" s="1134" t="s">
        <v>1080</v>
      </c>
      <c r="C3" s="1135" t="s">
        <v>1081</v>
      </c>
      <c r="D3" s="1136" t="s">
        <v>1082</v>
      </c>
      <c r="E3" s="1137" t="s">
        <v>219</v>
      </c>
      <c r="F3" s="1135" t="s">
        <v>1079</v>
      </c>
      <c r="G3" s="1138" t="s">
        <v>221</v>
      </c>
    </row>
    <row r="4" spans="1:7">
      <c r="A4" s="1925"/>
      <c r="B4" s="1694" t="s">
        <v>4</v>
      </c>
      <c r="C4" s="1695"/>
      <c r="D4" s="1696"/>
      <c r="E4" s="1694" t="s">
        <v>5</v>
      </c>
      <c r="F4" s="1695"/>
      <c r="G4" s="1697"/>
    </row>
    <row r="5" spans="1:7">
      <c r="A5" s="1328">
        <v>1</v>
      </c>
      <c r="B5" s="1327">
        <v>2</v>
      </c>
      <c r="C5" s="1294">
        <v>3</v>
      </c>
      <c r="D5" s="1415">
        <v>4</v>
      </c>
      <c r="E5" s="1129">
        <v>5</v>
      </c>
      <c r="F5" s="1117">
        <v>6</v>
      </c>
      <c r="G5" s="1119">
        <v>7</v>
      </c>
    </row>
    <row r="6" spans="1:7">
      <c r="A6" s="1123" t="s">
        <v>222</v>
      </c>
      <c r="B6" s="266">
        <f>1972203890.66</f>
        <v>1972203890.6600001</v>
      </c>
      <c r="C6" s="263">
        <f>1861314520.73</f>
        <v>1861314520.73</v>
      </c>
      <c r="D6" s="280">
        <f>1820434589.94</f>
        <v>1820434589.9400001</v>
      </c>
      <c r="E6" s="1130">
        <v>100</v>
      </c>
      <c r="F6" s="1114">
        <v>94.377388136431932</v>
      </c>
      <c r="G6" s="1115"/>
    </row>
    <row r="7" spans="1:7" ht="27">
      <c r="A7" s="1124" t="s">
        <v>223</v>
      </c>
      <c r="B7" s="267">
        <f>B6-B13</f>
        <v>1789230315.24</v>
      </c>
      <c r="C7" s="253">
        <f>C6-C13</f>
        <v>1724506127.78</v>
      </c>
      <c r="D7" s="281">
        <f>D6-D13</f>
        <v>1692019970.54</v>
      </c>
      <c r="E7" s="1131">
        <v>92.649904600951359</v>
      </c>
      <c r="F7" s="1108">
        <v>96.382568140685777</v>
      </c>
      <c r="G7" s="1109">
        <v>100</v>
      </c>
    </row>
    <row r="8" spans="1:7" ht="27">
      <c r="A8" s="1125" t="s">
        <v>1136</v>
      </c>
      <c r="B8" s="268">
        <f>0</f>
        <v>0</v>
      </c>
      <c r="C8" s="1146">
        <f>0</f>
        <v>0</v>
      </c>
      <c r="D8" s="282">
        <f>0</f>
        <v>0</v>
      </c>
      <c r="E8" s="1132">
        <v>0</v>
      </c>
      <c r="F8" s="1110">
        <v>0</v>
      </c>
      <c r="G8" s="1111">
        <v>0</v>
      </c>
    </row>
    <row r="9" spans="1:7">
      <c r="A9" s="1125" t="s">
        <v>1137</v>
      </c>
      <c r="B9" s="268">
        <f>264119683.73</f>
        <v>264119683.72999999</v>
      </c>
      <c r="C9" s="1146">
        <f>245088581.36</f>
        <v>245088581.36000001</v>
      </c>
      <c r="D9" s="282">
        <f>239402848.76</f>
        <v>239402848.75999999</v>
      </c>
      <c r="E9" s="1132">
        <v>13.167499561754735</v>
      </c>
      <c r="F9" s="1110">
        <v>92.794515690297885</v>
      </c>
      <c r="G9" s="1111">
        <v>14.212102665909844</v>
      </c>
    </row>
    <row r="10" spans="1:7" ht="27">
      <c r="A10" s="1125" t="s">
        <v>1138</v>
      </c>
      <c r="B10" s="268">
        <f>959409986.42</f>
        <v>959409986.41999996</v>
      </c>
      <c r="C10" s="1146">
        <f>950396468.93</f>
        <v>950396468.92999995</v>
      </c>
      <c r="D10" s="282">
        <f>927715342.41</f>
        <v>927715342.40999997</v>
      </c>
      <c r="E10" s="1132">
        <v>51.060498284688521</v>
      </c>
      <c r="F10" s="1110">
        <v>99.060514522718947</v>
      </c>
      <c r="G10" s="1111">
        <v>55.111225968994916</v>
      </c>
    </row>
    <row r="11" spans="1:7">
      <c r="A11" s="1125" t="s">
        <v>90</v>
      </c>
      <c r="B11" s="268">
        <f>72872853.56</f>
        <v>72872853.560000002</v>
      </c>
      <c r="C11" s="1146">
        <f>69468589.56</f>
        <v>69468589.560000002</v>
      </c>
      <c r="D11" s="282">
        <f>68721418.29</f>
        <v>68721418.290000007</v>
      </c>
      <c r="E11" s="1132">
        <v>3.7322327197423197</v>
      </c>
      <c r="F11" s="1110">
        <v>95.328488135575626</v>
      </c>
      <c r="G11" s="1111">
        <v>4.0283179306198615</v>
      </c>
    </row>
    <row r="12" spans="1:7">
      <c r="A12" s="1125" t="s">
        <v>231</v>
      </c>
      <c r="B12" s="268">
        <f>B7-SUM(B8:B11)</f>
        <v>492827791.53000021</v>
      </c>
      <c r="C12" s="256">
        <f>C7-SUM(C8:C11)</f>
        <v>459552487.93000007</v>
      </c>
      <c r="D12" s="282">
        <f>D7-SUM(D8:D11)</f>
        <v>456180361.07999992</v>
      </c>
      <c r="E12" s="1132">
        <v>24.689674034765787</v>
      </c>
      <c r="F12" s="1110">
        <v>93.248087025146077</v>
      </c>
      <c r="G12" s="1546">
        <v>26.648353434475386</v>
      </c>
    </row>
    <row r="13" spans="1:7">
      <c r="A13" s="1124" t="s">
        <v>707</v>
      </c>
      <c r="B13" s="267">
        <f>B14+B29+B31</f>
        <v>182973575.41999999</v>
      </c>
      <c r="C13" s="253">
        <f>C14+C29+C31</f>
        <v>136808392.94999999</v>
      </c>
      <c r="D13" s="281">
        <f>D14+D29+D31</f>
        <v>128414619.40000001</v>
      </c>
      <c r="E13" s="1131">
        <v>7.35009539904864</v>
      </c>
      <c r="F13" s="1449">
        <v>74.769481131889222</v>
      </c>
      <c r="G13" s="1547"/>
    </row>
    <row r="14" spans="1:7" ht="27">
      <c r="A14" s="1124" t="s">
        <v>233</v>
      </c>
      <c r="B14" s="267">
        <f>B15+B17+B19+B21+B23+B25+B27</f>
        <v>7612799.5899999999</v>
      </c>
      <c r="C14" s="253">
        <f>C15+C17+C19+C21+C23+C25+C27</f>
        <v>7254174.4300000006</v>
      </c>
      <c r="D14" s="281">
        <f>D15+D17+D19+D21+D23+D25+D27</f>
        <v>7272513.6400000006</v>
      </c>
      <c r="E14" s="1131">
        <v>0.38973394067516021</v>
      </c>
      <c r="F14" s="1449">
        <v>95.289181650452477</v>
      </c>
      <c r="G14" s="1454"/>
    </row>
    <row r="15" spans="1:7">
      <c r="A15" s="1125" t="s">
        <v>234</v>
      </c>
      <c r="B15" s="268">
        <f>0</f>
        <v>0</v>
      </c>
      <c r="C15" s="256">
        <f>0</f>
        <v>0</v>
      </c>
      <c r="D15" s="282">
        <f>0</f>
        <v>0</v>
      </c>
      <c r="E15" s="1132">
        <v>0</v>
      </c>
      <c r="F15" s="1450">
        <v>0</v>
      </c>
      <c r="G15" s="1454"/>
    </row>
    <row r="16" spans="1:7">
      <c r="A16" s="1144" t="s">
        <v>235</v>
      </c>
      <c r="B16" s="268">
        <f>0</f>
        <v>0</v>
      </c>
      <c r="C16" s="256">
        <f>0</f>
        <v>0</v>
      </c>
      <c r="D16" s="282">
        <f>0</f>
        <v>0</v>
      </c>
      <c r="E16" s="1132">
        <v>0</v>
      </c>
      <c r="F16" s="1450">
        <v>0</v>
      </c>
      <c r="G16" s="1454"/>
    </row>
    <row r="17" spans="1:14">
      <c r="A17" s="1125" t="s">
        <v>236</v>
      </c>
      <c r="B17" s="268">
        <f>193030</f>
        <v>193030</v>
      </c>
      <c r="C17" s="256">
        <f>170380.32</f>
        <v>170380.32</v>
      </c>
      <c r="D17" s="282">
        <f>170380.32</f>
        <v>170380.32</v>
      </c>
      <c r="E17" s="1132">
        <v>9.1537630047165558E-3</v>
      </c>
      <c r="F17" s="1450">
        <v>88.266238408537532</v>
      </c>
      <c r="G17" s="1454"/>
    </row>
    <row r="18" spans="1:14">
      <c r="A18" s="1144" t="s">
        <v>235</v>
      </c>
      <c r="B18" s="268">
        <f>0</f>
        <v>0</v>
      </c>
      <c r="C18" s="256">
        <f>0</f>
        <v>0</v>
      </c>
      <c r="D18" s="282">
        <f>0</f>
        <v>0</v>
      </c>
      <c r="E18" s="1132">
        <v>0</v>
      </c>
      <c r="F18" s="1450">
        <v>0</v>
      </c>
      <c r="G18" s="1454"/>
    </row>
    <row r="19" spans="1:14" ht="27">
      <c r="A19" s="1125" t="s">
        <v>363</v>
      </c>
      <c r="B19" s="268">
        <f>0</f>
        <v>0</v>
      </c>
      <c r="C19" s="256">
        <f>0</f>
        <v>0</v>
      </c>
      <c r="D19" s="282">
        <f>0</f>
        <v>0</v>
      </c>
      <c r="E19" s="1132">
        <v>0</v>
      </c>
      <c r="F19" s="1450">
        <v>0</v>
      </c>
      <c r="G19" s="1454"/>
    </row>
    <row r="20" spans="1:14">
      <c r="A20" s="1144" t="s">
        <v>235</v>
      </c>
      <c r="B20" s="268">
        <f>0</f>
        <v>0</v>
      </c>
      <c r="C20" s="256">
        <f>0</f>
        <v>0</v>
      </c>
      <c r="D20" s="282">
        <f>0</f>
        <v>0</v>
      </c>
      <c r="E20" s="1132">
        <v>0</v>
      </c>
      <c r="F20" s="1450">
        <v>0</v>
      </c>
      <c r="G20" s="1454"/>
    </row>
    <row r="21" spans="1:14" ht="14.45" customHeight="1">
      <c r="A21" s="1399" t="s">
        <v>362</v>
      </c>
      <c r="B21" s="268">
        <f>4401118</f>
        <v>4401118</v>
      </c>
      <c r="C21" s="256">
        <f>4364793.04</f>
        <v>4364793.04</v>
      </c>
      <c r="D21" s="282">
        <f>4403132.25</f>
        <v>4403132.25</v>
      </c>
      <c r="E21" s="1132">
        <v>0.23450056352046003</v>
      </c>
      <c r="F21" s="1450">
        <v>99.174642443124682</v>
      </c>
      <c r="G21" s="1454"/>
    </row>
    <row r="22" spans="1:14">
      <c r="A22" s="1144" t="s">
        <v>235</v>
      </c>
      <c r="B22" s="268">
        <f>116960</f>
        <v>116960</v>
      </c>
      <c r="C22" s="256">
        <f>116960.09</f>
        <v>116960.09</v>
      </c>
      <c r="D22" s="282">
        <f>116960.09</f>
        <v>116960.09</v>
      </c>
      <c r="E22" s="1132">
        <v>6.2837359671018269E-3</v>
      </c>
      <c r="F22" s="1450">
        <v>100.00007694938441</v>
      </c>
      <c r="G22" s="1454"/>
    </row>
    <row r="23" spans="1:14" ht="27">
      <c r="A23" s="1399" t="s">
        <v>237</v>
      </c>
      <c r="B23" s="268">
        <f>2917163.59</f>
        <v>2917163.59</v>
      </c>
      <c r="C23" s="256">
        <f>2617513.49</f>
        <v>2617513.4900000002</v>
      </c>
      <c r="D23" s="282">
        <f>2597513.49</f>
        <v>2597513.4900000002</v>
      </c>
      <c r="E23" s="1132">
        <v>0.1406271460759583</v>
      </c>
      <c r="F23" s="1450">
        <v>89.728032358994327</v>
      </c>
      <c r="G23" s="1454"/>
    </row>
    <row r="24" spans="1:14">
      <c r="A24" s="1144" t="s">
        <v>235</v>
      </c>
      <c r="B24" s="268">
        <f>2546390.59</f>
        <v>2546390.59</v>
      </c>
      <c r="C24" s="256">
        <f>2303801</f>
        <v>2303801</v>
      </c>
      <c r="D24" s="282">
        <f>2303801</f>
        <v>2303801</v>
      </c>
      <c r="E24" s="1132">
        <v>0.12377279467504818</v>
      </c>
      <c r="F24" s="1450">
        <v>90.473197986488003</v>
      </c>
      <c r="G24" s="1454"/>
    </row>
    <row r="25" spans="1:14">
      <c r="A25" s="1125" t="s">
        <v>238</v>
      </c>
      <c r="B25" s="268">
        <f>76710</f>
        <v>76710</v>
      </c>
      <c r="C25" s="256">
        <f>76709.58</f>
        <v>76709.58</v>
      </c>
      <c r="D25" s="282">
        <f>76709.58</f>
        <v>76709.58</v>
      </c>
      <c r="E25" s="1132">
        <v>4.1212583443401502E-3</v>
      </c>
      <c r="F25" s="1450">
        <v>99.99945248337896</v>
      </c>
      <c r="G25" s="1454"/>
    </row>
    <row r="26" spans="1:14">
      <c r="A26" s="1144" t="s">
        <v>235</v>
      </c>
      <c r="B26" s="268">
        <f>0</f>
        <v>0</v>
      </c>
      <c r="C26" s="256">
        <f>0</f>
        <v>0</v>
      </c>
      <c r="D26" s="282">
        <f>0</f>
        <v>0</v>
      </c>
      <c r="E26" s="1132">
        <v>0</v>
      </c>
      <c r="F26" s="1450">
        <v>0</v>
      </c>
      <c r="G26" s="1454"/>
    </row>
    <row r="27" spans="1:14" ht="40.5">
      <c r="A27" s="1125" t="s">
        <v>1101</v>
      </c>
      <c r="B27" s="268">
        <f>24778</f>
        <v>24778</v>
      </c>
      <c r="C27" s="256">
        <f>24778</f>
        <v>24778</v>
      </c>
      <c r="D27" s="282">
        <f>24778</f>
        <v>24778</v>
      </c>
      <c r="E27" s="1132">
        <v>1.3312097296851351E-3</v>
      </c>
      <c r="F27" s="1450">
        <v>100</v>
      </c>
      <c r="G27" s="1454"/>
    </row>
    <row r="28" spans="1:14">
      <c r="A28" s="1144" t="s">
        <v>235</v>
      </c>
      <c r="B28" s="268">
        <f>0</f>
        <v>0</v>
      </c>
      <c r="C28" s="256">
        <f>0</f>
        <v>0</v>
      </c>
      <c r="D28" s="282">
        <f>0</f>
        <v>0</v>
      </c>
      <c r="E28" s="1132">
        <v>0</v>
      </c>
      <c r="F28" s="1450">
        <v>0</v>
      </c>
      <c r="G28" s="1454"/>
    </row>
    <row r="29" spans="1:14">
      <c r="A29" s="1124" t="s">
        <v>239</v>
      </c>
      <c r="B29" s="267">
        <f>7809335.67</f>
        <v>7809335.6699999999</v>
      </c>
      <c r="C29" s="253">
        <f>3640555.95</f>
        <v>3640555.95</v>
      </c>
      <c r="D29" s="281">
        <f>3640555.95</f>
        <v>3640555.95</v>
      </c>
      <c r="E29" s="1131">
        <v>0.19559058447425579</v>
      </c>
      <c r="F29" s="1449">
        <v>46.617998045408648</v>
      </c>
      <c r="G29" s="1523"/>
      <c r="H29" s="1090"/>
      <c r="I29" s="1090"/>
      <c r="J29" s="1091"/>
      <c r="K29" s="1091"/>
      <c r="L29" s="1107"/>
      <c r="M29" s="1107"/>
      <c r="N29" s="1107"/>
    </row>
    <row r="30" spans="1:14">
      <c r="A30" s="1144" t="s">
        <v>240</v>
      </c>
      <c r="B30" s="268">
        <f>7764335.67</f>
        <v>7764335.6699999999</v>
      </c>
      <c r="C30" s="256">
        <f>3640555.95</f>
        <v>3640555.95</v>
      </c>
      <c r="D30" s="282">
        <f>3640555.95</f>
        <v>3640555.95</v>
      </c>
      <c r="E30" s="1132">
        <v>0.19559058447425579</v>
      </c>
      <c r="F30" s="1450">
        <v>46.88818341621235</v>
      </c>
      <c r="G30" s="1523"/>
      <c r="H30" s="1090"/>
      <c r="I30" s="1090"/>
      <c r="J30" s="1091"/>
      <c r="K30" s="1091"/>
      <c r="L30" s="1107"/>
      <c r="M30" s="1107"/>
      <c r="N30" s="1107"/>
    </row>
    <row r="31" spans="1:14">
      <c r="A31" s="1124" t="s">
        <v>241</v>
      </c>
      <c r="B31" s="268">
        <f>167551440.16</f>
        <v>167551440.16</v>
      </c>
      <c r="C31" s="256">
        <f>125913662.57</f>
        <v>125913662.56999999</v>
      </c>
      <c r="D31" s="282">
        <f>117501549.81</f>
        <v>117501549.81</v>
      </c>
      <c r="E31" s="1132">
        <v>6.7647708738992254</v>
      </c>
      <c r="F31" s="1450">
        <v>75.149257117552196</v>
      </c>
      <c r="G31" s="1523"/>
      <c r="H31" s="1090"/>
      <c r="I31" s="1090"/>
      <c r="J31" s="1091"/>
      <c r="K31" s="1091"/>
      <c r="L31" s="1107"/>
      <c r="M31" s="1107"/>
      <c r="N31" s="1107"/>
    </row>
    <row r="32" spans="1:14">
      <c r="A32" s="1422" t="s">
        <v>242</v>
      </c>
      <c r="B32" s="1121">
        <f>145248333.19</f>
        <v>145248333.19</v>
      </c>
      <c r="C32" s="1112">
        <f>115011332.03</f>
        <v>115011332.03</v>
      </c>
      <c r="D32" s="1128">
        <f>107476438.36</f>
        <v>107476438.36</v>
      </c>
      <c r="E32" s="1133">
        <v>6.1790380265712974</v>
      </c>
      <c r="F32" s="1451">
        <v>79.182548607668465</v>
      </c>
      <c r="G32" s="1523"/>
      <c r="H32" s="1090"/>
      <c r="I32" s="1090"/>
      <c r="J32" s="1091"/>
      <c r="K32" s="1091"/>
      <c r="L32" s="1107"/>
      <c r="M32" s="1107"/>
      <c r="N32" s="1107"/>
    </row>
    <row r="33" spans="1:14">
      <c r="A33" s="1420"/>
      <c r="B33" s="1358"/>
      <c r="C33" s="1358"/>
      <c r="D33" s="1358"/>
      <c r="E33" s="1094"/>
      <c r="F33" s="1094"/>
      <c r="G33" s="1090"/>
      <c r="H33" s="1090"/>
      <c r="I33" s="1090"/>
      <c r="J33" s="1091"/>
      <c r="K33" s="1091"/>
      <c r="L33" s="1107"/>
      <c r="M33" s="1107"/>
      <c r="N33" s="1107"/>
    </row>
    <row r="34" spans="1:14">
      <c r="A34" s="1420"/>
      <c r="B34" s="1358"/>
      <c r="C34" s="1358"/>
      <c r="D34" s="1358"/>
      <c r="E34" s="1094"/>
      <c r="F34" s="1094"/>
      <c r="G34" s="1090"/>
      <c r="H34" s="1090"/>
      <c r="I34" s="1090"/>
      <c r="J34" s="1091"/>
      <c r="K34" s="1091"/>
      <c r="L34" s="1107"/>
      <c r="M34" s="1107"/>
      <c r="N34" s="1107"/>
    </row>
    <row r="35" spans="1:14">
      <c r="A35" s="1420"/>
      <c r="B35" s="1358"/>
      <c r="C35" s="1358"/>
      <c r="D35" s="1358"/>
      <c r="E35" s="1358" t="s">
        <v>3</v>
      </c>
      <c r="F35" s="1358" t="s">
        <v>273</v>
      </c>
      <c r="G35" s="1090"/>
      <c r="H35" s="1090"/>
      <c r="I35" s="1090"/>
      <c r="J35" s="1091"/>
      <c r="K35" s="1091"/>
      <c r="L35" s="1107"/>
      <c r="M35" s="1107"/>
      <c r="N35" s="1107"/>
    </row>
    <row r="36" spans="1:14">
      <c r="A36" s="1290" t="s">
        <v>222</v>
      </c>
      <c r="B36" s="1298">
        <f>+B6</f>
        <v>1972203890.6600001</v>
      </c>
      <c r="C36" s="1297">
        <f>+C6</f>
        <v>1861314520.73</v>
      </c>
      <c r="D36" s="1302">
        <f>+D6</f>
        <v>1820434589.9400001</v>
      </c>
      <c r="E36" s="1305">
        <v>100</v>
      </c>
      <c r="F36" s="1306">
        <v>94.377388136431932</v>
      </c>
      <c r="G36" s="1090"/>
      <c r="H36" s="1090"/>
      <c r="I36" s="1090"/>
      <c r="J36" s="1091"/>
      <c r="K36" s="1091"/>
    </row>
    <row r="37" spans="1:14">
      <c r="A37" s="1352" t="s">
        <v>740</v>
      </c>
      <c r="B37" s="1299">
        <f>234223582.31</f>
        <v>234223582.31</v>
      </c>
      <c r="C37" s="1171">
        <f>181466658.25</f>
        <v>181466658.25</v>
      </c>
      <c r="D37" s="1172">
        <f>172661119.47</f>
        <v>172661119.47</v>
      </c>
      <c r="E37" s="1307">
        <v>9.7493817530005362</v>
      </c>
      <c r="F37" s="1308">
        <v>77.475827352783341</v>
      </c>
      <c r="G37" s="1090"/>
      <c r="H37" s="1090"/>
      <c r="I37" s="1090"/>
      <c r="J37" s="1091"/>
      <c r="K37" s="1091"/>
    </row>
    <row r="38" spans="1:14">
      <c r="A38" s="1373" t="s">
        <v>739</v>
      </c>
      <c r="B38" s="1121">
        <f>B36-B37</f>
        <v>1737980308.3500001</v>
      </c>
      <c r="C38" s="1112">
        <f>C36-C37</f>
        <v>1679847862.48</v>
      </c>
      <c r="D38" s="1128">
        <f>D36-D37</f>
        <v>1647773470.47</v>
      </c>
      <c r="E38" s="1133">
        <v>90.250618246999466</v>
      </c>
      <c r="F38" s="1113">
        <v>96.655172352027975</v>
      </c>
      <c r="G38" s="1090"/>
      <c r="H38" s="1090"/>
      <c r="I38" s="1090"/>
      <c r="J38" s="1091"/>
      <c r="K38" s="1091"/>
    </row>
    <row r="39" spans="1:14">
      <c r="A39" s="1420"/>
      <c r="B39" s="1088"/>
      <c r="C39" s="1089"/>
      <c r="D39" s="1089"/>
      <c r="E39" s="1090"/>
      <c r="F39" s="1090"/>
      <c r="G39" s="1090"/>
      <c r="H39" s="1090"/>
      <c r="I39" s="1090"/>
      <c r="J39" s="1091"/>
      <c r="K39" s="1091"/>
    </row>
    <row r="40" spans="1:14">
      <c r="A40" s="1092"/>
      <c r="B40" s="1088"/>
      <c r="C40" s="1089"/>
      <c r="D40" s="1089"/>
      <c r="E40" s="1093"/>
      <c r="F40" s="1093"/>
      <c r="G40" s="1093"/>
      <c r="H40" s="1093"/>
      <c r="I40" s="1093"/>
      <c r="J40" s="1091"/>
      <c r="K40" s="1091"/>
    </row>
    <row r="41" spans="1:14" ht="30" customHeight="1">
      <c r="A41" s="1692" t="s">
        <v>218</v>
      </c>
      <c r="B41" s="1699" t="s">
        <v>1080</v>
      </c>
      <c r="C41" s="1702" t="s">
        <v>1088</v>
      </c>
      <c r="D41" s="1702" t="s">
        <v>1089</v>
      </c>
      <c r="E41" s="1702" t="s">
        <v>250</v>
      </c>
      <c r="F41" s="1702"/>
      <c r="G41" s="1702"/>
      <c r="H41" s="1702" t="s">
        <v>1090</v>
      </c>
      <c r="I41" s="1707"/>
      <c r="J41" s="1710" t="s">
        <v>219</v>
      </c>
      <c r="K41" s="1713" t="s">
        <v>1094</v>
      </c>
    </row>
    <row r="42" spans="1:14">
      <c r="A42" s="1698"/>
      <c r="B42" s="1700"/>
      <c r="C42" s="1703"/>
      <c r="D42" s="1705"/>
      <c r="E42" s="1705" t="s">
        <v>1091</v>
      </c>
      <c r="F42" s="1703" t="s">
        <v>252</v>
      </c>
      <c r="G42" s="1703"/>
      <c r="H42" s="1705"/>
      <c r="I42" s="1708"/>
      <c r="J42" s="1711"/>
      <c r="K42" s="1714"/>
    </row>
    <row r="43" spans="1:14" ht="54">
      <c r="A43" s="1698"/>
      <c r="B43" s="1929"/>
      <c r="C43" s="1930"/>
      <c r="D43" s="1931"/>
      <c r="E43" s="1930"/>
      <c r="F43" s="1343" t="s">
        <v>1092</v>
      </c>
      <c r="G43" s="1343" t="s">
        <v>1093</v>
      </c>
      <c r="H43" s="1931"/>
      <c r="I43" s="1932"/>
      <c r="J43" s="1933"/>
      <c r="K43" s="1934"/>
    </row>
    <row r="44" spans="1:14">
      <c r="A44" s="1925"/>
      <c r="B44" s="1926" t="s">
        <v>4</v>
      </c>
      <c r="C44" s="1695"/>
      <c r="D44" s="1695"/>
      <c r="E44" s="1695"/>
      <c r="F44" s="1695"/>
      <c r="G44" s="1695"/>
      <c r="H44" s="1695"/>
      <c r="I44" s="1696"/>
      <c r="J44" s="1694" t="s">
        <v>5</v>
      </c>
      <c r="K44" s="1697"/>
    </row>
    <row r="45" spans="1:14">
      <c r="A45" s="1328">
        <v>1</v>
      </c>
      <c r="B45" s="1327">
        <v>2</v>
      </c>
      <c r="C45" s="1294">
        <v>3</v>
      </c>
      <c r="D45" s="1294">
        <v>4</v>
      </c>
      <c r="E45" s="1295">
        <v>5</v>
      </c>
      <c r="F45" s="1295">
        <v>6</v>
      </c>
      <c r="G45" s="1294">
        <v>7</v>
      </c>
      <c r="H45" s="2323">
        <v>8</v>
      </c>
      <c r="I45" s="2324"/>
      <c r="J45" s="1293">
        <v>9</v>
      </c>
      <c r="K45" s="1296">
        <v>10</v>
      </c>
    </row>
    <row r="46" spans="1:14" ht="27">
      <c r="A46" s="1123" t="s">
        <v>253</v>
      </c>
      <c r="B46" s="1177">
        <f>2161104366.82</f>
        <v>2161104366.8200002</v>
      </c>
      <c r="C46" s="1175">
        <f>1873434655.48</f>
        <v>1873434655.48</v>
      </c>
      <c r="D46" s="1175">
        <f>1868550097.32</f>
        <v>1868550097.3199999</v>
      </c>
      <c r="E46" s="1175">
        <f>155279440.33</f>
        <v>155279440.33000001</v>
      </c>
      <c r="F46" s="1175">
        <f>0</f>
        <v>0</v>
      </c>
      <c r="G46" s="1175">
        <f>1145.21</f>
        <v>1145.21</v>
      </c>
      <c r="H46" s="1719">
        <f>5752275.68</f>
        <v>5752275.6799999997</v>
      </c>
      <c r="I46" s="1720"/>
      <c r="J46" s="1181">
        <v>100</v>
      </c>
      <c r="K46" s="1176">
        <v>86.462742198310167</v>
      </c>
    </row>
    <row r="47" spans="1:14">
      <c r="A47" s="1124" t="s">
        <v>254</v>
      </c>
      <c r="B47" s="1178">
        <f>393698120.03</f>
        <v>393698120.02999997</v>
      </c>
      <c r="C47" s="1169">
        <f>246992411.24</f>
        <v>246992411.24000001</v>
      </c>
      <c r="D47" s="1169">
        <f>246338868.61</f>
        <v>246338868.61000001</v>
      </c>
      <c r="E47" s="1169">
        <f>6368094.63</f>
        <v>6368094.6299999999</v>
      </c>
      <c r="F47" s="1169">
        <f>0</f>
        <v>0</v>
      </c>
      <c r="G47" s="1169">
        <f>0</f>
        <v>0</v>
      </c>
      <c r="H47" s="1721">
        <f>5640592.68</f>
        <v>5640592.6799999997</v>
      </c>
      <c r="I47" s="1722"/>
      <c r="J47" s="1182">
        <v>13.183423284359128</v>
      </c>
      <c r="K47" s="1168">
        <v>62.57049654980036</v>
      </c>
    </row>
    <row r="48" spans="1:14">
      <c r="A48" s="1125" t="s">
        <v>255</v>
      </c>
      <c r="B48" s="268">
        <f>387484620.03</f>
        <v>387484620.02999997</v>
      </c>
      <c r="C48" s="256">
        <f>241029716.24</f>
        <v>241029716.24000001</v>
      </c>
      <c r="D48" s="256">
        <f>240376173.61</f>
        <v>240376173.61000001</v>
      </c>
      <c r="E48" s="256">
        <f>6368094.63</f>
        <v>6368094.6299999999</v>
      </c>
      <c r="F48" s="256">
        <f>0</f>
        <v>0</v>
      </c>
      <c r="G48" s="256">
        <f>0</f>
        <v>0</v>
      </c>
      <c r="H48" s="1723">
        <f>5640592.68</f>
        <v>5640592.6799999997</v>
      </c>
      <c r="I48" s="1724"/>
      <c r="J48" s="1183">
        <v>12.864315169005298</v>
      </c>
      <c r="K48" s="1147">
        <v>62.035023116889001</v>
      </c>
    </row>
    <row r="49" spans="1:11" ht="27">
      <c r="A49" s="1124" t="s">
        <v>256</v>
      </c>
      <c r="B49" s="1178">
        <f t="shared" ref="B49:H49" si="0">B46-B47</f>
        <v>1767406246.7900002</v>
      </c>
      <c r="C49" s="1169">
        <f t="shared" si="0"/>
        <v>1626442244.24</v>
      </c>
      <c r="D49" s="1169">
        <f t="shared" si="0"/>
        <v>1622211228.71</v>
      </c>
      <c r="E49" s="1169">
        <f t="shared" si="0"/>
        <v>148911345.70000002</v>
      </c>
      <c r="F49" s="1169">
        <f t="shared" si="0"/>
        <v>0</v>
      </c>
      <c r="G49" s="1169">
        <f t="shared" si="0"/>
        <v>1145.21</v>
      </c>
      <c r="H49" s="1721">
        <f t="shared" si="0"/>
        <v>111683</v>
      </c>
      <c r="I49" s="1722"/>
      <c r="J49" s="1182">
        <v>86.816576715640878</v>
      </c>
      <c r="K49" s="1168">
        <v>91.784853179980189</v>
      </c>
    </row>
    <row r="50" spans="1:11">
      <c r="A50" s="1125" t="s">
        <v>1139</v>
      </c>
      <c r="B50" s="268">
        <f>158217613.04</f>
        <v>158217613.03999999</v>
      </c>
      <c r="C50" s="256">
        <f>145729700.16</f>
        <v>145729700.16</v>
      </c>
      <c r="D50" s="256">
        <f>145651807.74</f>
        <v>145651807.74000001</v>
      </c>
      <c r="E50" s="256">
        <f>12165938.61</f>
        <v>12165938.609999999</v>
      </c>
      <c r="F50" s="256">
        <f>0</f>
        <v>0</v>
      </c>
      <c r="G50" s="256">
        <f>1145.21</f>
        <v>1145.21</v>
      </c>
      <c r="H50" s="1723">
        <f>0</f>
        <v>0</v>
      </c>
      <c r="I50" s="1724"/>
      <c r="J50" s="1183">
        <v>7.7949105003341153</v>
      </c>
      <c r="K50" s="1147">
        <v>92.057897310823947</v>
      </c>
    </row>
    <row r="51" spans="1:11">
      <c r="A51" s="1125" t="s">
        <v>258</v>
      </c>
      <c r="B51" s="1344">
        <f>13356020.91</f>
        <v>13356020.91</v>
      </c>
      <c r="C51" s="1332">
        <f>9814051.12</f>
        <v>9814051.1199999992</v>
      </c>
      <c r="D51" s="1332">
        <f>9814051.12</f>
        <v>9814051.1199999992</v>
      </c>
      <c r="E51" s="1332">
        <f>1998.9</f>
        <v>1998.9</v>
      </c>
      <c r="F51" s="1332">
        <f>0</f>
        <v>0</v>
      </c>
      <c r="G51" s="1332">
        <f>0</f>
        <v>0</v>
      </c>
      <c r="H51" s="1936">
        <f>0</f>
        <v>0</v>
      </c>
      <c r="I51" s="1938"/>
      <c r="J51" s="1183">
        <v>0.52522279890038648</v>
      </c>
      <c r="K51" s="1147">
        <v>73.480351566775127</v>
      </c>
    </row>
    <row r="52" spans="1:11">
      <c r="A52" s="1125" t="s">
        <v>259</v>
      </c>
      <c r="B52" s="268">
        <f>12400501.28</f>
        <v>12400501.279999999</v>
      </c>
      <c r="C52" s="256">
        <f>5466409.35</f>
        <v>5466409.3499999996</v>
      </c>
      <c r="D52" s="256">
        <f>5466409.35</f>
        <v>5466409.3499999996</v>
      </c>
      <c r="E52" s="256">
        <f>90236.16</f>
        <v>90236.160000000003</v>
      </c>
      <c r="F52" s="256">
        <f>0</f>
        <v>0</v>
      </c>
      <c r="G52" s="256">
        <f>0</f>
        <v>0</v>
      </c>
      <c r="H52" s="1723">
        <f>0</f>
        <v>0</v>
      </c>
      <c r="I52" s="1724"/>
      <c r="J52" s="1183">
        <v>0.29254818256359794</v>
      </c>
      <c r="K52" s="1147">
        <v>44.082164313925219</v>
      </c>
    </row>
    <row r="53" spans="1:11">
      <c r="A53" s="1125" t="s">
        <v>260</v>
      </c>
      <c r="B53" s="1344">
        <f>0</f>
        <v>0</v>
      </c>
      <c r="C53" s="1332">
        <f>0</f>
        <v>0</v>
      </c>
      <c r="D53" s="1332">
        <f>0</f>
        <v>0</v>
      </c>
      <c r="E53" s="1332">
        <f>0</f>
        <v>0</v>
      </c>
      <c r="F53" s="1332">
        <f>0</f>
        <v>0</v>
      </c>
      <c r="G53" s="1332">
        <f>0</f>
        <v>0</v>
      </c>
      <c r="H53" s="1936">
        <f>0</f>
        <v>0</v>
      </c>
      <c r="I53" s="1938"/>
      <c r="J53" s="1183">
        <v>0</v>
      </c>
      <c r="K53" s="1147" t="s">
        <v>273</v>
      </c>
    </row>
    <row r="54" spans="1:11">
      <c r="A54" s="1125" t="s">
        <v>261</v>
      </c>
      <c r="B54" s="1344">
        <f>1626993.85</f>
        <v>1626993.85</v>
      </c>
      <c r="C54" s="1332">
        <f>1104138.03</f>
        <v>1104138.03</v>
      </c>
      <c r="D54" s="1332">
        <f>1104138.03</f>
        <v>1104138.03</v>
      </c>
      <c r="E54" s="1332">
        <f>30836.93</f>
        <v>30836.93</v>
      </c>
      <c r="F54" s="1332">
        <f>0</f>
        <v>0</v>
      </c>
      <c r="G54" s="1332">
        <f>0</f>
        <v>0</v>
      </c>
      <c r="H54" s="1936">
        <f>0</f>
        <v>0</v>
      </c>
      <c r="I54" s="1937"/>
      <c r="J54" s="1183">
        <v>5.9090630301196038E-2</v>
      </c>
      <c r="K54" s="1147">
        <v>67.863687991199228</v>
      </c>
    </row>
    <row r="55" spans="1:11">
      <c r="A55" s="1125" t="s">
        <v>262</v>
      </c>
      <c r="B55" s="268">
        <f t="shared" ref="B55:H55" si="1">B49-B50-B51-B52-B53-B54</f>
        <v>1581805117.7100003</v>
      </c>
      <c r="C55" s="256">
        <f t="shared" si="1"/>
        <v>1464327945.5800002</v>
      </c>
      <c r="D55" s="256">
        <f t="shared" si="1"/>
        <v>1460174822.4700003</v>
      </c>
      <c r="E55" s="1333">
        <f t="shared" si="1"/>
        <v>136622335.10000002</v>
      </c>
      <c r="F55" s="1333">
        <f t="shared" si="1"/>
        <v>0</v>
      </c>
      <c r="G55" s="1333">
        <f t="shared" si="1"/>
        <v>0</v>
      </c>
      <c r="H55" s="1971">
        <f t="shared" si="1"/>
        <v>111683</v>
      </c>
      <c r="I55" s="2328"/>
      <c r="J55" s="1461">
        <v>78.144804603541601</v>
      </c>
      <c r="K55" s="1477">
        <v>92.310664956244054</v>
      </c>
    </row>
    <row r="56" spans="1:11">
      <c r="A56" s="1421" t="s">
        <v>263</v>
      </c>
      <c r="B56" s="1346">
        <f>B6-B46</f>
        <v>-188900476.16000009</v>
      </c>
      <c r="C56" s="1334"/>
      <c r="D56" s="1556">
        <f>C6-D46</f>
        <v>-7235576.5899999142</v>
      </c>
      <c r="E56" s="1553"/>
      <c r="F56" s="1472"/>
      <c r="G56" s="1472"/>
      <c r="H56" s="2329"/>
      <c r="I56" s="2329"/>
      <c r="J56" s="1465"/>
      <c r="K56" s="1465"/>
    </row>
    <row r="58" spans="1:11">
      <c r="A58" s="2393" t="s">
        <v>3</v>
      </c>
      <c r="B58" s="2393"/>
      <c r="C58" s="2393"/>
      <c r="D58" s="2393"/>
      <c r="E58" s="2393"/>
      <c r="F58" s="2393"/>
      <c r="G58" s="2393"/>
      <c r="H58" s="2393"/>
      <c r="I58" s="2393"/>
      <c r="J58" s="2393"/>
      <c r="K58" s="2393"/>
    </row>
    <row r="59" spans="1:11" ht="27">
      <c r="A59" s="1939" t="s">
        <v>68</v>
      </c>
      <c r="B59" s="1220" t="s">
        <v>1095</v>
      </c>
      <c r="C59" s="1387" t="s">
        <v>264</v>
      </c>
      <c r="D59" s="1387" t="s">
        <v>22</v>
      </c>
      <c r="E59" s="1217" t="s">
        <v>265</v>
      </c>
    </row>
    <row r="60" spans="1:11">
      <c r="A60" s="1940"/>
      <c r="B60" s="2389" t="s">
        <v>4</v>
      </c>
      <c r="C60" s="2390"/>
      <c r="D60" s="2391" t="s">
        <v>5</v>
      </c>
      <c r="E60" s="2392"/>
    </row>
    <row r="61" spans="1:11">
      <c r="A61" s="1222" t="s">
        <v>887</v>
      </c>
      <c r="B61" s="1221" t="s">
        <v>888</v>
      </c>
      <c r="C61" s="1218" t="s">
        <v>889</v>
      </c>
      <c r="D61" s="1218" t="s">
        <v>890</v>
      </c>
      <c r="E61" s="1219" t="s">
        <v>891</v>
      </c>
    </row>
    <row r="62" spans="1:11" ht="27">
      <c r="A62" s="1201" t="s">
        <v>266</v>
      </c>
      <c r="B62" s="1177">
        <v>231962798.66</v>
      </c>
      <c r="C62" s="1175">
        <v>357507241.63999999</v>
      </c>
      <c r="D62" s="1409">
        <v>100</v>
      </c>
      <c r="E62" s="1176">
        <v>949.82843878706092</v>
      </c>
    </row>
    <row r="63" spans="1:11">
      <c r="A63" s="1202" t="s">
        <v>267</v>
      </c>
      <c r="B63" s="1199">
        <v>31817817</v>
      </c>
      <c r="C63" s="1146">
        <v>31569787.52</v>
      </c>
      <c r="D63" s="1397">
        <v>8.830530921605753</v>
      </c>
      <c r="E63" s="1147">
        <v>99.220469839272752</v>
      </c>
    </row>
    <row r="64" spans="1:11">
      <c r="A64" s="1203" t="s">
        <v>268</v>
      </c>
      <c r="B64" s="1199">
        <v>0</v>
      </c>
      <c r="C64" s="1146">
        <v>0</v>
      </c>
      <c r="D64" s="1397">
        <v>0</v>
      </c>
      <c r="E64" s="1147">
        <v>0</v>
      </c>
    </row>
    <row r="65" spans="1:5">
      <c r="A65" s="1202" t="s">
        <v>269</v>
      </c>
      <c r="B65" s="1199">
        <v>0</v>
      </c>
      <c r="C65" s="1146">
        <v>0</v>
      </c>
      <c r="D65" s="1397">
        <v>0</v>
      </c>
      <c r="E65" s="1147">
        <v>0</v>
      </c>
    </row>
    <row r="66" spans="1:5">
      <c r="A66" s="1202" t="s">
        <v>270</v>
      </c>
      <c r="B66" s="1199">
        <v>133183459.19</v>
      </c>
      <c r="C66" s="1146">
        <v>239902757.59999999</v>
      </c>
      <c r="D66" s="1397">
        <v>67.104307174167815</v>
      </c>
      <c r="E66" s="1147">
        <v>180.12954390811691</v>
      </c>
    </row>
    <row r="67" spans="1:5" ht="27">
      <c r="A67" s="1202" t="s">
        <v>1102</v>
      </c>
      <c r="B67" s="1199">
        <v>9300566.1600000001</v>
      </c>
      <c r="C67" s="1146">
        <v>10380761.310000001</v>
      </c>
      <c r="D67" s="1397">
        <v>2.9036506400206412</v>
      </c>
      <c r="E67" s="1147">
        <v>111.61429456462251</v>
      </c>
    </row>
    <row r="68" spans="1:5">
      <c r="A68" s="1202" t="s">
        <v>272</v>
      </c>
      <c r="B68" s="1199">
        <v>0</v>
      </c>
      <c r="C68" s="1146">
        <v>0</v>
      </c>
      <c r="D68" s="1397">
        <v>0</v>
      </c>
      <c r="E68" s="1147">
        <v>0</v>
      </c>
    </row>
    <row r="69" spans="1:5" ht="27">
      <c r="A69" s="1202" t="s">
        <v>689</v>
      </c>
      <c r="B69" s="1199">
        <v>57600956.310000002</v>
      </c>
      <c r="C69" s="1146">
        <v>75594939.849999994</v>
      </c>
      <c r="D69" s="1397">
        <v>21.145009399871689</v>
      </c>
      <c r="E69" s="1147">
        <v>131.23903610759336</v>
      </c>
    </row>
    <row r="70" spans="1:5">
      <c r="A70" s="1203" t="s">
        <v>275</v>
      </c>
      <c r="B70" s="1199">
        <v>60000</v>
      </c>
      <c r="C70" s="1146">
        <v>58995.360000000001</v>
      </c>
      <c r="D70" s="1397">
        <v>1.6501864334095562E-2</v>
      </c>
      <c r="E70" s="1147">
        <v>98.325600000000009</v>
      </c>
    </row>
    <row r="71" spans="1:5" ht="27">
      <c r="A71" s="1204" t="s">
        <v>276</v>
      </c>
      <c r="B71" s="1179">
        <v>43034122.5</v>
      </c>
      <c r="C71" s="1167">
        <v>44058593.990000002</v>
      </c>
      <c r="D71" s="1396">
        <v>100</v>
      </c>
      <c r="E71" s="1168">
        <v>102.38060271822668</v>
      </c>
    </row>
    <row r="72" spans="1:5" ht="27">
      <c r="A72" s="1202" t="s">
        <v>277</v>
      </c>
      <c r="B72" s="1199">
        <v>34575987.710000001</v>
      </c>
      <c r="C72" s="1146">
        <v>33493449.890000001</v>
      </c>
      <c r="D72" s="1397">
        <v>76.02024226556577</v>
      </c>
      <c r="E72" s="1147">
        <v>96.869105145803516</v>
      </c>
    </row>
    <row r="73" spans="1:5">
      <c r="A73" s="1202" t="s">
        <v>278</v>
      </c>
      <c r="B73" s="1199">
        <v>0</v>
      </c>
      <c r="C73" s="1146">
        <v>0</v>
      </c>
      <c r="D73" s="1397">
        <v>0</v>
      </c>
      <c r="E73" s="1147">
        <v>0</v>
      </c>
    </row>
    <row r="74" spans="1:5">
      <c r="A74" s="1202" t="s">
        <v>279</v>
      </c>
      <c r="B74" s="1199">
        <v>150000</v>
      </c>
      <c r="C74" s="1146">
        <v>150000</v>
      </c>
      <c r="D74" s="1397">
        <v>0.34045571230449517</v>
      </c>
      <c r="E74" s="1147">
        <v>100</v>
      </c>
    </row>
    <row r="75" spans="1:5">
      <c r="A75" s="1205" t="s">
        <v>280</v>
      </c>
      <c r="B75" s="1157">
        <v>8308134.79</v>
      </c>
      <c r="C75" s="1148">
        <v>10415144.1</v>
      </c>
      <c r="D75" s="1408">
        <v>23.639302022129733</v>
      </c>
      <c r="E75" s="1150">
        <v>125.36079834111598</v>
      </c>
    </row>
  </sheetData>
  <mergeCells count="32">
    <mergeCell ref="A1:G1"/>
    <mergeCell ref="A59:A60"/>
    <mergeCell ref="B60:C60"/>
    <mergeCell ref="D60:E60"/>
    <mergeCell ref="A3:A4"/>
    <mergeCell ref="B4:D4"/>
    <mergeCell ref="E4:G4"/>
    <mergeCell ref="A41:A44"/>
    <mergeCell ref="B41:B43"/>
    <mergeCell ref="C41:C43"/>
    <mergeCell ref="D41:D43"/>
    <mergeCell ref="E41:G41"/>
    <mergeCell ref="B44:I44"/>
    <mergeCell ref="H55:I55"/>
    <mergeCell ref="H56:I56"/>
    <mergeCell ref="A58:K58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J44:K44"/>
    <mergeCell ref="H41:I43"/>
    <mergeCell ref="J41:J43"/>
    <mergeCell ref="K41:K43"/>
    <mergeCell ref="E42:E43"/>
    <mergeCell ref="F42:G42"/>
  </mergeCells>
  <printOptions horizontalCentered="1"/>
  <pageMargins left="0.35433070866141736" right="0.27559055118110237" top="0.59055118110236227" bottom="0.39370078740157483" header="0.31496062992125984" footer="0.19685039370078741"/>
  <pageSetup paperSize="9" scale="73" orientation="landscape" r:id="rId1"/>
  <headerFooter alignWithMargins="0"/>
  <rowBreaks count="2" manualBreakCount="2">
    <brk id="34" max="16383" man="1"/>
    <brk id="57" max="16383" man="1"/>
  </rowBreaks>
  <legacy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2"/>
  <sheetViews>
    <sheetView showGridLines="0" zoomScaleNormal="100" zoomScaleSheetLayoutView="100" workbookViewId="0">
      <selection activeCell="L4" sqref="L4:L7"/>
    </sheetView>
  </sheetViews>
  <sheetFormatPr defaultColWidth="9.140625" defaultRowHeight="13.5"/>
  <cols>
    <col min="1" max="1" width="29.7109375" style="1223" customWidth="1"/>
    <col min="2" max="4" width="10.28515625" style="1223" bestFit="1" customWidth="1"/>
    <col min="5" max="5" width="9.5703125" style="1223" bestFit="1" customWidth="1"/>
    <col min="6" max="6" width="10.28515625" style="1223" bestFit="1" customWidth="1"/>
    <col min="7" max="7" width="9.5703125" style="1223" bestFit="1" customWidth="1"/>
    <col min="8" max="9" width="9.28515625" style="1223" bestFit="1" customWidth="1"/>
    <col min="10" max="10" width="10.28515625" style="1223" bestFit="1" customWidth="1"/>
    <col min="11" max="11" width="9.28515625" style="1223" bestFit="1" customWidth="1"/>
    <col min="12" max="12" width="12.5703125" style="1223" customWidth="1"/>
    <col min="13" max="13" width="10.28515625" style="1223" bestFit="1" customWidth="1"/>
    <col min="14" max="14" width="14" style="1223" customWidth="1"/>
    <col min="15" max="17" width="9.28515625" style="1223" bestFit="1" customWidth="1"/>
    <col min="18" max="18" width="9.140625" style="1223"/>
    <col min="19" max="16384" width="9.140625" style="32"/>
  </cols>
  <sheetData>
    <row r="1" spans="1:18" ht="13.15" customHeight="1">
      <c r="A1" s="1749" t="s">
        <v>281</v>
      </c>
      <c r="B1" s="1749"/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  <c r="N1" s="1749"/>
      <c r="O1" s="1749"/>
      <c r="P1" s="1749"/>
      <c r="Q1" s="1749"/>
    </row>
    <row r="2" spans="1:18">
      <c r="A2" s="1097"/>
      <c r="B2" s="1224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</row>
    <row r="3" spans="1:18">
      <c r="A3" s="1751" t="s">
        <v>68</v>
      </c>
      <c r="B3" s="1751" t="s">
        <v>282</v>
      </c>
      <c r="C3" s="1754" t="s">
        <v>283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6"/>
      <c r="O3" s="1757" t="s">
        <v>284</v>
      </c>
      <c r="P3" s="1755"/>
      <c r="Q3" s="1758"/>
    </row>
    <row r="4" spans="1:18">
      <c r="A4" s="1752"/>
      <c r="B4" s="1752"/>
      <c r="C4" s="1759" t="s">
        <v>285</v>
      </c>
      <c r="D4" s="1745" t="s">
        <v>286</v>
      </c>
      <c r="E4" s="1745" t="s">
        <v>287</v>
      </c>
      <c r="F4" s="1745" t="s">
        <v>288</v>
      </c>
      <c r="G4" s="1745" t="s">
        <v>289</v>
      </c>
      <c r="H4" s="1745" t="s">
        <v>290</v>
      </c>
      <c r="I4" s="1745" t="s">
        <v>291</v>
      </c>
      <c r="J4" s="1745" t="s">
        <v>292</v>
      </c>
      <c r="K4" s="1745" t="s">
        <v>293</v>
      </c>
      <c r="L4" s="1745" t="s">
        <v>294</v>
      </c>
      <c r="M4" s="1745" t="s">
        <v>295</v>
      </c>
      <c r="N4" s="1761" t="s">
        <v>296</v>
      </c>
      <c r="O4" s="1743" t="s">
        <v>297</v>
      </c>
      <c r="P4" s="1745" t="s">
        <v>298</v>
      </c>
      <c r="Q4" s="1747" t="s">
        <v>299</v>
      </c>
    </row>
    <row r="5" spans="1:18">
      <c r="A5" s="1752"/>
      <c r="B5" s="1752"/>
      <c r="C5" s="1759"/>
      <c r="D5" s="1745"/>
      <c r="E5" s="1745"/>
      <c r="F5" s="1745"/>
      <c r="G5" s="1745"/>
      <c r="H5" s="1745"/>
      <c r="I5" s="1745"/>
      <c r="J5" s="1745"/>
      <c r="K5" s="1745"/>
      <c r="L5" s="1745"/>
      <c r="M5" s="1745"/>
      <c r="N5" s="1761"/>
      <c r="O5" s="1743"/>
      <c r="P5" s="1745"/>
      <c r="Q5" s="1747"/>
    </row>
    <row r="6" spans="1:18">
      <c r="A6" s="1752"/>
      <c r="B6" s="1752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8" ht="41.45" customHeight="1">
      <c r="A7" s="1752"/>
      <c r="B7" s="1753"/>
      <c r="C7" s="1760"/>
      <c r="D7" s="1746"/>
      <c r="E7" s="1746"/>
      <c r="F7" s="1746"/>
      <c r="G7" s="1746"/>
      <c r="H7" s="1746"/>
      <c r="I7" s="1746"/>
      <c r="J7" s="1746"/>
      <c r="K7" s="1746"/>
      <c r="L7" s="1746"/>
      <c r="M7" s="1746"/>
      <c r="N7" s="1762"/>
      <c r="O7" s="1744"/>
      <c r="P7" s="1746"/>
      <c r="Q7" s="1748"/>
    </row>
    <row r="8" spans="1:18">
      <c r="A8" s="1753"/>
      <c r="B8" s="1956" t="s">
        <v>4</v>
      </c>
      <c r="C8" s="1959"/>
      <c r="D8" s="1959"/>
      <c r="E8" s="1959"/>
      <c r="F8" s="1959"/>
      <c r="G8" s="1959"/>
      <c r="H8" s="1959"/>
      <c r="I8" s="1959"/>
      <c r="J8" s="1959"/>
      <c r="K8" s="1959"/>
      <c r="L8" s="1959"/>
      <c r="M8" s="1959"/>
      <c r="N8" s="1959"/>
      <c r="O8" s="1959"/>
      <c r="P8" s="1959"/>
      <c r="Q8" s="1960"/>
    </row>
    <row r="9" spans="1:18">
      <c r="A9" s="1267" t="s">
        <v>887</v>
      </c>
      <c r="B9" s="1287" t="s">
        <v>888</v>
      </c>
      <c r="C9" s="1262" t="s">
        <v>889</v>
      </c>
      <c r="D9" s="1263" t="s">
        <v>890</v>
      </c>
      <c r="E9" s="1263" t="s">
        <v>891</v>
      </c>
      <c r="F9" s="1263" t="s">
        <v>892</v>
      </c>
      <c r="G9" s="1263" t="s">
        <v>893</v>
      </c>
      <c r="H9" s="1263" t="s">
        <v>894</v>
      </c>
      <c r="I9" s="1263" t="s">
        <v>932</v>
      </c>
      <c r="J9" s="1263" t="s">
        <v>966</v>
      </c>
      <c r="K9" s="1263" t="s">
        <v>967</v>
      </c>
      <c r="L9" s="1263" t="s">
        <v>969</v>
      </c>
      <c r="M9" s="1263" t="s">
        <v>1070</v>
      </c>
      <c r="N9" s="1264" t="s">
        <v>1096</v>
      </c>
      <c r="O9" s="1380" t="s">
        <v>1097</v>
      </c>
      <c r="P9" s="1285" t="s">
        <v>1098</v>
      </c>
      <c r="Q9" s="1286" t="s">
        <v>1099</v>
      </c>
    </row>
    <row r="10" spans="1:18" s="40" customFormat="1" ht="27">
      <c r="A10" s="1374" t="s">
        <v>300</v>
      </c>
      <c r="B10" s="1252">
        <v>292657096.38</v>
      </c>
      <c r="C10" s="1237">
        <v>292657096.38</v>
      </c>
      <c r="D10" s="1232">
        <v>185072486.75</v>
      </c>
      <c r="E10" s="1232">
        <v>726990.46</v>
      </c>
      <c r="F10" s="1232">
        <v>148135612.71000001</v>
      </c>
      <c r="G10" s="1232">
        <v>36208829.479999997</v>
      </c>
      <c r="H10" s="1232">
        <v>1054.0999999999999</v>
      </c>
      <c r="I10" s="1232">
        <v>0</v>
      </c>
      <c r="J10" s="1232">
        <v>106708440</v>
      </c>
      <c r="K10" s="1232">
        <v>855737.52</v>
      </c>
      <c r="L10" s="1232">
        <v>20367</v>
      </c>
      <c r="M10" s="1232">
        <v>65.11</v>
      </c>
      <c r="N10" s="1246">
        <v>0</v>
      </c>
      <c r="O10" s="1249">
        <v>0</v>
      </c>
      <c r="P10" s="1232">
        <v>0</v>
      </c>
      <c r="Q10" s="1233">
        <v>0</v>
      </c>
      <c r="R10" s="1223"/>
    </row>
    <row r="11" spans="1:18" s="40" customFormat="1" ht="27">
      <c r="A11" s="1243" t="s">
        <v>367</v>
      </c>
      <c r="B11" s="1253">
        <v>0</v>
      </c>
      <c r="C11" s="1238">
        <v>0</v>
      </c>
      <c r="D11" s="1228">
        <v>0</v>
      </c>
      <c r="E11" s="1228">
        <v>0</v>
      </c>
      <c r="F11" s="1228">
        <v>0</v>
      </c>
      <c r="G11" s="1228">
        <v>0</v>
      </c>
      <c r="H11" s="1228">
        <v>0</v>
      </c>
      <c r="I11" s="1228">
        <v>0</v>
      </c>
      <c r="J11" s="1228">
        <v>0</v>
      </c>
      <c r="K11" s="1228">
        <v>0</v>
      </c>
      <c r="L11" s="1228">
        <v>0</v>
      </c>
      <c r="M11" s="1228">
        <v>0</v>
      </c>
      <c r="N11" s="1247">
        <v>0</v>
      </c>
      <c r="O11" s="1250">
        <v>0</v>
      </c>
      <c r="P11" s="1228">
        <v>0</v>
      </c>
      <c r="Q11" s="1229">
        <v>0</v>
      </c>
      <c r="R11" s="1223"/>
    </row>
    <row r="12" spans="1:18">
      <c r="A12" s="1242" t="s">
        <v>711</v>
      </c>
      <c r="B12" s="1253">
        <v>0</v>
      </c>
      <c r="C12" s="1238">
        <v>0</v>
      </c>
      <c r="D12" s="1228">
        <v>0</v>
      </c>
      <c r="E12" s="1228">
        <v>0</v>
      </c>
      <c r="F12" s="1228">
        <v>0</v>
      </c>
      <c r="G12" s="1228">
        <v>0</v>
      </c>
      <c r="H12" s="1228">
        <v>0</v>
      </c>
      <c r="I12" s="1228">
        <v>0</v>
      </c>
      <c r="J12" s="1228">
        <v>0</v>
      </c>
      <c r="K12" s="1228">
        <v>0</v>
      </c>
      <c r="L12" s="1228">
        <v>0</v>
      </c>
      <c r="M12" s="1228">
        <v>0</v>
      </c>
      <c r="N12" s="1247">
        <v>0</v>
      </c>
      <c r="O12" s="1250">
        <v>0</v>
      </c>
      <c r="P12" s="1228">
        <v>0</v>
      </c>
      <c r="Q12" s="1229">
        <v>0</v>
      </c>
    </row>
    <row r="13" spans="1:18" s="40" customFormat="1">
      <c r="A13" s="1242" t="s">
        <v>302</v>
      </c>
      <c r="B13" s="1253">
        <v>0</v>
      </c>
      <c r="C13" s="1238">
        <v>0</v>
      </c>
      <c r="D13" s="1228">
        <v>0</v>
      </c>
      <c r="E13" s="1228">
        <v>0</v>
      </c>
      <c r="F13" s="1228">
        <v>0</v>
      </c>
      <c r="G13" s="1228">
        <v>0</v>
      </c>
      <c r="H13" s="1228">
        <v>0</v>
      </c>
      <c r="I13" s="1228">
        <v>0</v>
      </c>
      <c r="J13" s="1228">
        <v>0</v>
      </c>
      <c r="K13" s="1228">
        <v>0</v>
      </c>
      <c r="L13" s="1228">
        <v>0</v>
      </c>
      <c r="M13" s="1228">
        <v>0</v>
      </c>
      <c r="N13" s="1247">
        <v>0</v>
      </c>
      <c r="O13" s="1250">
        <v>0</v>
      </c>
      <c r="P13" s="1228">
        <v>0</v>
      </c>
      <c r="Q13" s="1229">
        <v>0</v>
      </c>
      <c r="R13" s="1223"/>
    </row>
    <row r="14" spans="1:18" s="40" customFormat="1" ht="27">
      <c r="A14" s="1243" t="s">
        <v>366</v>
      </c>
      <c r="B14" s="1253">
        <v>292635584.17000002</v>
      </c>
      <c r="C14" s="1238">
        <v>292635584.17000002</v>
      </c>
      <c r="D14" s="1228">
        <v>185071406.65000001</v>
      </c>
      <c r="E14" s="1228">
        <v>726964.46</v>
      </c>
      <c r="F14" s="1228">
        <v>148135612.71000001</v>
      </c>
      <c r="G14" s="1228">
        <v>36208829.479999997</v>
      </c>
      <c r="H14" s="1228">
        <v>0</v>
      </c>
      <c r="I14" s="1228">
        <v>0</v>
      </c>
      <c r="J14" s="1228">
        <v>106708440</v>
      </c>
      <c r="K14" s="1228">
        <v>855737.52</v>
      </c>
      <c r="L14" s="1228">
        <v>0</v>
      </c>
      <c r="M14" s="1228">
        <v>0</v>
      </c>
      <c r="N14" s="1247">
        <v>0</v>
      </c>
      <c r="O14" s="1250">
        <v>0</v>
      </c>
      <c r="P14" s="1228">
        <v>0</v>
      </c>
      <c r="Q14" s="1229">
        <v>0</v>
      </c>
      <c r="R14" s="1223"/>
    </row>
    <row r="15" spans="1:18">
      <c r="A15" s="1242" t="s">
        <v>710</v>
      </c>
      <c r="B15" s="1253">
        <v>1139164</v>
      </c>
      <c r="C15" s="1238">
        <v>1139164</v>
      </c>
      <c r="D15" s="1228">
        <v>1139164</v>
      </c>
      <c r="E15" s="1228">
        <v>0</v>
      </c>
      <c r="F15" s="1228">
        <v>0</v>
      </c>
      <c r="G15" s="1228">
        <v>1139164</v>
      </c>
      <c r="H15" s="1228">
        <v>0</v>
      </c>
      <c r="I15" s="1228">
        <v>0</v>
      </c>
      <c r="J15" s="1228">
        <v>0</v>
      </c>
      <c r="K15" s="1228">
        <v>0</v>
      </c>
      <c r="L15" s="1228">
        <v>0</v>
      </c>
      <c r="M15" s="1228">
        <v>0</v>
      </c>
      <c r="N15" s="1247">
        <v>0</v>
      </c>
      <c r="O15" s="1250">
        <v>0</v>
      </c>
      <c r="P15" s="1228">
        <v>0</v>
      </c>
      <c r="Q15" s="1229">
        <v>0</v>
      </c>
    </row>
    <row r="16" spans="1:18">
      <c r="A16" s="1242" t="s">
        <v>304</v>
      </c>
      <c r="B16" s="1253">
        <v>291496420.17000002</v>
      </c>
      <c r="C16" s="1238">
        <v>291496420.17000002</v>
      </c>
      <c r="D16" s="1228">
        <v>183932242.65000001</v>
      </c>
      <c r="E16" s="1228">
        <v>726964.46</v>
      </c>
      <c r="F16" s="1228">
        <v>148135612.71000001</v>
      </c>
      <c r="G16" s="1228">
        <v>35069665.479999997</v>
      </c>
      <c r="H16" s="1228">
        <v>0</v>
      </c>
      <c r="I16" s="1228">
        <v>0</v>
      </c>
      <c r="J16" s="1228">
        <v>106708440</v>
      </c>
      <c r="K16" s="1228">
        <v>855737.52</v>
      </c>
      <c r="L16" s="1228">
        <v>0</v>
      </c>
      <c r="M16" s="1228">
        <v>0</v>
      </c>
      <c r="N16" s="1247">
        <v>0</v>
      </c>
      <c r="O16" s="1250">
        <v>0</v>
      </c>
      <c r="P16" s="1228">
        <v>0</v>
      </c>
      <c r="Q16" s="1229">
        <v>0</v>
      </c>
    </row>
    <row r="17" spans="1:18" s="40" customFormat="1">
      <c r="A17" s="1243" t="s">
        <v>305</v>
      </c>
      <c r="B17" s="1253">
        <v>0</v>
      </c>
      <c r="C17" s="1238">
        <v>0</v>
      </c>
      <c r="D17" s="1228">
        <v>0</v>
      </c>
      <c r="E17" s="1228">
        <v>0</v>
      </c>
      <c r="F17" s="1228">
        <v>0</v>
      </c>
      <c r="G17" s="1228">
        <v>0</v>
      </c>
      <c r="H17" s="1228">
        <v>0</v>
      </c>
      <c r="I17" s="1228">
        <v>0</v>
      </c>
      <c r="J17" s="1228">
        <v>0</v>
      </c>
      <c r="K17" s="1228">
        <v>0</v>
      </c>
      <c r="L17" s="1228">
        <v>0</v>
      </c>
      <c r="M17" s="1228">
        <v>0</v>
      </c>
      <c r="N17" s="1247">
        <v>0</v>
      </c>
      <c r="O17" s="1250">
        <v>0</v>
      </c>
      <c r="P17" s="1228">
        <v>0</v>
      </c>
      <c r="Q17" s="1229">
        <v>0</v>
      </c>
      <c r="R17" s="1223"/>
    </row>
    <row r="18" spans="1:18" s="40" customFormat="1">
      <c r="A18" s="1243" t="s">
        <v>306</v>
      </c>
      <c r="B18" s="1253">
        <v>21512.21</v>
      </c>
      <c r="C18" s="1238">
        <v>21512.21</v>
      </c>
      <c r="D18" s="1228">
        <v>1080.0999999999999</v>
      </c>
      <c r="E18" s="1228">
        <v>26</v>
      </c>
      <c r="F18" s="1228">
        <v>0</v>
      </c>
      <c r="G18" s="1228">
        <v>0</v>
      </c>
      <c r="H18" s="1228">
        <v>1054.0999999999999</v>
      </c>
      <c r="I18" s="1228">
        <v>0</v>
      </c>
      <c r="J18" s="1228">
        <v>0</v>
      </c>
      <c r="K18" s="1228">
        <v>0</v>
      </c>
      <c r="L18" s="1228">
        <v>20367</v>
      </c>
      <c r="M18" s="1228">
        <v>65.11</v>
      </c>
      <c r="N18" s="1247">
        <v>0</v>
      </c>
      <c r="O18" s="1250">
        <v>0</v>
      </c>
      <c r="P18" s="1228">
        <v>0</v>
      </c>
      <c r="Q18" s="1229">
        <v>0</v>
      </c>
      <c r="R18" s="1223"/>
    </row>
    <row r="19" spans="1:18">
      <c r="A19" s="1242" t="s">
        <v>307</v>
      </c>
      <c r="B19" s="1253">
        <v>0</v>
      </c>
      <c r="C19" s="1238">
        <v>0</v>
      </c>
      <c r="D19" s="1228">
        <v>0</v>
      </c>
      <c r="E19" s="1228">
        <v>0</v>
      </c>
      <c r="F19" s="1228">
        <v>0</v>
      </c>
      <c r="G19" s="1228">
        <v>0</v>
      </c>
      <c r="H19" s="1228">
        <v>0</v>
      </c>
      <c r="I19" s="1228">
        <v>0</v>
      </c>
      <c r="J19" s="1228">
        <v>0</v>
      </c>
      <c r="K19" s="1228">
        <v>0</v>
      </c>
      <c r="L19" s="1228">
        <v>0</v>
      </c>
      <c r="M19" s="1228">
        <v>0</v>
      </c>
      <c r="N19" s="1247">
        <v>0</v>
      </c>
      <c r="O19" s="1250">
        <v>0</v>
      </c>
      <c r="P19" s="1228">
        <v>0</v>
      </c>
      <c r="Q19" s="1229">
        <v>0</v>
      </c>
    </row>
    <row r="20" spans="1:18">
      <c r="A20" s="1419" t="s">
        <v>308</v>
      </c>
      <c r="B20" s="1254">
        <v>21512.21</v>
      </c>
      <c r="C20" s="1239">
        <v>21512.21</v>
      </c>
      <c r="D20" s="1230">
        <v>1080.0999999999999</v>
      </c>
      <c r="E20" s="1230">
        <v>26</v>
      </c>
      <c r="F20" s="1230">
        <v>0</v>
      </c>
      <c r="G20" s="1230">
        <v>0</v>
      </c>
      <c r="H20" s="1230">
        <v>1054.0999999999999</v>
      </c>
      <c r="I20" s="1230">
        <v>0</v>
      </c>
      <c r="J20" s="1230">
        <v>0</v>
      </c>
      <c r="K20" s="1230">
        <v>0</v>
      </c>
      <c r="L20" s="1230">
        <v>20367</v>
      </c>
      <c r="M20" s="1230">
        <v>65.11</v>
      </c>
      <c r="N20" s="1248">
        <v>0</v>
      </c>
      <c r="O20" s="1251">
        <v>0</v>
      </c>
      <c r="P20" s="1230">
        <v>0</v>
      </c>
      <c r="Q20" s="1231">
        <v>0</v>
      </c>
    </row>
    <row r="21" spans="1:18">
      <c r="A21" s="1532"/>
      <c r="B21" s="1227"/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</row>
    <row r="22" spans="1:18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8">
      <c r="A23" s="1749" t="s">
        <v>309</v>
      </c>
      <c r="B23" s="1749"/>
      <c r="C23" s="1749"/>
      <c r="D23" s="1749"/>
      <c r="E23" s="1749"/>
      <c r="F23" s="1749"/>
      <c r="G23" s="1749"/>
      <c r="H23" s="1749"/>
      <c r="I23" s="1749"/>
      <c r="J23" s="1749"/>
      <c r="K23" s="1749"/>
      <c r="L23" s="1749"/>
      <c r="M23" s="1749"/>
      <c r="N23" s="1097"/>
      <c r="O23" s="1097"/>
      <c r="P23" s="1097"/>
      <c r="Q23" s="1097"/>
    </row>
    <row r="25" spans="1:18">
      <c r="A25" s="1751" t="s">
        <v>68</v>
      </c>
      <c r="B25" s="1751" t="s">
        <v>310</v>
      </c>
      <c r="C25" s="1754" t="s">
        <v>311</v>
      </c>
      <c r="D25" s="1755"/>
      <c r="E25" s="1755"/>
      <c r="F25" s="1755"/>
      <c r="G25" s="1755"/>
      <c r="H25" s="1755"/>
      <c r="I25" s="1755"/>
      <c r="J25" s="1755"/>
      <c r="K25" s="1755"/>
      <c r="L25" s="1755"/>
      <c r="M25" s="1755"/>
      <c r="N25" s="1756"/>
      <c r="O25" s="1757" t="s">
        <v>312</v>
      </c>
      <c r="P25" s="1755"/>
      <c r="Q25" s="1758"/>
    </row>
    <row r="26" spans="1:18">
      <c r="A26" s="1752"/>
      <c r="B26" s="1752"/>
      <c r="C26" s="1759" t="s">
        <v>313</v>
      </c>
      <c r="D26" s="1745" t="s">
        <v>314</v>
      </c>
      <c r="E26" s="1745" t="s">
        <v>315</v>
      </c>
      <c r="F26" s="1745" t="s">
        <v>316</v>
      </c>
      <c r="G26" s="1745" t="s">
        <v>317</v>
      </c>
      <c r="H26" s="1745" t="s">
        <v>290</v>
      </c>
      <c r="I26" s="1745" t="s">
        <v>318</v>
      </c>
      <c r="J26" s="1745" t="s">
        <v>292</v>
      </c>
      <c r="K26" s="1745" t="s">
        <v>293</v>
      </c>
      <c r="L26" s="1745" t="s">
        <v>294</v>
      </c>
      <c r="M26" s="1745" t="s">
        <v>295</v>
      </c>
      <c r="N26" s="1763" t="s">
        <v>296</v>
      </c>
      <c r="O26" s="1743" t="s">
        <v>297</v>
      </c>
      <c r="P26" s="1745" t="s">
        <v>298</v>
      </c>
      <c r="Q26" s="1747" t="s">
        <v>299</v>
      </c>
    </row>
    <row r="27" spans="1:18">
      <c r="A27" s="1752"/>
      <c r="B27" s="1752"/>
      <c r="C27" s="1759"/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63"/>
      <c r="O27" s="1743"/>
      <c r="P27" s="1745"/>
      <c r="Q27" s="1747"/>
    </row>
    <row r="28" spans="1:18">
      <c r="A28" s="1752"/>
      <c r="B28" s="1752"/>
      <c r="C28" s="1759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63"/>
      <c r="O28" s="1743"/>
      <c r="P28" s="1745"/>
      <c r="Q28" s="1747"/>
    </row>
    <row r="29" spans="1:18" ht="40.9" customHeight="1">
      <c r="A29" s="1752"/>
      <c r="B29" s="1753"/>
      <c r="C29" s="1760"/>
      <c r="D29" s="1746"/>
      <c r="E29" s="1746"/>
      <c r="F29" s="1746"/>
      <c r="G29" s="1746"/>
      <c r="H29" s="1746"/>
      <c r="I29" s="1746"/>
      <c r="J29" s="1746"/>
      <c r="K29" s="1746"/>
      <c r="L29" s="1746"/>
      <c r="M29" s="1746"/>
      <c r="N29" s="1764"/>
      <c r="O29" s="1744"/>
      <c r="P29" s="1746"/>
      <c r="Q29" s="1748"/>
    </row>
    <row r="30" spans="1:18">
      <c r="A30" s="1753"/>
      <c r="B30" s="1977" t="s">
        <v>4</v>
      </c>
      <c r="C30" s="1959"/>
      <c r="D30" s="1959"/>
      <c r="E30" s="1959"/>
      <c r="F30" s="1959"/>
      <c r="G30" s="1959"/>
      <c r="H30" s="1959"/>
      <c r="I30" s="1959"/>
      <c r="J30" s="1959"/>
      <c r="K30" s="1959"/>
      <c r="L30" s="1959"/>
      <c r="M30" s="1959"/>
      <c r="N30" s="1959"/>
      <c r="O30" s="1959"/>
      <c r="P30" s="1959"/>
      <c r="Q30" s="1960"/>
    </row>
    <row r="31" spans="1:18">
      <c r="A31" s="1267" t="s">
        <v>887</v>
      </c>
      <c r="B31" s="1287" t="s">
        <v>888</v>
      </c>
      <c r="C31" s="1262" t="s">
        <v>889</v>
      </c>
      <c r="D31" s="1263" t="s">
        <v>890</v>
      </c>
      <c r="E31" s="1263" t="s">
        <v>891</v>
      </c>
      <c r="F31" s="1263" t="s">
        <v>892</v>
      </c>
      <c r="G31" s="1263" t="s">
        <v>893</v>
      </c>
      <c r="H31" s="1263" t="s">
        <v>894</v>
      </c>
      <c r="I31" s="1263" t="s">
        <v>932</v>
      </c>
      <c r="J31" s="1263" t="s">
        <v>966</v>
      </c>
      <c r="K31" s="1263" t="s">
        <v>967</v>
      </c>
      <c r="L31" s="1263" t="s">
        <v>969</v>
      </c>
      <c r="M31" s="1263" t="s">
        <v>1070</v>
      </c>
      <c r="N31" s="1264" t="s">
        <v>1096</v>
      </c>
      <c r="O31" s="1380" t="s">
        <v>1097</v>
      </c>
      <c r="P31" s="1285" t="s">
        <v>1098</v>
      </c>
      <c r="Q31" s="1286" t="s">
        <v>1099</v>
      </c>
    </row>
    <row r="32" spans="1:18" ht="40.5">
      <c r="A32" s="1268" t="s">
        <v>319</v>
      </c>
      <c r="B32" s="1275">
        <v>0</v>
      </c>
      <c r="C32" s="1272">
        <v>0</v>
      </c>
      <c r="D32" s="1259">
        <v>0</v>
      </c>
      <c r="E32" s="1259">
        <v>0</v>
      </c>
      <c r="F32" s="1259">
        <v>0</v>
      </c>
      <c r="G32" s="1259">
        <v>0</v>
      </c>
      <c r="H32" s="1259">
        <v>0</v>
      </c>
      <c r="I32" s="1259">
        <v>0</v>
      </c>
      <c r="J32" s="1259">
        <v>0</v>
      </c>
      <c r="K32" s="1259">
        <v>0</v>
      </c>
      <c r="L32" s="1259">
        <v>0</v>
      </c>
      <c r="M32" s="1259">
        <v>0</v>
      </c>
      <c r="N32" s="1278">
        <v>0</v>
      </c>
      <c r="O32" s="1281">
        <v>0</v>
      </c>
      <c r="P32" s="1259">
        <v>0</v>
      </c>
      <c r="Q32" s="1260">
        <v>0</v>
      </c>
    </row>
    <row r="33" spans="1:17">
      <c r="A33" s="1426" t="s">
        <v>320</v>
      </c>
      <c r="B33" s="1276">
        <v>0</v>
      </c>
      <c r="C33" s="1273">
        <v>0</v>
      </c>
      <c r="D33" s="1255">
        <v>0</v>
      </c>
      <c r="E33" s="1255">
        <v>0</v>
      </c>
      <c r="F33" s="1255">
        <v>0</v>
      </c>
      <c r="G33" s="1255">
        <v>0</v>
      </c>
      <c r="H33" s="1255">
        <v>0</v>
      </c>
      <c r="I33" s="1255">
        <v>0</v>
      </c>
      <c r="J33" s="1255">
        <v>0</v>
      </c>
      <c r="K33" s="1255">
        <v>0</v>
      </c>
      <c r="L33" s="1255">
        <v>0</v>
      </c>
      <c r="M33" s="1255">
        <v>0</v>
      </c>
      <c r="N33" s="1279">
        <v>0</v>
      </c>
      <c r="O33" s="1282">
        <v>0</v>
      </c>
      <c r="P33" s="1255">
        <v>0</v>
      </c>
      <c r="Q33" s="1256">
        <v>0</v>
      </c>
    </row>
    <row r="34" spans="1:17">
      <c r="A34" s="1425" t="s">
        <v>709</v>
      </c>
      <c r="B34" s="1276">
        <v>0</v>
      </c>
      <c r="C34" s="1273">
        <v>0</v>
      </c>
      <c r="D34" s="1255">
        <v>0</v>
      </c>
      <c r="E34" s="1255">
        <v>0</v>
      </c>
      <c r="F34" s="1255">
        <v>0</v>
      </c>
      <c r="G34" s="1255">
        <v>0</v>
      </c>
      <c r="H34" s="1255">
        <v>0</v>
      </c>
      <c r="I34" s="1255">
        <v>0</v>
      </c>
      <c r="J34" s="1255">
        <v>0</v>
      </c>
      <c r="K34" s="1255">
        <v>0</v>
      </c>
      <c r="L34" s="1255">
        <v>0</v>
      </c>
      <c r="M34" s="1255">
        <v>0</v>
      </c>
      <c r="N34" s="1279">
        <v>0</v>
      </c>
      <c r="O34" s="1282">
        <v>0</v>
      </c>
      <c r="P34" s="1255">
        <v>0</v>
      </c>
      <c r="Q34" s="1256">
        <v>0</v>
      </c>
    </row>
    <row r="35" spans="1:17">
      <c r="A35" s="1425" t="s">
        <v>321</v>
      </c>
      <c r="B35" s="1276">
        <v>0</v>
      </c>
      <c r="C35" s="1273">
        <v>0</v>
      </c>
      <c r="D35" s="1255">
        <v>0</v>
      </c>
      <c r="E35" s="1255">
        <v>0</v>
      </c>
      <c r="F35" s="1255">
        <v>0</v>
      </c>
      <c r="G35" s="1255">
        <v>0</v>
      </c>
      <c r="H35" s="1255">
        <v>0</v>
      </c>
      <c r="I35" s="1255">
        <v>0</v>
      </c>
      <c r="J35" s="1255">
        <v>0</v>
      </c>
      <c r="K35" s="1255">
        <v>0</v>
      </c>
      <c r="L35" s="1255">
        <v>0</v>
      </c>
      <c r="M35" s="1255">
        <v>0</v>
      </c>
      <c r="N35" s="1279">
        <v>0</v>
      </c>
      <c r="O35" s="1282">
        <v>0</v>
      </c>
      <c r="P35" s="1255">
        <v>0</v>
      </c>
      <c r="Q35" s="1256">
        <v>0</v>
      </c>
    </row>
    <row r="36" spans="1:17">
      <c r="A36" s="1426" t="s">
        <v>322</v>
      </c>
      <c r="B36" s="1276">
        <v>827372.87</v>
      </c>
      <c r="C36" s="1273">
        <v>827372.87</v>
      </c>
      <c r="D36" s="1255">
        <v>677372.87</v>
      </c>
      <c r="E36" s="1255">
        <v>0</v>
      </c>
      <c r="F36" s="1255">
        <v>0</v>
      </c>
      <c r="G36" s="1255">
        <v>677372.87</v>
      </c>
      <c r="H36" s="1255">
        <v>0</v>
      </c>
      <c r="I36" s="1255">
        <v>0</v>
      </c>
      <c r="J36" s="1255">
        <v>0</v>
      </c>
      <c r="K36" s="1255">
        <v>0</v>
      </c>
      <c r="L36" s="1255">
        <v>150000</v>
      </c>
      <c r="M36" s="1255">
        <v>0</v>
      </c>
      <c r="N36" s="1279">
        <v>0</v>
      </c>
      <c r="O36" s="1282">
        <v>0</v>
      </c>
      <c r="P36" s="1255">
        <v>0</v>
      </c>
      <c r="Q36" s="1256">
        <v>0</v>
      </c>
    </row>
    <row r="37" spans="1:17">
      <c r="A37" s="1425" t="s">
        <v>708</v>
      </c>
      <c r="B37" s="1276">
        <v>0</v>
      </c>
      <c r="C37" s="1273">
        <v>0</v>
      </c>
      <c r="D37" s="1255">
        <v>0</v>
      </c>
      <c r="E37" s="1255">
        <v>0</v>
      </c>
      <c r="F37" s="1255">
        <v>0</v>
      </c>
      <c r="G37" s="1255">
        <v>0</v>
      </c>
      <c r="H37" s="1255">
        <v>0</v>
      </c>
      <c r="I37" s="1255">
        <v>0</v>
      </c>
      <c r="J37" s="1255">
        <v>0</v>
      </c>
      <c r="K37" s="1255">
        <v>0</v>
      </c>
      <c r="L37" s="1255">
        <v>0</v>
      </c>
      <c r="M37" s="1255">
        <v>0</v>
      </c>
      <c r="N37" s="1279">
        <v>0</v>
      </c>
      <c r="O37" s="1282">
        <v>0</v>
      </c>
      <c r="P37" s="1255">
        <v>0</v>
      </c>
      <c r="Q37" s="1256">
        <v>0</v>
      </c>
    </row>
    <row r="38" spans="1:17">
      <c r="A38" s="1425" t="s">
        <v>323</v>
      </c>
      <c r="B38" s="1276">
        <v>827372.87</v>
      </c>
      <c r="C38" s="1273">
        <v>827372.87</v>
      </c>
      <c r="D38" s="1255">
        <v>677372.87</v>
      </c>
      <c r="E38" s="1255">
        <v>0</v>
      </c>
      <c r="F38" s="1255">
        <v>0</v>
      </c>
      <c r="G38" s="1255">
        <v>677372.87</v>
      </c>
      <c r="H38" s="1255">
        <v>0</v>
      </c>
      <c r="I38" s="1255">
        <v>0</v>
      </c>
      <c r="J38" s="1255">
        <v>0</v>
      </c>
      <c r="K38" s="1255">
        <v>0</v>
      </c>
      <c r="L38" s="1255">
        <v>150000</v>
      </c>
      <c r="M38" s="1255">
        <v>0</v>
      </c>
      <c r="N38" s="1279">
        <v>0</v>
      </c>
      <c r="O38" s="1282">
        <v>0</v>
      </c>
      <c r="P38" s="1255">
        <v>0</v>
      </c>
      <c r="Q38" s="1256">
        <v>0</v>
      </c>
    </row>
    <row r="39" spans="1:17">
      <c r="A39" s="1426" t="s">
        <v>324</v>
      </c>
      <c r="B39" s="1276">
        <v>331250789.60000002</v>
      </c>
      <c r="C39" s="1273">
        <v>331250789.60000002</v>
      </c>
      <c r="D39" s="1255">
        <v>568297.12</v>
      </c>
      <c r="E39" s="1255">
        <v>0</v>
      </c>
      <c r="F39" s="1255">
        <v>0</v>
      </c>
      <c r="G39" s="1255">
        <v>568297.12</v>
      </c>
      <c r="H39" s="1255">
        <v>0</v>
      </c>
      <c r="I39" s="1255">
        <v>0</v>
      </c>
      <c r="J39" s="1255">
        <v>330491515.93000001</v>
      </c>
      <c r="K39" s="1255">
        <v>0</v>
      </c>
      <c r="L39" s="1255">
        <v>190926.55</v>
      </c>
      <c r="M39" s="1255">
        <v>50</v>
      </c>
      <c r="N39" s="1279">
        <v>0</v>
      </c>
      <c r="O39" s="1282">
        <v>0</v>
      </c>
      <c r="P39" s="1255">
        <v>0</v>
      </c>
      <c r="Q39" s="1256">
        <v>0</v>
      </c>
    </row>
    <row r="40" spans="1:17">
      <c r="A40" s="1425" t="s">
        <v>325</v>
      </c>
      <c r="B40" s="1276">
        <v>568297.12</v>
      </c>
      <c r="C40" s="1273">
        <v>568297.12</v>
      </c>
      <c r="D40" s="1255">
        <v>568297.12</v>
      </c>
      <c r="E40" s="1255">
        <v>0</v>
      </c>
      <c r="F40" s="1255">
        <v>0</v>
      </c>
      <c r="G40" s="1255">
        <v>568297.12</v>
      </c>
      <c r="H40" s="1255">
        <v>0</v>
      </c>
      <c r="I40" s="1255">
        <v>0</v>
      </c>
      <c r="J40" s="1255">
        <v>0</v>
      </c>
      <c r="K40" s="1255">
        <v>0</v>
      </c>
      <c r="L40" s="1255">
        <v>0</v>
      </c>
      <c r="M40" s="1255">
        <v>0</v>
      </c>
      <c r="N40" s="1279">
        <v>0</v>
      </c>
      <c r="O40" s="1282">
        <v>0</v>
      </c>
      <c r="P40" s="1255">
        <v>0</v>
      </c>
      <c r="Q40" s="1256">
        <v>0</v>
      </c>
    </row>
    <row r="41" spans="1:17">
      <c r="A41" s="1425" t="s">
        <v>326</v>
      </c>
      <c r="B41" s="1276">
        <v>309087203.37</v>
      </c>
      <c r="C41" s="1273">
        <v>309087203.37</v>
      </c>
      <c r="D41" s="1255">
        <v>0</v>
      </c>
      <c r="E41" s="1255">
        <v>0</v>
      </c>
      <c r="F41" s="1255">
        <v>0</v>
      </c>
      <c r="G41" s="1255">
        <v>0</v>
      </c>
      <c r="H41" s="1255">
        <v>0</v>
      </c>
      <c r="I41" s="1255">
        <v>0</v>
      </c>
      <c r="J41" s="1255">
        <v>309087153.37</v>
      </c>
      <c r="K41" s="1255">
        <v>0</v>
      </c>
      <c r="L41" s="1255">
        <v>0</v>
      </c>
      <c r="M41" s="1255">
        <v>50</v>
      </c>
      <c r="N41" s="1279">
        <v>0</v>
      </c>
      <c r="O41" s="1282">
        <v>0</v>
      </c>
      <c r="P41" s="1255">
        <v>0</v>
      </c>
      <c r="Q41" s="1256">
        <v>0</v>
      </c>
    </row>
    <row r="42" spans="1:17">
      <c r="A42" s="1425" t="s">
        <v>327</v>
      </c>
      <c r="B42" s="1276">
        <v>21595289.109999999</v>
      </c>
      <c r="C42" s="1273">
        <v>21595289.109999999</v>
      </c>
      <c r="D42" s="1255">
        <v>0</v>
      </c>
      <c r="E42" s="1255">
        <v>0</v>
      </c>
      <c r="F42" s="1255">
        <v>0</v>
      </c>
      <c r="G42" s="1255">
        <v>0</v>
      </c>
      <c r="H42" s="1255">
        <v>0</v>
      </c>
      <c r="I42" s="1255">
        <v>0</v>
      </c>
      <c r="J42" s="1255">
        <v>21404362.559999999</v>
      </c>
      <c r="K42" s="1255">
        <v>0</v>
      </c>
      <c r="L42" s="1255">
        <v>190926.55</v>
      </c>
      <c r="M42" s="1255">
        <v>0</v>
      </c>
      <c r="N42" s="1279">
        <v>0</v>
      </c>
      <c r="O42" s="1282">
        <v>0</v>
      </c>
      <c r="P42" s="1255">
        <v>0</v>
      </c>
      <c r="Q42" s="1256">
        <v>0</v>
      </c>
    </row>
    <row r="43" spans="1:17">
      <c r="A43" s="1426" t="s">
        <v>364</v>
      </c>
      <c r="B43" s="1276">
        <v>144332489.16</v>
      </c>
      <c r="C43" s="1273">
        <v>144332489.16</v>
      </c>
      <c r="D43" s="1255">
        <v>4499840.82</v>
      </c>
      <c r="E43" s="1255">
        <v>272815.81</v>
      </c>
      <c r="F43" s="1255">
        <v>32082.45</v>
      </c>
      <c r="G43" s="1255">
        <v>4194912.0599999996</v>
      </c>
      <c r="H43" s="1255">
        <v>30.5</v>
      </c>
      <c r="I43" s="1255">
        <v>0</v>
      </c>
      <c r="J43" s="1255">
        <v>2227.0700000000002</v>
      </c>
      <c r="K43" s="1255">
        <v>4804.76</v>
      </c>
      <c r="L43" s="1255">
        <v>29502641.739999998</v>
      </c>
      <c r="M43" s="1255">
        <v>105248574.19</v>
      </c>
      <c r="N43" s="1279">
        <v>5074400.58</v>
      </c>
      <c r="O43" s="1282">
        <v>0</v>
      </c>
      <c r="P43" s="1255">
        <v>0</v>
      </c>
      <c r="Q43" s="1256">
        <v>0</v>
      </c>
    </row>
    <row r="44" spans="1:17">
      <c r="A44" s="1425" t="s">
        <v>328</v>
      </c>
      <c r="B44" s="1276">
        <v>11693780.32</v>
      </c>
      <c r="C44" s="1273">
        <v>11693780.32</v>
      </c>
      <c r="D44" s="1255">
        <v>843737.88</v>
      </c>
      <c r="E44" s="1255">
        <v>268636.5</v>
      </c>
      <c r="F44" s="1255">
        <v>0</v>
      </c>
      <c r="G44" s="1255">
        <v>575101.38</v>
      </c>
      <c r="H44" s="1255">
        <v>0</v>
      </c>
      <c r="I44" s="1255">
        <v>0</v>
      </c>
      <c r="J44" s="1255">
        <v>75.400000000000006</v>
      </c>
      <c r="K44" s="1255">
        <v>0</v>
      </c>
      <c r="L44" s="1255">
        <v>4608092.46</v>
      </c>
      <c r="M44" s="1255">
        <v>6240247.7000000002</v>
      </c>
      <c r="N44" s="1279">
        <v>1626.88</v>
      </c>
      <c r="O44" s="1282">
        <v>0</v>
      </c>
      <c r="P44" s="1255">
        <v>0</v>
      </c>
      <c r="Q44" s="1256">
        <v>0</v>
      </c>
    </row>
    <row r="45" spans="1:17">
      <c r="A45" s="1425" t="s">
        <v>329</v>
      </c>
      <c r="B45" s="1276">
        <v>132638708.84</v>
      </c>
      <c r="C45" s="1273">
        <v>132638708.84</v>
      </c>
      <c r="D45" s="1255">
        <v>3656102.94</v>
      </c>
      <c r="E45" s="1255">
        <v>4179.3100000000004</v>
      </c>
      <c r="F45" s="1255">
        <v>32082.45</v>
      </c>
      <c r="G45" s="1255">
        <v>3619810.68</v>
      </c>
      <c r="H45" s="1255">
        <v>30.5</v>
      </c>
      <c r="I45" s="1255">
        <v>0</v>
      </c>
      <c r="J45" s="1255">
        <v>2151.67</v>
      </c>
      <c r="K45" s="1255">
        <v>4804.76</v>
      </c>
      <c r="L45" s="1255">
        <v>24894549.280000001</v>
      </c>
      <c r="M45" s="1255">
        <v>99008326.489999995</v>
      </c>
      <c r="N45" s="1279">
        <v>5072773.7</v>
      </c>
      <c r="O45" s="1282">
        <v>0</v>
      </c>
      <c r="P45" s="1255">
        <v>0</v>
      </c>
      <c r="Q45" s="1256">
        <v>0</v>
      </c>
    </row>
    <row r="46" spans="1:17">
      <c r="A46" s="1426" t="s">
        <v>330</v>
      </c>
      <c r="B46" s="1276">
        <v>89731563.030000001</v>
      </c>
      <c r="C46" s="1273">
        <v>89731563.030000001</v>
      </c>
      <c r="D46" s="1255">
        <v>40782456.159999996</v>
      </c>
      <c r="E46" s="1255">
        <v>10537814.800000001</v>
      </c>
      <c r="F46" s="1255">
        <v>526695.13</v>
      </c>
      <c r="G46" s="1255">
        <v>29698223.059999999</v>
      </c>
      <c r="H46" s="1255">
        <v>19723.169999999998</v>
      </c>
      <c r="I46" s="1255">
        <v>0</v>
      </c>
      <c r="J46" s="1255">
        <v>375836.67</v>
      </c>
      <c r="K46" s="1255">
        <v>217226.26</v>
      </c>
      <c r="L46" s="1255">
        <v>39713752.329999998</v>
      </c>
      <c r="M46" s="1255">
        <v>8154104.5999999996</v>
      </c>
      <c r="N46" s="1279">
        <v>488187.01</v>
      </c>
      <c r="O46" s="1282">
        <v>0</v>
      </c>
      <c r="P46" s="1255">
        <v>0</v>
      </c>
      <c r="Q46" s="1256">
        <v>0</v>
      </c>
    </row>
    <row r="47" spans="1:17">
      <c r="A47" s="1425" t="s">
        <v>331</v>
      </c>
      <c r="B47" s="1276">
        <v>39317419.560000002</v>
      </c>
      <c r="C47" s="1273">
        <v>39317419.560000002</v>
      </c>
      <c r="D47" s="1255">
        <v>8225866.6299999999</v>
      </c>
      <c r="E47" s="1255">
        <v>170784.44</v>
      </c>
      <c r="F47" s="1255">
        <v>4440.7</v>
      </c>
      <c r="G47" s="1255">
        <v>8050641.4900000002</v>
      </c>
      <c r="H47" s="1255">
        <v>0</v>
      </c>
      <c r="I47" s="1255">
        <v>0</v>
      </c>
      <c r="J47" s="1255">
        <v>207.08</v>
      </c>
      <c r="K47" s="1255">
        <v>0</v>
      </c>
      <c r="L47" s="1255">
        <v>29092533.760000002</v>
      </c>
      <c r="M47" s="1255">
        <v>1966626.82</v>
      </c>
      <c r="N47" s="1279">
        <v>32185.27</v>
      </c>
      <c r="O47" s="1282">
        <v>0</v>
      </c>
      <c r="P47" s="1255">
        <v>0</v>
      </c>
      <c r="Q47" s="1256">
        <v>0</v>
      </c>
    </row>
    <row r="48" spans="1:17" ht="27">
      <c r="A48" s="1425" t="s">
        <v>332</v>
      </c>
      <c r="B48" s="1276">
        <v>7186765.75</v>
      </c>
      <c r="C48" s="1273">
        <v>7186765.75</v>
      </c>
      <c r="D48" s="1255">
        <v>7168806.7999999998</v>
      </c>
      <c r="E48" s="1255">
        <v>7168580.4299999997</v>
      </c>
      <c r="F48" s="1255">
        <v>0</v>
      </c>
      <c r="G48" s="1255">
        <v>0</v>
      </c>
      <c r="H48" s="1255">
        <v>226.37</v>
      </c>
      <c r="I48" s="1255">
        <v>0</v>
      </c>
      <c r="J48" s="1255">
        <v>0</v>
      </c>
      <c r="K48" s="1255">
        <v>57</v>
      </c>
      <c r="L48" s="1255">
        <v>2125</v>
      </c>
      <c r="M48" s="1255">
        <v>15776.95</v>
      </c>
      <c r="N48" s="1279">
        <v>0</v>
      </c>
      <c r="O48" s="1282">
        <v>0</v>
      </c>
      <c r="P48" s="1255">
        <v>0</v>
      </c>
      <c r="Q48" s="1256">
        <v>0</v>
      </c>
    </row>
    <row r="49" spans="1:18">
      <c r="A49" s="1424" t="s">
        <v>333</v>
      </c>
      <c r="B49" s="1277">
        <v>43227377.719999999</v>
      </c>
      <c r="C49" s="1274">
        <v>43227377.719999999</v>
      </c>
      <c r="D49" s="1257">
        <v>25387782.73</v>
      </c>
      <c r="E49" s="1257">
        <v>3198449.93</v>
      </c>
      <c r="F49" s="1257">
        <v>522254.43</v>
      </c>
      <c r="G49" s="1257">
        <v>21647581.57</v>
      </c>
      <c r="H49" s="1257">
        <v>19496.8</v>
      </c>
      <c r="I49" s="1257">
        <v>0</v>
      </c>
      <c r="J49" s="1257">
        <v>375629.59</v>
      </c>
      <c r="K49" s="1257">
        <v>217169.26</v>
      </c>
      <c r="L49" s="1257">
        <v>10619093.57</v>
      </c>
      <c r="M49" s="1257">
        <v>6171700.8300000001</v>
      </c>
      <c r="N49" s="1280">
        <v>456001.74</v>
      </c>
      <c r="O49" s="1283">
        <v>0</v>
      </c>
      <c r="P49" s="1257">
        <v>0</v>
      </c>
      <c r="Q49" s="1258">
        <v>0</v>
      </c>
    </row>
    <row r="50" spans="1:18">
      <c r="A50" s="1522"/>
      <c r="B50" s="1521"/>
      <c r="C50" s="1521"/>
      <c r="D50" s="1521"/>
      <c r="E50" s="1521"/>
      <c r="F50" s="1521"/>
      <c r="G50" s="1521"/>
      <c r="H50" s="1521"/>
      <c r="I50" s="1521"/>
      <c r="J50" s="1521"/>
      <c r="K50" s="1521"/>
      <c r="L50" s="1521"/>
      <c r="M50" s="1521"/>
      <c r="N50" s="1521"/>
      <c r="O50" s="1521"/>
      <c r="P50" s="1521"/>
      <c r="Q50" s="1521"/>
    </row>
    <row r="51" spans="1:18">
      <c r="A51" s="1522"/>
      <c r="B51" s="1521"/>
      <c r="C51" s="1521"/>
      <c r="D51" s="1521"/>
      <c r="E51" s="1521"/>
      <c r="F51" s="1521"/>
      <c r="G51" s="1521"/>
      <c r="H51" s="1521"/>
      <c r="I51" s="1521"/>
      <c r="J51" s="1521"/>
      <c r="K51" s="1521"/>
      <c r="L51" s="1521"/>
      <c r="M51" s="1521"/>
      <c r="N51" s="1521"/>
      <c r="O51" s="1521"/>
      <c r="P51" s="1521"/>
      <c r="Q51" s="1521"/>
    </row>
    <row r="52" spans="1:18">
      <c r="A52" s="1522"/>
      <c r="B52" s="1521"/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</row>
    <row r="53" spans="1:18">
      <c r="A53" s="1522"/>
      <c r="B53" s="1521"/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</row>
    <row r="54" spans="1:18">
      <c r="A54" s="1522"/>
      <c r="B54" s="1521"/>
      <c r="C54" s="1521"/>
      <c r="D54" s="1521"/>
      <c r="E54" s="1521"/>
      <c r="F54" s="1521"/>
      <c r="G54" s="1521"/>
      <c r="H54" s="1521"/>
      <c r="I54" s="1521"/>
      <c r="J54" s="1521"/>
      <c r="K54" s="1521"/>
      <c r="L54" s="1521"/>
      <c r="M54" s="1521"/>
      <c r="N54" s="1521"/>
      <c r="O54" s="1521"/>
      <c r="P54" s="1521"/>
      <c r="Q54" s="1521"/>
    </row>
    <row r="55" spans="1:18">
      <c r="A55" s="1522"/>
      <c r="B55" s="1521"/>
      <c r="C55" s="1521"/>
      <c r="D55" s="1521"/>
      <c r="E55" s="1521"/>
      <c r="F55" s="1521"/>
      <c r="G55" s="1521"/>
      <c r="H55" s="1521"/>
      <c r="I55" s="1521"/>
      <c r="J55" s="1521"/>
      <c r="K55" s="1521"/>
      <c r="L55" s="1521"/>
      <c r="M55" s="1521"/>
      <c r="N55" s="1521"/>
      <c r="O55" s="1521"/>
      <c r="P55" s="1521"/>
      <c r="Q55" s="1521"/>
    </row>
    <row r="56" spans="1:18" ht="14.45" customHeight="1"/>
    <row r="57" spans="1:18" ht="14.45" customHeight="1">
      <c r="A57" s="1749" t="s">
        <v>334</v>
      </c>
      <c r="B57" s="1749"/>
      <c r="C57" s="1749"/>
      <c r="D57" s="1749"/>
      <c r="E57" s="1749"/>
      <c r="F57" s="1749"/>
      <c r="G57" s="1749"/>
      <c r="H57" s="1749"/>
      <c r="I57" s="1749"/>
      <c r="J57" s="1749"/>
      <c r="K57" s="1749"/>
      <c r="L57" s="1749"/>
      <c r="R57" s="32"/>
    </row>
    <row r="58" spans="1:18" ht="14.45" customHeight="1">
      <c r="R58" s="32"/>
    </row>
    <row r="59" spans="1:18">
      <c r="A59" s="1757" t="s">
        <v>68</v>
      </c>
      <c r="B59" s="1755"/>
      <c r="C59" s="1755"/>
      <c r="D59" s="1758"/>
      <c r="E59" s="1754" t="s">
        <v>335</v>
      </c>
      <c r="F59" s="1755" t="s">
        <v>336</v>
      </c>
      <c r="G59" s="1755"/>
      <c r="H59" s="1755"/>
      <c r="I59" s="1755"/>
      <c r="J59" s="1755"/>
      <c r="K59" s="1758"/>
      <c r="L59" s="1097"/>
      <c r="R59" s="32"/>
    </row>
    <row r="60" spans="1:18">
      <c r="A60" s="1743"/>
      <c r="B60" s="1745"/>
      <c r="C60" s="1745"/>
      <c r="D60" s="1747"/>
      <c r="E60" s="1759"/>
      <c r="F60" s="1745" t="s">
        <v>337</v>
      </c>
      <c r="G60" s="1745" t="s">
        <v>287</v>
      </c>
      <c r="H60" s="1745" t="s">
        <v>288</v>
      </c>
      <c r="I60" s="1745" t="s">
        <v>317</v>
      </c>
      <c r="J60" s="1745" t="s">
        <v>338</v>
      </c>
      <c r="K60" s="1767" t="s">
        <v>339</v>
      </c>
      <c r="L60" s="1097"/>
      <c r="R60" s="32"/>
    </row>
    <row r="61" spans="1:18">
      <c r="A61" s="1743"/>
      <c r="B61" s="1745"/>
      <c r="C61" s="1745"/>
      <c r="D61" s="1747"/>
      <c r="E61" s="1759"/>
      <c r="F61" s="1745"/>
      <c r="G61" s="1745"/>
      <c r="H61" s="1745"/>
      <c r="I61" s="1745"/>
      <c r="J61" s="1745"/>
      <c r="K61" s="1767"/>
      <c r="L61" s="1097"/>
      <c r="R61" s="32"/>
    </row>
    <row r="62" spans="1:18">
      <c r="A62" s="1743"/>
      <c r="B62" s="1745"/>
      <c r="C62" s="1745"/>
      <c r="D62" s="1747"/>
      <c r="E62" s="1759"/>
      <c r="F62" s="1745"/>
      <c r="G62" s="1745"/>
      <c r="H62" s="1745"/>
      <c r="I62" s="1745"/>
      <c r="J62" s="1745"/>
      <c r="K62" s="1767"/>
      <c r="L62" s="1097"/>
      <c r="R62" s="32"/>
    </row>
    <row r="63" spans="1:18" ht="30" customHeight="1">
      <c r="A63" s="1743"/>
      <c r="B63" s="1745"/>
      <c r="C63" s="1745"/>
      <c r="D63" s="1747"/>
      <c r="E63" s="1765"/>
      <c r="F63" s="1766"/>
      <c r="G63" s="1766"/>
      <c r="H63" s="1766"/>
      <c r="I63" s="1766"/>
      <c r="J63" s="1766"/>
      <c r="K63" s="1768"/>
      <c r="L63" s="1097"/>
      <c r="R63" s="32"/>
    </row>
    <row r="64" spans="1:18">
      <c r="A64" s="1744"/>
      <c r="B64" s="1746"/>
      <c r="C64" s="1746"/>
      <c r="D64" s="1748"/>
      <c r="E64" s="1956" t="s">
        <v>4</v>
      </c>
      <c r="F64" s="1953"/>
      <c r="G64" s="1953"/>
      <c r="H64" s="1953"/>
      <c r="I64" s="1953"/>
      <c r="J64" s="1953"/>
      <c r="K64" s="1954"/>
      <c r="L64" s="1097"/>
      <c r="R64" s="32"/>
    </row>
    <row r="65" spans="1:18">
      <c r="A65" s="2394" t="s">
        <v>887</v>
      </c>
      <c r="B65" s="2395"/>
      <c r="C65" s="2395"/>
      <c r="D65" s="2396"/>
      <c r="E65" s="1236" t="s">
        <v>888</v>
      </c>
      <c r="F65" s="1234" t="s">
        <v>889</v>
      </c>
      <c r="G65" s="1234" t="s">
        <v>890</v>
      </c>
      <c r="H65" s="1234" t="s">
        <v>891</v>
      </c>
      <c r="I65" s="1234" t="s">
        <v>892</v>
      </c>
      <c r="J65" s="1234" t="s">
        <v>893</v>
      </c>
      <c r="K65" s="1235" t="s">
        <v>894</v>
      </c>
      <c r="L65" s="1097"/>
      <c r="R65" s="32"/>
    </row>
    <row r="66" spans="1:18" ht="25.9" customHeight="1">
      <c r="A66" s="1793" t="s">
        <v>340</v>
      </c>
      <c r="B66" s="1794"/>
      <c r="C66" s="1794"/>
      <c r="D66" s="1795"/>
      <c r="E66" s="1237">
        <v>0</v>
      </c>
      <c r="F66" s="1232">
        <v>0</v>
      </c>
      <c r="G66" s="1232">
        <v>0</v>
      </c>
      <c r="H66" s="1232">
        <v>0</v>
      </c>
      <c r="I66" s="1232">
        <v>0</v>
      </c>
      <c r="J66" s="1232">
        <v>0</v>
      </c>
      <c r="K66" s="1233">
        <v>0</v>
      </c>
      <c r="L66" s="1097"/>
      <c r="R66" s="32"/>
    </row>
    <row r="67" spans="1:18" ht="31.9" customHeight="1">
      <c r="A67" s="1769" t="s">
        <v>341</v>
      </c>
      <c r="B67" s="1770"/>
      <c r="C67" s="1770"/>
      <c r="D67" s="1771"/>
      <c r="E67" s="1238">
        <v>0</v>
      </c>
      <c r="F67" s="1228">
        <v>0</v>
      </c>
      <c r="G67" s="1228">
        <v>0</v>
      </c>
      <c r="H67" s="1228">
        <v>0</v>
      </c>
      <c r="I67" s="1228">
        <v>0</v>
      </c>
      <c r="J67" s="1228">
        <v>0</v>
      </c>
      <c r="K67" s="1229">
        <v>0</v>
      </c>
      <c r="L67" s="1097"/>
      <c r="R67" s="32"/>
    </row>
    <row r="68" spans="1:18">
      <c r="A68" s="1769" t="s">
        <v>342</v>
      </c>
      <c r="B68" s="1770"/>
      <c r="C68" s="1770"/>
      <c r="D68" s="1771"/>
      <c r="E68" s="1238">
        <v>0</v>
      </c>
      <c r="F68" s="1228">
        <v>0</v>
      </c>
      <c r="G68" s="1228">
        <v>0</v>
      </c>
      <c r="H68" s="1228">
        <v>0</v>
      </c>
      <c r="I68" s="1228">
        <v>0</v>
      </c>
      <c r="J68" s="1228">
        <v>0</v>
      </c>
      <c r="K68" s="1229">
        <v>0</v>
      </c>
      <c r="L68" s="1097"/>
      <c r="R68" s="32"/>
    </row>
    <row r="69" spans="1:18">
      <c r="A69" s="1769" t="s">
        <v>343</v>
      </c>
      <c r="B69" s="1770"/>
      <c r="C69" s="1770"/>
      <c r="D69" s="1771"/>
      <c r="E69" s="1238">
        <v>0</v>
      </c>
      <c r="F69" s="1228">
        <v>0</v>
      </c>
      <c r="G69" s="1228">
        <v>0</v>
      </c>
      <c r="H69" s="1228">
        <v>0</v>
      </c>
      <c r="I69" s="1228">
        <v>0</v>
      </c>
      <c r="J69" s="1228">
        <v>0</v>
      </c>
      <c r="K69" s="1229">
        <v>0</v>
      </c>
      <c r="L69" s="1097"/>
      <c r="R69" s="32"/>
    </row>
    <row r="70" spans="1:18">
      <c r="A70" s="1769" t="s">
        <v>344</v>
      </c>
      <c r="B70" s="1770"/>
      <c r="C70" s="1770"/>
      <c r="D70" s="1771"/>
      <c r="E70" s="1238">
        <v>0</v>
      </c>
      <c r="F70" s="1228">
        <v>0</v>
      </c>
      <c r="G70" s="1228">
        <v>0</v>
      </c>
      <c r="H70" s="1228">
        <v>0</v>
      </c>
      <c r="I70" s="1228">
        <v>0</v>
      </c>
      <c r="J70" s="1228">
        <v>0</v>
      </c>
      <c r="K70" s="1229">
        <v>0</v>
      </c>
      <c r="L70" s="1097"/>
      <c r="R70" s="32"/>
    </row>
    <row r="71" spans="1:18" ht="28.15" customHeight="1">
      <c r="A71" s="1769" t="s">
        <v>345</v>
      </c>
      <c r="B71" s="1770"/>
      <c r="C71" s="1770"/>
      <c r="D71" s="1771"/>
      <c r="E71" s="1238">
        <v>0</v>
      </c>
      <c r="F71" s="1228">
        <v>0</v>
      </c>
      <c r="G71" s="1228">
        <v>0</v>
      </c>
      <c r="H71" s="1228">
        <v>0</v>
      </c>
      <c r="I71" s="1228">
        <v>0</v>
      </c>
      <c r="J71" s="1228">
        <v>0</v>
      </c>
      <c r="K71" s="1229">
        <v>0</v>
      </c>
      <c r="L71" s="1097"/>
      <c r="R71" s="32"/>
    </row>
    <row r="72" spans="1:18" ht="31.15" customHeight="1">
      <c r="A72" s="1772" t="s">
        <v>346</v>
      </c>
      <c r="B72" s="1773"/>
      <c r="C72" s="1773"/>
      <c r="D72" s="1774"/>
      <c r="E72" s="1239">
        <v>0</v>
      </c>
      <c r="F72" s="1230">
        <v>0</v>
      </c>
      <c r="G72" s="1230">
        <v>0</v>
      </c>
      <c r="H72" s="1230">
        <v>0</v>
      </c>
      <c r="I72" s="1230">
        <v>0</v>
      </c>
      <c r="J72" s="1230">
        <v>0</v>
      </c>
      <c r="K72" s="1231">
        <v>0</v>
      </c>
      <c r="L72" s="1097"/>
      <c r="R72" s="32"/>
    </row>
  </sheetData>
  <mergeCells count="62">
    <mergeCell ref="A25:A30"/>
    <mergeCell ref="E64:K64"/>
    <mergeCell ref="A59:D64"/>
    <mergeCell ref="C26:C29"/>
    <mergeCell ref="E26:E29"/>
    <mergeCell ref="J60:J63"/>
    <mergeCell ref="F26:F29"/>
    <mergeCell ref="G26:G29"/>
    <mergeCell ref="H26:H29"/>
    <mergeCell ref="K26:K29"/>
    <mergeCell ref="I26:I29"/>
    <mergeCell ref="J26:J29"/>
    <mergeCell ref="B25:B29"/>
    <mergeCell ref="D26:D29"/>
    <mergeCell ref="A57:L57"/>
    <mergeCell ref="B30:Q30"/>
    <mergeCell ref="C2:M2"/>
    <mergeCell ref="K4:K7"/>
    <mergeCell ref="C4:C7"/>
    <mergeCell ref="B3:B7"/>
    <mergeCell ref="F4:F7"/>
    <mergeCell ref="I4:I7"/>
    <mergeCell ref="J4:J7"/>
    <mergeCell ref="A1:Q1"/>
    <mergeCell ref="Q4:Q7"/>
    <mergeCell ref="A72:D72"/>
    <mergeCell ref="A68:D68"/>
    <mergeCell ref="A69:D69"/>
    <mergeCell ref="C3:N3"/>
    <mergeCell ref="D4:D7"/>
    <mergeCell ref="E4:E7"/>
    <mergeCell ref="A70:D70"/>
    <mergeCell ref="A67:D67"/>
    <mergeCell ref="M26:M29"/>
    <mergeCell ref="A66:D66"/>
    <mergeCell ref="E59:E63"/>
    <mergeCell ref="F60:F63"/>
    <mergeCell ref="G4:G7"/>
    <mergeCell ref="H4:H7"/>
    <mergeCell ref="A71:D71"/>
    <mergeCell ref="F59:K59"/>
    <mergeCell ref="G60:G63"/>
    <mergeCell ref="H60:H63"/>
    <mergeCell ref="I60:I63"/>
    <mergeCell ref="A65:D65"/>
    <mergeCell ref="K60:K63"/>
    <mergeCell ref="O3:Q3"/>
    <mergeCell ref="O4:O7"/>
    <mergeCell ref="L26:L29"/>
    <mergeCell ref="P26:P29"/>
    <mergeCell ref="Q26:Q29"/>
    <mergeCell ref="N26:N29"/>
    <mergeCell ref="O26:O29"/>
    <mergeCell ref="C25:N25"/>
    <mergeCell ref="L4:L7"/>
    <mergeCell ref="M4:M7"/>
    <mergeCell ref="N4:N7"/>
    <mergeCell ref="P4:P7"/>
    <mergeCell ref="O25:Q25"/>
    <mergeCell ref="A23:M23"/>
    <mergeCell ref="B8:Q8"/>
    <mergeCell ref="A3:A8"/>
  </mergeCells>
  <printOptions horizontalCentered="1"/>
  <pageMargins left="0.27559055118110237" right="0.27559055118110237" top="0.6692913385826772" bottom="0.39370078740157483" header="0.31496062992125984" footer="0.59055118110236227"/>
  <pageSetup paperSize="9" scale="64" firstPageNumber="5" orientation="landscape" useFirstPageNumber="1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80"/>
  <sheetViews>
    <sheetView showGridLines="0" topLeftCell="A68" zoomScaleNormal="100" workbookViewId="0">
      <selection activeCell="A81" sqref="A81"/>
    </sheetView>
  </sheetViews>
  <sheetFormatPr defaultRowHeight="13.5"/>
  <cols>
    <col min="1" max="1" width="37.5703125" style="1097" customWidth="1"/>
    <col min="2" max="4" width="11.42578125" style="1097" bestFit="1" customWidth="1"/>
    <col min="5" max="5" width="9.5703125" style="1097" bestFit="1" customWidth="1"/>
    <col min="6" max="7" width="9.140625" style="1097" bestFit="1" customWidth="1"/>
    <col min="8" max="8" width="10.7109375" style="1097" customWidth="1"/>
    <col min="9" max="9" width="10.28515625" style="1097" customWidth="1"/>
    <col min="10" max="11" width="9.140625" style="1097" bestFit="1" customWidth="1"/>
    <col min="12" max="13" width="8.85546875" style="1097"/>
  </cols>
  <sheetData>
    <row r="1" spans="1:7" ht="25.5" customHeight="1">
      <c r="A1" s="2397" t="s">
        <v>1177</v>
      </c>
      <c r="B1" s="2397"/>
      <c r="C1" s="2397"/>
      <c r="D1" s="2397"/>
      <c r="E1" s="2397"/>
      <c r="F1" s="2397"/>
      <c r="G1" s="2397"/>
    </row>
    <row r="3" spans="1:7" ht="67.5">
      <c r="A3" s="1692" t="s">
        <v>218</v>
      </c>
      <c r="B3" s="1398" t="s">
        <v>1080</v>
      </c>
      <c r="C3" s="1388" t="s">
        <v>1081</v>
      </c>
      <c r="D3" s="1390" t="s">
        <v>1082</v>
      </c>
      <c r="E3" s="1391" t="s">
        <v>219</v>
      </c>
      <c r="F3" s="1388" t="s">
        <v>1079</v>
      </c>
      <c r="G3" s="1389" t="s">
        <v>221</v>
      </c>
    </row>
    <row r="4" spans="1:7">
      <c r="A4" s="1925"/>
      <c r="B4" s="2318" t="s">
        <v>4</v>
      </c>
      <c r="C4" s="2319"/>
      <c r="D4" s="2320"/>
      <c r="E4" s="2321" t="s">
        <v>5</v>
      </c>
      <c r="F4" s="2319"/>
      <c r="G4" s="2322"/>
    </row>
    <row r="5" spans="1:7">
      <c r="A5" s="1328" t="s">
        <v>887</v>
      </c>
      <c r="B5" s="1327" t="s">
        <v>888</v>
      </c>
      <c r="C5" s="1294" t="s">
        <v>889</v>
      </c>
      <c r="D5" s="1415" t="s">
        <v>890</v>
      </c>
      <c r="E5" s="1330" t="s">
        <v>891</v>
      </c>
      <c r="F5" s="1294" t="s">
        <v>892</v>
      </c>
      <c r="G5" s="1296" t="s">
        <v>893</v>
      </c>
    </row>
    <row r="6" spans="1:7">
      <c r="A6" s="1123" t="s">
        <v>222</v>
      </c>
      <c r="B6" s="266">
        <f>1185469491</f>
        <v>1185469491</v>
      </c>
      <c r="C6" s="263">
        <f>1284845421.84</f>
        <v>1284845421.8399999</v>
      </c>
      <c r="D6" s="280">
        <f>1278966075.94</f>
        <v>1278966075.9400001</v>
      </c>
      <c r="E6" s="1145">
        <v>100</v>
      </c>
      <c r="F6" s="1140">
        <v>108.38283326517087</v>
      </c>
      <c r="G6" s="1115"/>
    </row>
    <row r="7" spans="1:7" ht="27">
      <c r="A7" s="1124" t="s">
        <v>223</v>
      </c>
      <c r="B7" s="267">
        <f>B6-B13</f>
        <v>1165783877</v>
      </c>
      <c r="C7" s="253">
        <f>C6-C13</f>
        <v>1263818816.1299999</v>
      </c>
      <c r="D7" s="281">
        <f>D6-D13</f>
        <v>1257134583.23</v>
      </c>
      <c r="E7" s="1131">
        <v>98.363491408959661</v>
      </c>
      <c r="F7" s="1108">
        <v>108.40935794911493</v>
      </c>
      <c r="G7" s="1109">
        <v>100</v>
      </c>
    </row>
    <row r="8" spans="1:7" ht="27">
      <c r="A8" s="1125" t="s">
        <v>1136</v>
      </c>
      <c r="B8" s="268">
        <f>375346396</f>
        <v>375346396</v>
      </c>
      <c r="C8" s="1146">
        <f>406287128</f>
        <v>406287128</v>
      </c>
      <c r="D8" s="282">
        <f>399887346</f>
        <v>399887346</v>
      </c>
      <c r="E8" s="1132">
        <v>31.621479214064895</v>
      </c>
      <c r="F8" s="1110">
        <v>108.24324739220354</v>
      </c>
      <c r="G8" s="1111">
        <v>32.147577074703733</v>
      </c>
    </row>
    <row r="9" spans="1:7">
      <c r="A9" s="1125" t="s">
        <v>1137</v>
      </c>
      <c r="B9" s="268">
        <f>541135658</f>
        <v>541135658</v>
      </c>
      <c r="C9" s="1146">
        <f>603865653.63</f>
        <v>603865653.63</v>
      </c>
      <c r="D9" s="282">
        <f>603865653.63</f>
        <v>603865653.63</v>
      </c>
      <c r="E9" s="1132">
        <v>46.999089802197119</v>
      </c>
      <c r="F9" s="1110">
        <v>111.59228646322175</v>
      </c>
      <c r="G9" s="1111">
        <v>47.781030470738358</v>
      </c>
    </row>
    <row r="10" spans="1:7" ht="27">
      <c r="A10" s="1125" t="s">
        <v>1138</v>
      </c>
      <c r="B10" s="268">
        <f>0</f>
        <v>0</v>
      </c>
      <c r="C10" s="1146">
        <f>0</f>
        <v>0</v>
      </c>
      <c r="D10" s="282">
        <f>0</f>
        <v>0</v>
      </c>
      <c r="E10" s="1132">
        <v>0</v>
      </c>
      <c r="F10" s="1110">
        <v>0</v>
      </c>
      <c r="G10" s="1111">
        <v>0</v>
      </c>
    </row>
    <row r="11" spans="1:7">
      <c r="A11" s="1125" t="s">
        <v>90</v>
      </c>
      <c r="B11" s="268">
        <f>333814</f>
        <v>333814</v>
      </c>
      <c r="C11" s="1146">
        <f>373531.8</f>
        <v>373531.8</v>
      </c>
      <c r="D11" s="282">
        <f>373531.8</f>
        <v>373531.8</v>
      </c>
      <c r="E11" s="1132">
        <v>2.9072119778040927E-2</v>
      </c>
      <c r="F11" s="1110">
        <v>111.89818282037302</v>
      </c>
      <c r="G11" s="1111">
        <v>2.9555803033840689E-2</v>
      </c>
    </row>
    <row r="12" spans="1:7">
      <c r="A12" s="1125" t="s">
        <v>231</v>
      </c>
      <c r="B12" s="268">
        <f>B7-SUM(B8:B11)</f>
        <v>248968009</v>
      </c>
      <c r="C12" s="256">
        <f>C7-SUM(C8:C11)</f>
        <v>253292502.69999993</v>
      </c>
      <c r="D12" s="282">
        <f>D7-SUM(D8:D11)</f>
        <v>253008051.80000007</v>
      </c>
      <c r="E12" s="1132">
        <v>19.713850272919608</v>
      </c>
      <c r="F12" s="1110">
        <v>101.73696761980368</v>
      </c>
      <c r="G12" s="1546">
        <v>20.041836651524072</v>
      </c>
    </row>
    <row r="13" spans="1:7">
      <c r="A13" s="1124" t="s">
        <v>707</v>
      </c>
      <c r="B13" s="267">
        <f>B14+B29+B31</f>
        <v>19685614</v>
      </c>
      <c r="C13" s="253">
        <f>C14+C29+C31</f>
        <v>21026605.710000001</v>
      </c>
      <c r="D13" s="281">
        <f>D14+D29+D31</f>
        <v>21831492.710000001</v>
      </c>
      <c r="E13" s="1131">
        <v>1.6365085910403325</v>
      </c>
      <c r="F13" s="1449">
        <v>106.81203903520611</v>
      </c>
      <c r="G13" s="1547"/>
    </row>
    <row r="14" spans="1:7" ht="27">
      <c r="A14" s="1124" t="s">
        <v>233</v>
      </c>
      <c r="B14" s="267">
        <f>B15+B17+B19+B21+B23+B25+B27</f>
        <v>10542957</v>
      </c>
      <c r="C14" s="253">
        <f>C15+C17+C19+C21+C23+C25+C27</f>
        <v>11791053.66</v>
      </c>
      <c r="D14" s="281">
        <f>D15+D17+D19+D21+D23+D25+D27</f>
        <v>12595940.66</v>
      </c>
      <c r="E14" s="1131">
        <v>0.91770211883654318</v>
      </c>
      <c r="F14" s="1449">
        <v>111.83820307718224</v>
      </c>
      <c r="G14" s="1454"/>
    </row>
    <row r="15" spans="1:7">
      <c r="A15" s="1125" t="s">
        <v>234</v>
      </c>
      <c r="B15" s="268">
        <f>0</f>
        <v>0</v>
      </c>
      <c r="C15" s="256">
        <f>0</f>
        <v>0</v>
      </c>
      <c r="D15" s="282">
        <f>0</f>
        <v>0</v>
      </c>
      <c r="E15" s="1132">
        <v>0</v>
      </c>
      <c r="F15" s="1450">
        <v>0</v>
      </c>
      <c r="G15" s="1454"/>
    </row>
    <row r="16" spans="1:7">
      <c r="A16" s="1144" t="s">
        <v>235</v>
      </c>
      <c r="B16" s="268">
        <f>0</f>
        <v>0</v>
      </c>
      <c r="C16" s="256">
        <f>0</f>
        <v>0</v>
      </c>
      <c r="D16" s="282">
        <f>0</f>
        <v>0</v>
      </c>
      <c r="E16" s="1132">
        <v>0</v>
      </c>
      <c r="F16" s="1450">
        <v>0</v>
      </c>
      <c r="G16" s="1454"/>
    </row>
    <row r="17" spans="1:11">
      <c r="A17" s="1125" t="s">
        <v>236</v>
      </c>
      <c r="B17" s="268">
        <f>0</f>
        <v>0</v>
      </c>
      <c r="C17" s="256">
        <f>0</f>
        <v>0</v>
      </c>
      <c r="D17" s="282">
        <f>0</f>
        <v>0</v>
      </c>
      <c r="E17" s="1132">
        <v>0</v>
      </c>
      <c r="F17" s="1450">
        <v>0</v>
      </c>
      <c r="G17" s="1454"/>
    </row>
    <row r="18" spans="1:11">
      <c r="A18" s="1144" t="s">
        <v>235</v>
      </c>
      <c r="B18" s="268">
        <f>0</f>
        <v>0</v>
      </c>
      <c r="C18" s="256">
        <f>0</f>
        <v>0</v>
      </c>
      <c r="D18" s="282">
        <f>0</f>
        <v>0</v>
      </c>
      <c r="E18" s="1132">
        <v>0</v>
      </c>
      <c r="F18" s="1450">
        <v>0</v>
      </c>
      <c r="G18" s="1454"/>
    </row>
    <row r="19" spans="1:11" ht="27">
      <c r="A19" s="1125" t="s">
        <v>363</v>
      </c>
      <c r="B19" s="268">
        <f>0</f>
        <v>0</v>
      </c>
      <c r="C19" s="256">
        <f>0</f>
        <v>0</v>
      </c>
      <c r="D19" s="282">
        <f>0</f>
        <v>0</v>
      </c>
      <c r="E19" s="1132">
        <v>0</v>
      </c>
      <c r="F19" s="1450">
        <v>0</v>
      </c>
      <c r="G19" s="1454"/>
    </row>
    <row r="20" spans="1:11">
      <c r="A20" s="1144" t="s">
        <v>235</v>
      </c>
      <c r="B20" s="268">
        <f>0</f>
        <v>0</v>
      </c>
      <c r="C20" s="256">
        <f>0</f>
        <v>0</v>
      </c>
      <c r="D20" s="282">
        <f>0</f>
        <v>0</v>
      </c>
      <c r="E20" s="1132">
        <v>0</v>
      </c>
      <c r="F20" s="1450">
        <v>0</v>
      </c>
      <c r="G20" s="1454"/>
    </row>
    <row r="21" spans="1:11" ht="27">
      <c r="A21" s="1399" t="s">
        <v>362</v>
      </c>
      <c r="B21" s="268">
        <f>10542957</f>
        <v>10542957</v>
      </c>
      <c r="C21" s="256">
        <f>11791053.66</f>
        <v>11791053.66</v>
      </c>
      <c r="D21" s="282">
        <f>12595940.66</f>
        <v>12595940.66</v>
      </c>
      <c r="E21" s="1132">
        <v>0.91770211883654318</v>
      </c>
      <c r="F21" s="1450">
        <v>111.83820307718224</v>
      </c>
      <c r="G21" s="1454"/>
    </row>
    <row r="22" spans="1:11">
      <c r="A22" s="1144" t="s">
        <v>235</v>
      </c>
      <c r="B22" s="268">
        <f>0</f>
        <v>0</v>
      </c>
      <c r="C22" s="256">
        <f>0</f>
        <v>0</v>
      </c>
      <c r="D22" s="282">
        <f>0</f>
        <v>0</v>
      </c>
      <c r="E22" s="1132">
        <v>0</v>
      </c>
      <c r="F22" s="1450">
        <v>0</v>
      </c>
      <c r="G22" s="1454"/>
    </row>
    <row r="23" spans="1:11" ht="27">
      <c r="A23" s="1399" t="s">
        <v>237</v>
      </c>
      <c r="B23" s="268">
        <f>0</f>
        <v>0</v>
      </c>
      <c r="C23" s="256">
        <f>0</f>
        <v>0</v>
      </c>
      <c r="D23" s="282">
        <f>0</f>
        <v>0</v>
      </c>
      <c r="E23" s="1132">
        <v>0</v>
      </c>
      <c r="F23" s="1450">
        <v>0</v>
      </c>
      <c r="G23" s="1454"/>
    </row>
    <row r="24" spans="1:11">
      <c r="A24" s="1144" t="s">
        <v>235</v>
      </c>
      <c r="B24" s="268">
        <f>0</f>
        <v>0</v>
      </c>
      <c r="C24" s="256">
        <f>0</f>
        <v>0</v>
      </c>
      <c r="D24" s="282">
        <f>0</f>
        <v>0</v>
      </c>
      <c r="E24" s="1132">
        <v>0</v>
      </c>
      <c r="F24" s="1450">
        <v>0</v>
      </c>
      <c r="G24" s="1454"/>
    </row>
    <row r="25" spans="1:11">
      <c r="A25" s="1125" t="s">
        <v>238</v>
      </c>
      <c r="B25" s="268">
        <f>0</f>
        <v>0</v>
      </c>
      <c r="C25" s="256">
        <f>0</f>
        <v>0</v>
      </c>
      <c r="D25" s="282">
        <f>0</f>
        <v>0</v>
      </c>
      <c r="E25" s="1132">
        <v>0</v>
      </c>
      <c r="F25" s="1450">
        <v>0</v>
      </c>
      <c r="G25" s="1454"/>
    </row>
    <row r="26" spans="1:11">
      <c r="A26" s="1144" t="s">
        <v>235</v>
      </c>
      <c r="B26" s="268">
        <f>0</f>
        <v>0</v>
      </c>
      <c r="C26" s="256">
        <f>0</f>
        <v>0</v>
      </c>
      <c r="D26" s="282">
        <f>0</f>
        <v>0</v>
      </c>
      <c r="E26" s="1132">
        <v>0</v>
      </c>
      <c r="F26" s="1450">
        <v>0</v>
      </c>
      <c r="G26" s="1454"/>
    </row>
    <row r="27" spans="1:11" ht="40.5">
      <c r="A27" s="1125" t="s">
        <v>1101</v>
      </c>
      <c r="B27" s="268">
        <f>0</f>
        <v>0</v>
      </c>
      <c r="C27" s="256">
        <f>0</f>
        <v>0</v>
      </c>
      <c r="D27" s="282">
        <f>0</f>
        <v>0</v>
      </c>
      <c r="E27" s="1132">
        <v>0</v>
      </c>
      <c r="F27" s="1450">
        <v>0</v>
      </c>
      <c r="G27" s="1454"/>
    </row>
    <row r="28" spans="1:11">
      <c r="A28" s="1144" t="s">
        <v>235</v>
      </c>
      <c r="B28" s="268">
        <f>0</f>
        <v>0</v>
      </c>
      <c r="C28" s="256">
        <f>0</f>
        <v>0</v>
      </c>
      <c r="D28" s="282">
        <f>0</f>
        <v>0</v>
      </c>
      <c r="E28" s="1132">
        <v>0</v>
      </c>
      <c r="F28" s="1450">
        <v>0</v>
      </c>
      <c r="G28" s="1454"/>
    </row>
    <row r="29" spans="1:11">
      <c r="A29" s="1124" t="s">
        <v>239</v>
      </c>
      <c r="B29" s="267">
        <f>0</f>
        <v>0</v>
      </c>
      <c r="C29" s="253">
        <f>0</f>
        <v>0</v>
      </c>
      <c r="D29" s="281">
        <f>0</f>
        <v>0</v>
      </c>
      <c r="E29" s="1131">
        <v>0</v>
      </c>
      <c r="F29" s="1449">
        <v>0</v>
      </c>
      <c r="G29" s="1523"/>
      <c r="H29" s="1090"/>
      <c r="I29" s="1090"/>
      <c r="J29" s="1091"/>
      <c r="K29" s="1091"/>
    </row>
    <row r="30" spans="1:11">
      <c r="A30" s="1144" t="s">
        <v>240</v>
      </c>
      <c r="B30" s="268">
        <f>0</f>
        <v>0</v>
      </c>
      <c r="C30" s="256">
        <f>0</f>
        <v>0</v>
      </c>
      <c r="D30" s="282">
        <f>0</f>
        <v>0</v>
      </c>
      <c r="E30" s="1132">
        <v>0</v>
      </c>
      <c r="F30" s="1450">
        <v>0</v>
      </c>
      <c r="G30" s="1523"/>
      <c r="H30" s="1090"/>
      <c r="I30" s="1090"/>
      <c r="J30" s="1091"/>
      <c r="K30" s="1091"/>
    </row>
    <row r="31" spans="1:11">
      <c r="A31" s="1124" t="s">
        <v>241</v>
      </c>
      <c r="B31" s="268">
        <f>9142657</f>
        <v>9142657</v>
      </c>
      <c r="C31" s="256">
        <f>9235552.05</f>
        <v>9235552.0500000007</v>
      </c>
      <c r="D31" s="282">
        <f>9235552.05</f>
        <v>9235552.0500000007</v>
      </c>
      <c r="E31" s="1132">
        <v>0.71880647220378957</v>
      </c>
      <c r="F31" s="1450">
        <v>101.01606185160398</v>
      </c>
      <c r="G31" s="1523"/>
      <c r="H31" s="1090"/>
      <c r="I31" s="1090"/>
      <c r="J31" s="1091"/>
      <c r="K31" s="1091"/>
    </row>
    <row r="32" spans="1:11">
      <c r="A32" s="1422" t="s">
        <v>242</v>
      </c>
      <c r="B32" s="1121">
        <f>8597000</f>
        <v>8597000</v>
      </c>
      <c r="C32" s="1112">
        <f>8597000.41</f>
        <v>8597000.4100000001</v>
      </c>
      <c r="D32" s="1128">
        <f>8597000.41</f>
        <v>8597000.4100000001</v>
      </c>
      <c r="E32" s="1133">
        <v>0.66910775910213527</v>
      </c>
      <c r="F32" s="1451">
        <v>100.0000047691055</v>
      </c>
      <c r="G32" s="1523"/>
      <c r="H32" s="1090"/>
      <c r="I32" s="1090"/>
      <c r="J32" s="1091"/>
      <c r="K32" s="1091"/>
    </row>
    <row r="33" spans="1:11">
      <c r="A33" s="1420"/>
      <c r="B33" s="1358"/>
      <c r="C33" s="1358"/>
      <c r="D33" s="1358"/>
      <c r="E33" s="1358" t="s">
        <v>3</v>
      </c>
      <c r="F33" s="1358" t="str">
        <f t="shared" ref="F33" si="0">IF(B33=0,"",100*C33/B33)</f>
        <v/>
      </c>
      <c r="G33" s="1090"/>
      <c r="H33" s="1090"/>
      <c r="I33" s="1090"/>
      <c r="J33" s="1091"/>
      <c r="K33" s="1091"/>
    </row>
    <row r="34" spans="1:11">
      <c r="A34" s="1098" t="s">
        <v>222</v>
      </c>
      <c r="B34" s="1298">
        <f>+B6</f>
        <v>1185469491</v>
      </c>
      <c r="C34" s="1297">
        <f>+C6</f>
        <v>1284845421.8399999</v>
      </c>
      <c r="D34" s="1302">
        <f>+D6</f>
        <v>1278966075.9400001</v>
      </c>
      <c r="E34" s="1305">
        <v>100</v>
      </c>
      <c r="F34" s="1306">
        <v>108.38283326517087</v>
      </c>
      <c r="G34" s="1090"/>
      <c r="H34" s="1090"/>
      <c r="I34" s="1090"/>
      <c r="J34" s="1091"/>
      <c r="K34" s="1091"/>
    </row>
    <row r="35" spans="1:11">
      <c r="A35" s="1352" t="s">
        <v>740</v>
      </c>
      <c r="B35" s="1299">
        <f>8901931</f>
        <v>8901931</v>
      </c>
      <c r="C35" s="1171">
        <f>9730577.84</f>
        <v>9730577.8399999999</v>
      </c>
      <c r="D35" s="1172">
        <f>9730577.84</f>
        <v>9730577.8399999999</v>
      </c>
      <c r="E35" s="1307">
        <v>0.757334514689327</v>
      </c>
      <c r="F35" s="1308">
        <v>109.30861899513712</v>
      </c>
      <c r="G35" s="1090"/>
      <c r="H35" s="1090"/>
      <c r="I35" s="1090"/>
      <c r="J35" s="1091"/>
      <c r="K35" s="1091"/>
    </row>
    <row r="36" spans="1:11">
      <c r="A36" s="1373" t="s">
        <v>739</v>
      </c>
      <c r="B36" s="1121">
        <f>B34-B35</f>
        <v>1176567560</v>
      </c>
      <c r="C36" s="1112">
        <f>C34-C35</f>
        <v>1275114844</v>
      </c>
      <c r="D36" s="1128">
        <f>D34-D35</f>
        <v>1269235498.1000001</v>
      </c>
      <c r="E36" s="1133">
        <v>99.242665485310681</v>
      </c>
      <c r="F36" s="1113">
        <v>108.37582875393913</v>
      </c>
      <c r="G36" s="1090"/>
      <c r="H36" s="1090"/>
      <c r="I36" s="1090"/>
      <c r="J36" s="1091"/>
      <c r="K36" s="1091"/>
    </row>
    <row r="37" spans="1:11">
      <c r="A37" s="1420"/>
      <c r="B37" s="1088"/>
      <c r="C37" s="1089"/>
      <c r="D37" s="1089"/>
      <c r="E37" s="1090"/>
      <c r="F37" s="1090"/>
      <c r="G37" s="1090"/>
      <c r="H37" s="1090"/>
      <c r="I37" s="1090"/>
      <c r="J37" s="1091"/>
      <c r="K37" s="1091"/>
    </row>
    <row r="38" spans="1:11">
      <c r="A38" s="1092"/>
      <c r="B38" s="1088"/>
      <c r="C38" s="1089"/>
      <c r="D38" s="1089"/>
      <c r="E38" s="1093"/>
      <c r="F38" s="1093"/>
      <c r="G38" s="1093"/>
      <c r="H38" s="1093"/>
      <c r="I38" s="1093"/>
      <c r="J38" s="1091"/>
      <c r="K38" s="1091"/>
    </row>
    <row r="39" spans="1:11" ht="24" customHeight="1">
      <c r="A39" s="1692" t="s">
        <v>218</v>
      </c>
      <c r="B39" s="1699" t="s">
        <v>1080</v>
      </c>
      <c r="C39" s="1702" t="s">
        <v>1088</v>
      </c>
      <c r="D39" s="1702" t="s">
        <v>1089</v>
      </c>
      <c r="E39" s="1702" t="s">
        <v>250</v>
      </c>
      <c r="F39" s="1702"/>
      <c r="G39" s="1702"/>
      <c r="H39" s="1702" t="s">
        <v>1090</v>
      </c>
      <c r="I39" s="1707"/>
      <c r="J39" s="1710" t="s">
        <v>219</v>
      </c>
      <c r="K39" s="1713" t="s">
        <v>1094</v>
      </c>
    </row>
    <row r="40" spans="1:11">
      <c r="A40" s="1698"/>
      <c r="B40" s="1700"/>
      <c r="C40" s="1703"/>
      <c r="D40" s="1705"/>
      <c r="E40" s="1705" t="s">
        <v>1091</v>
      </c>
      <c r="F40" s="1703" t="s">
        <v>252</v>
      </c>
      <c r="G40" s="1703"/>
      <c r="H40" s="1705"/>
      <c r="I40" s="1708"/>
      <c r="J40" s="1711"/>
      <c r="K40" s="1714"/>
    </row>
    <row r="41" spans="1:11" ht="54">
      <c r="A41" s="1698"/>
      <c r="B41" s="1929"/>
      <c r="C41" s="1930"/>
      <c r="D41" s="1931"/>
      <c r="E41" s="1930"/>
      <c r="F41" s="1343" t="s">
        <v>1092</v>
      </c>
      <c r="G41" s="1343" t="s">
        <v>1093</v>
      </c>
      <c r="H41" s="1931"/>
      <c r="I41" s="1932"/>
      <c r="J41" s="1933"/>
      <c r="K41" s="1934"/>
    </row>
    <row r="42" spans="1:11">
      <c r="A42" s="1925"/>
      <c r="B42" s="1926" t="s">
        <v>4</v>
      </c>
      <c r="C42" s="1695"/>
      <c r="D42" s="1695"/>
      <c r="E42" s="1695"/>
      <c r="F42" s="1695"/>
      <c r="G42" s="1695"/>
      <c r="H42" s="1695"/>
      <c r="I42" s="1696"/>
      <c r="J42" s="1694" t="s">
        <v>5</v>
      </c>
      <c r="K42" s="1697"/>
    </row>
    <row r="43" spans="1:11">
      <c r="A43" s="1328" t="s">
        <v>887</v>
      </c>
      <c r="B43" s="1327" t="s">
        <v>888</v>
      </c>
      <c r="C43" s="1294" t="s">
        <v>889</v>
      </c>
      <c r="D43" s="1294" t="s">
        <v>890</v>
      </c>
      <c r="E43" s="1295" t="s">
        <v>891</v>
      </c>
      <c r="F43" s="1295" t="s">
        <v>892</v>
      </c>
      <c r="G43" s="1294" t="s">
        <v>893</v>
      </c>
      <c r="H43" s="2323" t="s">
        <v>894</v>
      </c>
      <c r="I43" s="2324"/>
      <c r="J43" s="1293" t="s">
        <v>932</v>
      </c>
      <c r="K43" s="1296" t="s">
        <v>966</v>
      </c>
    </row>
    <row r="44" spans="1:11" ht="27">
      <c r="A44" s="1123" t="s">
        <v>253</v>
      </c>
      <c r="B44" s="1177">
        <f>1196879269</f>
        <v>1196879269</v>
      </c>
      <c r="C44" s="1175">
        <f>1047511129.69</f>
        <v>1047511129.6900001</v>
      </c>
      <c r="D44" s="1175">
        <f>1047511129.69</f>
        <v>1047511129.6900001</v>
      </c>
      <c r="E44" s="1175">
        <f>46482092.02</f>
        <v>46482092.020000003</v>
      </c>
      <c r="F44" s="1175">
        <f>0</f>
        <v>0</v>
      </c>
      <c r="G44" s="1175">
        <f>0</f>
        <v>0</v>
      </c>
      <c r="H44" s="1719">
        <f>0</f>
        <v>0</v>
      </c>
      <c r="I44" s="1720"/>
      <c r="J44" s="1181">
        <v>100</v>
      </c>
      <c r="K44" s="1176">
        <v>87.520199975157226</v>
      </c>
    </row>
    <row r="45" spans="1:11">
      <c r="A45" s="1124" t="s">
        <v>254</v>
      </c>
      <c r="B45" s="1178">
        <f>112854825</f>
        <v>112854825</v>
      </c>
      <c r="C45" s="1169">
        <f>78733443.84</f>
        <v>78733443.840000004</v>
      </c>
      <c r="D45" s="1169">
        <f>78733443.84</f>
        <v>78733443.840000004</v>
      </c>
      <c r="E45" s="1169">
        <f>661.74</f>
        <v>661.74</v>
      </c>
      <c r="F45" s="1169">
        <f>0</f>
        <v>0</v>
      </c>
      <c r="G45" s="1169">
        <f>0</f>
        <v>0</v>
      </c>
      <c r="H45" s="1721">
        <f>0</f>
        <v>0</v>
      </c>
      <c r="I45" s="1722"/>
      <c r="J45" s="1182">
        <v>7.5162393609412375</v>
      </c>
      <c r="K45" s="1168">
        <v>69.765243834280014</v>
      </c>
    </row>
    <row r="46" spans="1:11">
      <c r="A46" s="1125" t="s">
        <v>255</v>
      </c>
      <c r="B46" s="268">
        <f>97852278</f>
        <v>97852278</v>
      </c>
      <c r="C46" s="256">
        <f>63730897.59</f>
        <v>63730897.590000004</v>
      </c>
      <c r="D46" s="256">
        <f>63730897.59</f>
        <v>63730897.590000004</v>
      </c>
      <c r="E46" s="256">
        <f>661.74</f>
        <v>661.74</v>
      </c>
      <c r="F46" s="256">
        <f>0</f>
        <v>0</v>
      </c>
      <c r="G46" s="256">
        <f>0</f>
        <v>0</v>
      </c>
      <c r="H46" s="1723">
        <f>0</f>
        <v>0</v>
      </c>
      <c r="I46" s="1724"/>
      <c r="J46" s="1183">
        <v>6.0840305924826295</v>
      </c>
      <c r="K46" s="1147">
        <v>65.129702539985828</v>
      </c>
    </row>
    <row r="47" spans="1:11" ht="27">
      <c r="A47" s="1124" t="s">
        <v>256</v>
      </c>
      <c r="B47" s="1178">
        <f t="shared" ref="B47:H47" si="1">B44-B45</f>
        <v>1084024444</v>
      </c>
      <c r="C47" s="1169">
        <f t="shared" si="1"/>
        <v>968777685.85000002</v>
      </c>
      <c r="D47" s="1169">
        <f t="shared" si="1"/>
        <v>968777685.85000002</v>
      </c>
      <c r="E47" s="1169">
        <f t="shared" si="1"/>
        <v>46481430.280000001</v>
      </c>
      <c r="F47" s="1169">
        <f t="shared" si="1"/>
        <v>0</v>
      </c>
      <c r="G47" s="1169">
        <f t="shared" si="1"/>
        <v>0</v>
      </c>
      <c r="H47" s="1721">
        <f t="shared" si="1"/>
        <v>0</v>
      </c>
      <c r="I47" s="1722"/>
      <c r="J47" s="1182">
        <v>92.483760639058758</v>
      </c>
      <c r="K47" s="1168">
        <v>89.368619980122887</v>
      </c>
    </row>
    <row r="48" spans="1:11">
      <c r="A48" s="1125" t="s">
        <v>1139</v>
      </c>
      <c r="B48" s="268">
        <f>51834825</f>
        <v>51834825</v>
      </c>
      <c r="C48" s="256">
        <f>43731181.05</f>
        <v>43731181.049999997</v>
      </c>
      <c r="D48" s="256">
        <f>43731181.05</f>
        <v>43731181.049999997</v>
      </c>
      <c r="E48" s="256">
        <f>1913990.13</f>
        <v>1913990.13</v>
      </c>
      <c r="F48" s="256">
        <f>0</f>
        <v>0</v>
      </c>
      <c r="G48" s="256">
        <f>0</f>
        <v>0</v>
      </c>
      <c r="H48" s="1723">
        <f>0</f>
        <v>0</v>
      </c>
      <c r="I48" s="1724"/>
      <c r="J48" s="1183">
        <v>4.1747700631058482</v>
      </c>
      <c r="K48" s="1147">
        <v>84.366410130640929</v>
      </c>
    </row>
    <row r="49" spans="1:13">
      <c r="A49" s="1125" t="s">
        <v>258</v>
      </c>
      <c r="B49" s="1344">
        <f>11370000</f>
        <v>11370000</v>
      </c>
      <c r="C49" s="1332">
        <f>10417598.64</f>
        <v>10417598.640000001</v>
      </c>
      <c r="D49" s="1332">
        <f>10417598.64</f>
        <v>10417598.640000001</v>
      </c>
      <c r="E49" s="1332">
        <f>0</f>
        <v>0</v>
      </c>
      <c r="F49" s="1332">
        <f>0</f>
        <v>0</v>
      </c>
      <c r="G49" s="1332">
        <f>0</f>
        <v>0</v>
      </c>
      <c r="H49" s="1936">
        <f>0</f>
        <v>0</v>
      </c>
      <c r="I49" s="1938"/>
      <c r="J49" s="1183">
        <v>0.99450958989647964</v>
      </c>
      <c r="K49" s="1147">
        <v>91.623558839050133</v>
      </c>
    </row>
    <row r="50" spans="1:13">
      <c r="A50" s="1125" t="s">
        <v>259</v>
      </c>
      <c r="B50" s="268">
        <f>0</f>
        <v>0</v>
      </c>
      <c r="C50" s="256">
        <f>0</f>
        <v>0</v>
      </c>
      <c r="D50" s="256">
        <f>0</f>
        <v>0</v>
      </c>
      <c r="E50" s="256">
        <f>0</f>
        <v>0</v>
      </c>
      <c r="F50" s="256">
        <f>0</f>
        <v>0</v>
      </c>
      <c r="G50" s="256">
        <f>0</f>
        <v>0</v>
      </c>
      <c r="H50" s="1723">
        <f>0</f>
        <v>0</v>
      </c>
      <c r="I50" s="1724"/>
      <c r="J50" s="1183">
        <v>0</v>
      </c>
      <c r="K50" s="1147">
        <v>0</v>
      </c>
    </row>
    <row r="51" spans="1:13">
      <c r="A51" s="1125" t="s">
        <v>260</v>
      </c>
      <c r="B51" s="1344">
        <f>0</f>
        <v>0</v>
      </c>
      <c r="C51" s="1332">
        <f>0</f>
        <v>0</v>
      </c>
      <c r="D51" s="1332">
        <f>0</f>
        <v>0</v>
      </c>
      <c r="E51" s="1332">
        <f>0</f>
        <v>0</v>
      </c>
      <c r="F51" s="1332">
        <f>0</f>
        <v>0</v>
      </c>
      <c r="G51" s="1332">
        <f>0</f>
        <v>0</v>
      </c>
      <c r="H51" s="1936">
        <f>0</f>
        <v>0</v>
      </c>
      <c r="I51" s="1938"/>
      <c r="J51" s="1183">
        <v>0</v>
      </c>
      <c r="K51" s="1147">
        <v>0</v>
      </c>
    </row>
    <row r="52" spans="1:13">
      <c r="A52" s="1125" t="s">
        <v>261</v>
      </c>
      <c r="B52" s="1344">
        <f>897535</f>
        <v>897535</v>
      </c>
      <c r="C52" s="1332">
        <f>327478.55</f>
        <v>327478.55</v>
      </c>
      <c r="D52" s="1332">
        <f>327478.55</f>
        <v>327478.55</v>
      </c>
      <c r="E52" s="1332">
        <f>27234.34</f>
        <v>27234.34</v>
      </c>
      <c r="F52" s="1332">
        <f>0</f>
        <v>0</v>
      </c>
      <c r="G52" s="1332">
        <f>0</f>
        <v>0</v>
      </c>
      <c r="H52" s="1936">
        <f>0</f>
        <v>0</v>
      </c>
      <c r="I52" s="1937"/>
      <c r="J52" s="1183">
        <v>3.1262536570557858E-2</v>
      </c>
      <c r="K52" s="1147">
        <v>36.486437854791177</v>
      </c>
    </row>
    <row r="53" spans="1:13">
      <c r="A53" s="1125" t="s">
        <v>262</v>
      </c>
      <c r="B53" s="268">
        <f t="shared" ref="B53:H53" si="2">B47-B48-B49-B50-B51-B52</f>
        <v>1019922084</v>
      </c>
      <c r="C53" s="256">
        <f t="shared" si="2"/>
        <v>914301427.61000013</v>
      </c>
      <c r="D53" s="256">
        <f t="shared" si="2"/>
        <v>914301427.61000013</v>
      </c>
      <c r="E53" s="1333">
        <f t="shared" si="2"/>
        <v>44540205.809999995</v>
      </c>
      <c r="F53" s="1333">
        <f t="shared" si="2"/>
        <v>0</v>
      </c>
      <c r="G53" s="1333">
        <f t="shared" si="2"/>
        <v>0</v>
      </c>
      <c r="H53" s="1971">
        <f t="shared" si="2"/>
        <v>0</v>
      </c>
      <c r="I53" s="2400"/>
      <c r="J53" s="1461">
        <v>87.283218449485886</v>
      </c>
      <c r="K53" s="1477">
        <v>89.644242629224223</v>
      </c>
    </row>
    <row r="54" spans="1:13">
      <c r="A54" s="1421" t="s">
        <v>263</v>
      </c>
      <c r="B54" s="1346">
        <f>B6-B44</f>
        <v>-11409778</v>
      </c>
      <c r="C54" s="1334"/>
      <c r="D54" s="1556">
        <f>C6-D44</f>
        <v>237334292.14999986</v>
      </c>
      <c r="E54" s="1553"/>
      <c r="F54" s="1472"/>
      <c r="G54" s="1472"/>
      <c r="H54" s="2329"/>
      <c r="I54" s="2329"/>
      <c r="J54" s="1465"/>
      <c r="K54" s="1465"/>
    </row>
    <row r="56" spans="1:13" s="1423" customFormat="1">
      <c r="A56" s="1097"/>
      <c r="B56" s="1097"/>
      <c r="C56" s="1097"/>
      <c r="D56" s="1097"/>
      <c r="E56" s="1097"/>
      <c r="F56" s="1097"/>
      <c r="G56" s="1097"/>
      <c r="H56" s="1097"/>
      <c r="I56" s="1097"/>
      <c r="J56" s="1097"/>
      <c r="K56" s="1097"/>
      <c r="L56" s="1097"/>
      <c r="M56" s="1097"/>
    </row>
    <row r="57" spans="1:13" s="1423" customFormat="1">
      <c r="A57" s="1097"/>
      <c r="B57" s="1097"/>
      <c r="C57" s="1097"/>
      <c r="D57" s="1097"/>
      <c r="E57" s="1097"/>
      <c r="F57" s="1097"/>
      <c r="G57" s="1097"/>
      <c r="H57" s="1097"/>
      <c r="I57" s="1097"/>
      <c r="J57" s="1097"/>
      <c r="K57" s="1097"/>
      <c r="L57" s="1097"/>
      <c r="M57" s="1097"/>
    </row>
    <row r="58" spans="1:13" s="1423" customFormat="1">
      <c r="A58" s="1097"/>
      <c r="B58" s="1097"/>
      <c r="C58" s="1097"/>
      <c r="D58" s="1097"/>
      <c r="E58" s="1097"/>
      <c r="F58" s="1097"/>
      <c r="G58" s="1097"/>
      <c r="H58" s="1097"/>
      <c r="I58" s="1097"/>
      <c r="J58" s="1097"/>
      <c r="K58" s="1097"/>
      <c r="L58" s="1097"/>
      <c r="M58" s="1097"/>
    </row>
    <row r="59" spans="1:13" s="1423" customFormat="1">
      <c r="A59" s="1097"/>
      <c r="B59" s="1097"/>
      <c r="C59" s="1097"/>
      <c r="D59" s="1097"/>
      <c r="E59" s="1097"/>
      <c r="F59" s="1097"/>
      <c r="G59" s="1097"/>
      <c r="H59" s="1097"/>
      <c r="I59" s="1097"/>
      <c r="J59" s="1097"/>
      <c r="K59" s="1097"/>
      <c r="L59" s="1097"/>
      <c r="M59" s="1097"/>
    </row>
    <row r="60" spans="1:13" s="1423" customFormat="1">
      <c r="A60" s="1097"/>
      <c r="B60" s="1097"/>
      <c r="C60" s="1097"/>
      <c r="D60" s="1097"/>
      <c r="E60" s="1097"/>
      <c r="F60" s="1097"/>
      <c r="G60" s="1097"/>
      <c r="H60" s="1097"/>
      <c r="I60" s="1097"/>
      <c r="J60" s="1097"/>
      <c r="K60" s="1097"/>
      <c r="L60" s="1097"/>
      <c r="M60" s="1097"/>
    </row>
    <row r="61" spans="1:13" s="1423" customFormat="1">
      <c r="A61" s="1097"/>
      <c r="B61" s="1097"/>
      <c r="C61" s="1097"/>
      <c r="D61" s="1097"/>
      <c r="E61" s="1097"/>
      <c r="F61" s="1097"/>
      <c r="G61" s="1097"/>
      <c r="H61" s="1097"/>
      <c r="I61" s="1097"/>
      <c r="J61" s="1097"/>
      <c r="K61" s="1097"/>
      <c r="L61" s="1097"/>
      <c r="M61" s="1097"/>
    </row>
    <row r="62" spans="1:13" s="1423" customFormat="1">
      <c r="A62" s="1097"/>
      <c r="B62" s="1097"/>
      <c r="C62" s="1097"/>
      <c r="D62" s="1097"/>
      <c r="E62" s="1097"/>
      <c r="F62" s="1097"/>
      <c r="G62" s="1097"/>
      <c r="H62" s="1097"/>
      <c r="I62" s="1097"/>
      <c r="J62" s="1097"/>
      <c r="K62" s="1097"/>
      <c r="L62" s="1097"/>
      <c r="M62" s="1097"/>
    </row>
    <row r="63" spans="1:13">
      <c r="A63" s="2393" t="s">
        <v>3</v>
      </c>
      <c r="B63" s="2393"/>
      <c r="C63" s="2393"/>
      <c r="D63" s="2393"/>
      <c r="E63" s="2393"/>
      <c r="F63" s="2393"/>
      <c r="G63" s="2393"/>
      <c r="H63" s="2393"/>
      <c r="I63" s="2393"/>
      <c r="J63" s="2393"/>
      <c r="K63" s="2393"/>
    </row>
    <row r="64" spans="1:13" ht="27">
      <c r="A64" s="1939" t="s">
        <v>68</v>
      </c>
      <c r="B64" s="1220" t="s">
        <v>1109</v>
      </c>
      <c r="C64" s="1368" t="s">
        <v>264</v>
      </c>
      <c r="D64" s="1369" t="s">
        <v>22</v>
      </c>
      <c r="E64" s="1217" t="s">
        <v>265</v>
      </c>
      <c r="L64"/>
      <c r="M64"/>
    </row>
    <row r="65" spans="1:13">
      <c r="A65" s="1940"/>
      <c r="B65" s="2389" t="s">
        <v>4</v>
      </c>
      <c r="C65" s="2398"/>
      <c r="D65" s="2399" t="s">
        <v>5</v>
      </c>
      <c r="E65" s="2392"/>
      <c r="L65"/>
      <c r="M65"/>
    </row>
    <row r="66" spans="1:13">
      <c r="A66" s="1222" t="s">
        <v>887</v>
      </c>
      <c r="B66" s="1221" t="s">
        <v>888</v>
      </c>
      <c r="C66" s="1364" t="s">
        <v>889</v>
      </c>
      <c r="D66" s="1365" t="s">
        <v>890</v>
      </c>
      <c r="E66" s="1219" t="s">
        <v>891</v>
      </c>
      <c r="L66"/>
      <c r="M66"/>
    </row>
    <row r="67" spans="1:13" ht="27">
      <c r="A67" s="1201" t="s">
        <v>266</v>
      </c>
      <c r="B67" s="1177">
        <f>61409778</f>
        <v>61409778</v>
      </c>
      <c r="C67" s="1207">
        <f>583287535.64</f>
        <v>583287535.63999999</v>
      </c>
      <c r="D67" s="1410">
        <f>C67/$C$67*100</f>
        <v>100</v>
      </c>
      <c r="E67" s="1176">
        <f>C67/B67*100</f>
        <v>949.8284387870608</v>
      </c>
      <c r="L67"/>
      <c r="M67"/>
    </row>
    <row r="68" spans="1:13">
      <c r="A68" s="1202" t="s">
        <v>267</v>
      </c>
      <c r="B68" s="1199">
        <f>0</f>
        <v>0</v>
      </c>
      <c r="C68" s="533">
        <f>0</f>
        <v>0</v>
      </c>
      <c r="D68" s="1411">
        <f t="shared" ref="D68:D75" si="3">C68/$C$67*100</f>
        <v>0</v>
      </c>
      <c r="E68" s="1147">
        <v>0</v>
      </c>
      <c r="L68"/>
      <c r="M68"/>
    </row>
    <row r="69" spans="1:13">
      <c r="A69" s="1203" t="s">
        <v>268</v>
      </c>
      <c r="B69" s="1199">
        <f>0</f>
        <v>0</v>
      </c>
      <c r="C69" s="533">
        <f>0</f>
        <v>0</v>
      </c>
      <c r="D69" s="1411">
        <f t="shared" si="3"/>
        <v>0</v>
      </c>
      <c r="E69" s="1147">
        <v>0</v>
      </c>
      <c r="L69"/>
      <c r="M69"/>
    </row>
    <row r="70" spans="1:13">
      <c r="A70" s="1202" t="s">
        <v>269</v>
      </c>
      <c r="B70" s="1199">
        <f>0</f>
        <v>0</v>
      </c>
      <c r="C70" s="533">
        <f>0</f>
        <v>0</v>
      </c>
      <c r="D70" s="1411">
        <f t="shared" si="3"/>
        <v>0</v>
      </c>
      <c r="E70" s="1147">
        <v>0</v>
      </c>
      <c r="L70"/>
      <c r="M70"/>
    </row>
    <row r="71" spans="1:13">
      <c r="A71" s="1202" t="s">
        <v>270</v>
      </c>
      <c r="B71" s="1199">
        <f>61337838</f>
        <v>61337838</v>
      </c>
      <c r="C71" s="533">
        <f>583215594.85</f>
        <v>583215594.85000002</v>
      </c>
      <c r="D71" s="1411">
        <f t="shared" si="3"/>
        <v>99.98766632482193</v>
      </c>
      <c r="E71" s="1147">
        <f t="shared" ref="E71:E79" si="4">C71/B71*100</f>
        <v>950.82515762945548</v>
      </c>
      <c r="L71"/>
      <c r="M71"/>
    </row>
    <row r="72" spans="1:13" ht="27">
      <c r="A72" s="1202" t="s">
        <v>1102</v>
      </c>
      <c r="B72" s="1199">
        <f>71940</f>
        <v>71940</v>
      </c>
      <c r="C72" s="533">
        <f>71940.79</f>
        <v>71940.789999999994</v>
      </c>
      <c r="D72" s="1411">
        <f t="shared" si="3"/>
        <v>1.2333675178068819E-2</v>
      </c>
      <c r="E72" s="1147">
        <f t="shared" si="4"/>
        <v>100.00109813733667</v>
      </c>
      <c r="L72"/>
      <c r="M72"/>
    </row>
    <row r="73" spans="1:13">
      <c r="A73" s="1202" t="s">
        <v>272</v>
      </c>
      <c r="B73" s="1199">
        <f>0</f>
        <v>0</v>
      </c>
      <c r="C73" s="533">
        <f>0</f>
        <v>0</v>
      </c>
      <c r="D73" s="1411">
        <f t="shared" si="3"/>
        <v>0</v>
      </c>
      <c r="E73" s="1147">
        <v>0</v>
      </c>
      <c r="L73"/>
      <c r="M73"/>
    </row>
    <row r="74" spans="1:13" ht="27">
      <c r="A74" s="1202" t="s">
        <v>689</v>
      </c>
      <c r="B74" s="1199">
        <f>0</f>
        <v>0</v>
      </c>
      <c r="C74" s="533">
        <f>0</f>
        <v>0</v>
      </c>
      <c r="D74" s="1411">
        <f t="shared" si="3"/>
        <v>0</v>
      </c>
      <c r="E74" s="1147">
        <v>0</v>
      </c>
      <c r="L74"/>
      <c r="M74"/>
    </row>
    <row r="75" spans="1:13">
      <c r="A75" s="1203" t="s">
        <v>275</v>
      </c>
      <c r="B75" s="1199">
        <f>0</f>
        <v>0</v>
      </c>
      <c r="C75" s="533">
        <f>0</f>
        <v>0</v>
      </c>
      <c r="D75" s="1411">
        <f t="shared" si="3"/>
        <v>0</v>
      </c>
      <c r="E75" s="1147">
        <v>0</v>
      </c>
      <c r="L75"/>
      <c r="M75"/>
    </row>
    <row r="76" spans="1:13" ht="27">
      <c r="A76" s="1204" t="s">
        <v>276</v>
      </c>
      <c r="B76" s="1179">
        <f>50000000</f>
        <v>50000000</v>
      </c>
      <c r="C76" s="1208">
        <f>0</f>
        <v>0</v>
      </c>
      <c r="D76" s="1412">
        <v>0</v>
      </c>
      <c r="E76" s="1168">
        <f t="shared" si="4"/>
        <v>0</v>
      </c>
      <c r="L76"/>
      <c r="M76"/>
    </row>
    <row r="77" spans="1:13" ht="27">
      <c r="A77" s="1202" t="s">
        <v>277</v>
      </c>
      <c r="B77" s="1199">
        <f>0</f>
        <v>0</v>
      </c>
      <c r="C77" s="533">
        <f>0</f>
        <v>0</v>
      </c>
      <c r="D77" s="1411">
        <v>0</v>
      </c>
      <c r="E77" s="1147">
        <v>0</v>
      </c>
      <c r="L77"/>
      <c r="M77"/>
    </row>
    <row r="78" spans="1:13">
      <c r="A78" s="1202" t="s">
        <v>278</v>
      </c>
      <c r="B78" s="1199">
        <f>0</f>
        <v>0</v>
      </c>
      <c r="C78" s="533">
        <f>0</f>
        <v>0</v>
      </c>
      <c r="D78" s="1411">
        <v>0</v>
      </c>
      <c r="E78" s="1147">
        <v>0</v>
      </c>
      <c r="L78"/>
      <c r="M78"/>
    </row>
    <row r="79" spans="1:13">
      <c r="A79" s="1202" t="s">
        <v>279</v>
      </c>
      <c r="B79" s="1199">
        <f>50000000</f>
        <v>50000000</v>
      </c>
      <c r="C79" s="533">
        <f>0</f>
        <v>0</v>
      </c>
      <c r="D79" s="1411">
        <v>0</v>
      </c>
      <c r="E79" s="1147">
        <f t="shared" si="4"/>
        <v>0</v>
      </c>
      <c r="L79"/>
      <c r="M79"/>
    </row>
    <row r="80" spans="1:13">
      <c r="A80" s="1205" t="s">
        <v>280</v>
      </c>
      <c r="B80" s="1157">
        <f>0</f>
        <v>0</v>
      </c>
      <c r="C80" s="1162">
        <f>0</f>
        <v>0</v>
      </c>
      <c r="D80" s="1413">
        <v>0</v>
      </c>
      <c r="E80" s="1150">
        <v>0</v>
      </c>
      <c r="L80"/>
      <c r="M80"/>
    </row>
  </sheetData>
  <mergeCells count="32">
    <mergeCell ref="A1:G1"/>
    <mergeCell ref="A64:A65"/>
    <mergeCell ref="B65:C65"/>
    <mergeCell ref="D65:E65"/>
    <mergeCell ref="A3:A4"/>
    <mergeCell ref="B4:D4"/>
    <mergeCell ref="E4:G4"/>
    <mergeCell ref="A39:A42"/>
    <mergeCell ref="B39:B41"/>
    <mergeCell ref="C39:C41"/>
    <mergeCell ref="D39:D41"/>
    <mergeCell ref="E39:G39"/>
    <mergeCell ref="B42:I42"/>
    <mergeCell ref="H53:I53"/>
    <mergeCell ref="H54:I54"/>
    <mergeCell ref="A63:K63"/>
    <mergeCell ref="H48:I48"/>
    <mergeCell ref="H49:I49"/>
    <mergeCell ref="H50:I50"/>
    <mergeCell ref="H51:I51"/>
    <mergeCell ref="H52:I52"/>
    <mergeCell ref="H43:I43"/>
    <mergeCell ref="H44:I44"/>
    <mergeCell ref="H45:I45"/>
    <mergeCell ref="H46:I46"/>
    <mergeCell ref="H47:I47"/>
    <mergeCell ref="J42:K42"/>
    <mergeCell ref="H39:I41"/>
    <mergeCell ref="J39:J41"/>
    <mergeCell ref="K39:K41"/>
    <mergeCell ref="E40:E41"/>
    <mergeCell ref="F40:G40"/>
  </mergeCells>
  <pageMargins left="0.51181102362204722" right="0.51181102362204722" top="0.74803149606299213" bottom="0.55118110236220474" header="0.31496062992125984" footer="0.31496062992125984"/>
  <pageSetup paperSize="9" scale="95" orientation="landscape" r:id="rId1"/>
  <legacy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6"/>
  <sheetViews>
    <sheetView showGridLines="0" zoomScaleNormal="100" workbookViewId="0">
      <selection activeCell="L4" sqref="L4:L7"/>
    </sheetView>
  </sheetViews>
  <sheetFormatPr defaultRowHeight="13.5"/>
  <cols>
    <col min="1" max="1" width="29.42578125" style="1097" customWidth="1"/>
    <col min="2" max="4" width="10.28515625" style="1097" bestFit="1" customWidth="1"/>
    <col min="5" max="5" width="9.5703125" style="1097" bestFit="1" customWidth="1"/>
    <col min="6" max="6" width="11.42578125" style="1097" customWidth="1"/>
    <col min="7" max="7" width="10.28515625" style="1097" bestFit="1" customWidth="1"/>
    <col min="8" max="9" width="9.140625" style="1097" bestFit="1" customWidth="1"/>
    <col min="10" max="10" width="10.28515625" style="1097" bestFit="1" customWidth="1"/>
    <col min="11" max="11" width="12.140625" style="1097" customWidth="1"/>
    <col min="12" max="12" width="12.85546875" style="1097" customWidth="1"/>
    <col min="13" max="13" width="10.28515625" style="1097" bestFit="1" customWidth="1"/>
    <col min="14" max="14" width="11.85546875" style="1097" customWidth="1"/>
    <col min="15" max="17" width="9.140625" style="1097" bestFit="1" customWidth="1"/>
    <col min="18" max="18" width="8.85546875" style="1097"/>
  </cols>
  <sheetData>
    <row r="1" spans="1:18" ht="13.9" customHeight="1">
      <c r="A1" s="1749" t="s">
        <v>281</v>
      </c>
      <c r="B1" s="1749"/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  <c r="N1" s="1749"/>
      <c r="O1" s="1749"/>
      <c r="P1" s="1749"/>
      <c r="Q1" s="1749"/>
    </row>
    <row r="2" spans="1:18">
      <c r="B2" s="1224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223"/>
      <c r="O2" s="1223"/>
      <c r="P2" s="1223"/>
      <c r="Q2" s="1223"/>
    </row>
    <row r="3" spans="1:18">
      <c r="A3" s="1751" t="s">
        <v>68</v>
      </c>
      <c r="B3" s="1948" t="s">
        <v>282</v>
      </c>
      <c r="C3" s="1754" t="s">
        <v>283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6"/>
      <c r="O3" s="1757" t="s">
        <v>284</v>
      </c>
      <c r="P3" s="1755"/>
      <c r="Q3" s="1758"/>
    </row>
    <row r="4" spans="1:18">
      <c r="A4" s="1752"/>
      <c r="B4" s="1949"/>
      <c r="C4" s="1759" t="s">
        <v>285</v>
      </c>
      <c r="D4" s="1745" t="s">
        <v>286</v>
      </c>
      <c r="E4" s="1745" t="s">
        <v>287</v>
      </c>
      <c r="F4" s="1745" t="s">
        <v>288</v>
      </c>
      <c r="G4" s="1745" t="s">
        <v>289</v>
      </c>
      <c r="H4" s="1745" t="s">
        <v>290</v>
      </c>
      <c r="I4" s="1745" t="s">
        <v>291</v>
      </c>
      <c r="J4" s="1745" t="s">
        <v>292</v>
      </c>
      <c r="K4" s="1745" t="s">
        <v>293</v>
      </c>
      <c r="L4" s="1745" t="s">
        <v>294</v>
      </c>
      <c r="M4" s="1745" t="s">
        <v>295</v>
      </c>
      <c r="N4" s="1761" t="s">
        <v>296</v>
      </c>
      <c r="O4" s="1743" t="s">
        <v>297</v>
      </c>
      <c r="P4" s="1745" t="s">
        <v>298</v>
      </c>
      <c r="Q4" s="1747" t="s">
        <v>299</v>
      </c>
    </row>
    <row r="5" spans="1:18">
      <c r="A5" s="1752"/>
      <c r="B5" s="1949"/>
      <c r="C5" s="1759"/>
      <c r="D5" s="1745"/>
      <c r="E5" s="1745"/>
      <c r="F5" s="1745"/>
      <c r="G5" s="1745"/>
      <c r="H5" s="1745"/>
      <c r="I5" s="1745"/>
      <c r="J5" s="1745"/>
      <c r="K5" s="1745"/>
      <c r="L5" s="1745"/>
      <c r="M5" s="1745"/>
      <c r="N5" s="1761"/>
      <c r="O5" s="1743"/>
      <c r="P5" s="1745"/>
      <c r="Q5" s="1747"/>
    </row>
    <row r="6" spans="1:18">
      <c r="A6" s="1752"/>
      <c r="B6" s="1949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8" ht="36" customHeight="1">
      <c r="A7" s="1752"/>
      <c r="B7" s="1950"/>
      <c r="C7" s="1760"/>
      <c r="D7" s="1746"/>
      <c r="E7" s="1746"/>
      <c r="F7" s="1746"/>
      <c r="G7" s="1746"/>
      <c r="H7" s="1746"/>
      <c r="I7" s="1746"/>
      <c r="J7" s="1746"/>
      <c r="K7" s="1746"/>
      <c r="L7" s="1746"/>
      <c r="M7" s="1746"/>
      <c r="N7" s="1762"/>
      <c r="O7" s="1744"/>
      <c r="P7" s="1746"/>
      <c r="Q7" s="1748"/>
    </row>
    <row r="8" spans="1:18" s="1423" customFormat="1">
      <c r="A8" s="1753"/>
      <c r="B8" s="1956" t="s">
        <v>4</v>
      </c>
      <c r="C8" s="1959"/>
      <c r="D8" s="1959"/>
      <c r="E8" s="1959"/>
      <c r="F8" s="1959"/>
      <c r="G8" s="1959"/>
      <c r="H8" s="1959"/>
      <c r="I8" s="1959"/>
      <c r="J8" s="1959"/>
      <c r="K8" s="1959"/>
      <c r="L8" s="1959"/>
      <c r="M8" s="1959"/>
      <c r="N8" s="1959"/>
      <c r="O8" s="1959"/>
      <c r="P8" s="1959"/>
      <c r="Q8" s="1960"/>
      <c r="R8" s="1097"/>
    </row>
    <row r="9" spans="1:18">
      <c r="A9" s="1267" t="s">
        <v>887</v>
      </c>
      <c r="B9" s="1287" t="s">
        <v>888</v>
      </c>
      <c r="C9" s="1262" t="s">
        <v>889</v>
      </c>
      <c r="D9" s="1263" t="s">
        <v>890</v>
      </c>
      <c r="E9" s="1263" t="s">
        <v>891</v>
      </c>
      <c r="F9" s="1263" t="s">
        <v>892</v>
      </c>
      <c r="G9" s="1263" t="s">
        <v>893</v>
      </c>
      <c r="H9" s="1263" t="s">
        <v>894</v>
      </c>
      <c r="I9" s="1263" t="s">
        <v>932</v>
      </c>
      <c r="J9" s="1263" t="s">
        <v>966</v>
      </c>
      <c r="K9" s="1263" t="s">
        <v>967</v>
      </c>
      <c r="L9" s="1263" t="s">
        <v>969</v>
      </c>
      <c r="M9" s="1263" t="s">
        <v>1070</v>
      </c>
      <c r="N9" s="1264" t="s">
        <v>1096</v>
      </c>
      <c r="O9" s="1380" t="s">
        <v>1097</v>
      </c>
      <c r="P9" s="1285" t="s">
        <v>1098</v>
      </c>
      <c r="Q9" s="1286" t="s">
        <v>1099</v>
      </c>
    </row>
    <row r="10" spans="1:18" ht="27">
      <c r="A10" s="1374" t="s">
        <v>300</v>
      </c>
      <c r="B10" s="1252">
        <v>0</v>
      </c>
      <c r="C10" s="1237">
        <v>0</v>
      </c>
      <c r="D10" s="1232">
        <v>0</v>
      </c>
      <c r="E10" s="1232">
        <v>0</v>
      </c>
      <c r="F10" s="1232">
        <v>0</v>
      </c>
      <c r="G10" s="1232">
        <v>0</v>
      </c>
      <c r="H10" s="1232">
        <v>0</v>
      </c>
      <c r="I10" s="1232">
        <v>0</v>
      </c>
      <c r="J10" s="1232">
        <v>0</v>
      </c>
      <c r="K10" s="1232">
        <v>0</v>
      </c>
      <c r="L10" s="1232">
        <v>0</v>
      </c>
      <c r="M10" s="1232">
        <v>0</v>
      </c>
      <c r="N10" s="1246">
        <v>0</v>
      </c>
      <c r="O10" s="1249">
        <v>0</v>
      </c>
      <c r="P10" s="1232">
        <v>0</v>
      </c>
      <c r="Q10" s="1233">
        <v>0</v>
      </c>
    </row>
    <row r="11" spans="1:18" ht="27">
      <c r="A11" s="1242" t="s">
        <v>367</v>
      </c>
      <c r="B11" s="1253">
        <v>0</v>
      </c>
      <c r="C11" s="1238">
        <v>0</v>
      </c>
      <c r="D11" s="1228">
        <v>0</v>
      </c>
      <c r="E11" s="1228">
        <v>0</v>
      </c>
      <c r="F11" s="1228">
        <v>0</v>
      </c>
      <c r="G11" s="1228">
        <v>0</v>
      </c>
      <c r="H11" s="1228">
        <v>0</v>
      </c>
      <c r="I11" s="1228">
        <v>0</v>
      </c>
      <c r="J11" s="1228">
        <v>0</v>
      </c>
      <c r="K11" s="1228">
        <v>0</v>
      </c>
      <c r="L11" s="1228">
        <v>0</v>
      </c>
      <c r="M11" s="1228">
        <v>0</v>
      </c>
      <c r="N11" s="1247">
        <v>0</v>
      </c>
      <c r="O11" s="1250">
        <v>0</v>
      </c>
      <c r="P11" s="1228">
        <v>0</v>
      </c>
      <c r="Q11" s="1229">
        <v>0</v>
      </c>
    </row>
    <row r="12" spans="1:18">
      <c r="A12" s="1242" t="s">
        <v>711</v>
      </c>
      <c r="B12" s="1253">
        <v>0</v>
      </c>
      <c r="C12" s="1238">
        <v>0</v>
      </c>
      <c r="D12" s="1228">
        <v>0</v>
      </c>
      <c r="E12" s="1228">
        <v>0</v>
      </c>
      <c r="F12" s="1228">
        <v>0</v>
      </c>
      <c r="G12" s="1228">
        <v>0</v>
      </c>
      <c r="H12" s="1228">
        <v>0</v>
      </c>
      <c r="I12" s="1228">
        <v>0</v>
      </c>
      <c r="J12" s="1228">
        <v>0</v>
      </c>
      <c r="K12" s="1228">
        <v>0</v>
      </c>
      <c r="L12" s="1228">
        <v>0</v>
      </c>
      <c r="M12" s="1228">
        <v>0</v>
      </c>
      <c r="N12" s="1247">
        <v>0</v>
      </c>
      <c r="O12" s="1250">
        <v>0</v>
      </c>
      <c r="P12" s="1228">
        <v>0</v>
      </c>
      <c r="Q12" s="1229">
        <v>0</v>
      </c>
    </row>
    <row r="13" spans="1:18">
      <c r="A13" s="1242" t="s">
        <v>302</v>
      </c>
      <c r="B13" s="1253">
        <v>0</v>
      </c>
      <c r="C13" s="1238">
        <v>0</v>
      </c>
      <c r="D13" s="1228">
        <v>0</v>
      </c>
      <c r="E13" s="1228">
        <v>0</v>
      </c>
      <c r="F13" s="1228">
        <v>0</v>
      </c>
      <c r="G13" s="1228">
        <v>0</v>
      </c>
      <c r="H13" s="1228">
        <v>0</v>
      </c>
      <c r="I13" s="1228">
        <v>0</v>
      </c>
      <c r="J13" s="1228">
        <v>0</v>
      </c>
      <c r="K13" s="1228">
        <v>0</v>
      </c>
      <c r="L13" s="1228">
        <v>0</v>
      </c>
      <c r="M13" s="1228">
        <v>0</v>
      </c>
      <c r="N13" s="1247">
        <v>0</v>
      </c>
      <c r="O13" s="1250">
        <v>0</v>
      </c>
      <c r="P13" s="1228">
        <v>0</v>
      </c>
      <c r="Q13" s="1229">
        <v>0</v>
      </c>
    </row>
    <row r="14" spans="1:18" ht="27">
      <c r="A14" s="1243" t="s">
        <v>366</v>
      </c>
      <c r="B14" s="1253">
        <v>0</v>
      </c>
      <c r="C14" s="1238">
        <v>0</v>
      </c>
      <c r="D14" s="1228">
        <v>0</v>
      </c>
      <c r="E14" s="1228">
        <v>0</v>
      </c>
      <c r="F14" s="1228">
        <v>0</v>
      </c>
      <c r="G14" s="1228">
        <v>0</v>
      </c>
      <c r="H14" s="1228">
        <v>0</v>
      </c>
      <c r="I14" s="1228">
        <v>0</v>
      </c>
      <c r="J14" s="1228">
        <v>0</v>
      </c>
      <c r="K14" s="1228">
        <v>0</v>
      </c>
      <c r="L14" s="1228">
        <v>0</v>
      </c>
      <c r="M14" s="1228">
        <v>0</v>
      </c>
      <c r="N14" s="1247">
        <v>0</v>
      </c>
      <c r="O14" s="1250">
        <v>0</v>
      </c>
      <c r="P14" s="1228">
        <v>0</v>
      </c>
      <c r="Q14" s="1229">
        <v>0</v>
      </c>
    </row>
    <row r="15" spans="1:18">
      <c r="A15" s="1242" t="s">
        <v>710</v>
      </c>
      <c r="B15" s="1253">
        <v>0</v>
      </c>
      <c r="C15" s="1238">
        <v>0</v>
      </c>
      <c r="D15" s="1228">
        <v>0</v>
      </c>
      <c r="E15" s="1228">
        <v>0</v>
      </c>
      <c r="F15" s="1228">
        <v>0</v>
      </c>
      <c r="G15" s="1228">
        <v>0</v>
      </c>
      <c r="H15" s="1228">
        <v>0</v>
      </c>
      <c r="I15" s="1228">
        <v>0</v>
      </c>
      <c r="J15" s="1228">
        <v>0</v>
      </c>
      <c r="K15" s="1228">
        <v>0</v>
      </c>
      <c r="L15" s="1228">
        <v>0</v>
      </c>
      <c r="M15" s="1228">
        <v>0</v>
      </c>
      <c r="N15" s="1247">
        <v>0</v>
      </c>
      <c r="O15" s="1250">
        <v>0</v>
      </c>
      <c r="P15" s="1228">
        <v>0</v>
      </c>
      <c r="Q15" s="1229">
        <v>0</v>
      </c>
    </row>
    <row r="16" spans="1:18">
      <c r="A16" s="1242" t="s">
        <v>304</v>
      </c>
      <c r="B16" s="1253">
        <v>0</v>
      </c>
      <c r="C16" s="1238">
        <v>0</v>
      </c>
      <c r="D16" s="1228">
        <v>0</v>
      </c>
      <c r="E16" s="1228">
        <v>0</v>
      </c>
      <c r="F16" s="1228">
        <v>0</v>
      </c>
      <c r="G16" s="1228">
        <v>0</v>
      </c>
      <c r="H16" s="1228">
        <v>0</v>
      </c>
      <c r="I16" s="1228">
        <v>0</v>
      </c>
      <c r="J16" s="1228">
        <v>0</v>
      </c>
      <c r="K16" s="1228">
        <v>0</v>
      </c>
      <c r="L16" s="1228">
        <v>0</v>
      </c>
      <c r="M16" s="1228">
        <v>0</v>
      </c>
      <c r="N16" s="1247">
        <v>0</v>
      </c>
      <c r="O16" s="1250">
        <v>0</v>
      </c>
      <c r="P16" s="1228">
        <v>0</v>
      </c>
      <c r="Q16" s="1229">
        <v>0</v>
      </c>
    </row>
    <row r="17" spans="1:18">
      <c r="A17" s="1243" t="s">
        <v>305</v>
      </c>
      <c r="B17" s="1253">
        <v>0</v>
      </c>
      <c r="C17" s="1238">
        <v>0</v>
      </c>
      <c r="D17" s="1228">
        <v>0</v>
      </c>
      <c r="E17" s="1228">
        <v>0</v>
      </c>
      <c r="F17" s="1228">
        <v>0</v>
      </c>
      <c r="G17" s="1228">
        <v>0</v>
      </c>
      <c r="H17" s="1228">
        <v>0</v>
      </c>
      <c r="I17" s="1228">
        <v>0</v>
      </c>
      <c r="J17" s="1228">
        <v>0</v>
      </c>
      <c r="K17" s="1228">
        <v>0</v>
      </c>
      <c r="L17" s="1228">
        <v>0</v>
      </c>
      <c r="M17" s="1228">
        <v>0</v>
      </c>
      <c r="N17" s="1247">
        <v>0</v>
      </c>
      <c r="O17" s="1250">
        <v>0</v>
      </c>
      <c r="P17" s="1228">
        <v>0</v>
      </c>
      <c r="Q17" s="1229">
        <v>0</v>
      </c>
    </row>
    <row r="18" spans="1:18">
      <c r="A18" s="1243" t="s">
        <v>306</v>
      </c>
      <c r="B18" s="1253">
        <v>0</v>
      </c>
      <c r="C18" s="1238">
        <v>0</v>
      </c>
      <c r="D18" s="1228">
        <v>0</v>
      </c>
      <c r="E18" s="1228">
        <v>0</v>
      </c>
      <c r="F18" s="1228">
        <v>0</v>
      </c>
      <c r="G18" s="1228">
        <v>0</v>
      </c>
      <c r="H18" s="1228">
        <v>0</v>
      </c>
      <c r="I18" s="1228">
        <v>0</v>
      </c>
      <c r="J18" s="1228">
        <v>0</v>
      </c>
      <c r="K18" s="1228">
        <v>0</v>
      </c>
      <c r="L18" s="1228">
        <v>0</v>
      </c>
      <c r="M18" s="1228">
        <v>0</v>
      </c>
      <c r="N18" s="1247">
        <v>0</v>
      </c>
      <c r="O18" s="1250">
        <v>0</v>
      </c>
      <c r="P18" s="1228">
        <v>0</v>
      </c>
      <c r="Q18" s="1229">
        <v>0</v>
      </c>
    </row>
    <row r="19" spans="1:18">
      <c r="A19" s="1242" t="s">
        <v>307</v>
      </c>
      <c r="B19" s="1253">
        <v>0</v>
      </c>
      <c r="C19" s="1238">
        <v>0</v>
      </c>
      <c r="D19" s="1228">
        <v>0</v>
      </c>
      <c r="E19" s="1228">
        <v>0</v>
      </c>
      <c r="F19" s="1228">
        <v>0</v>
      </c>
      <c r="G19" s="1228">
        <v>0</v>
      </c>
      <c r="H19" s="1228">
        <v>0</v>
      </c>
      <c r="I19" s="1228">
        <v>0</v>
      </c>
      <c r="J19" s="1228">
        <v>0</v>
      </c>
      <c r="K19" s="1228">
        <v>0</v>
      </c>
      <c r="L19" s="1228">
        <v>0</v>
      </c>
      <c r="M19" s="1228">
        <v>0</v>
      </c>
      <c r="N19" s="1247">
        <v>0</v>
      </c>
      <c r="O19" s="1250">
        <v>0</v>
      </c>
      <c r="P19" s="1228">
        <v>0</v>
      </c>
      <c r="Q19" s="1229">
        <v>0</v>
      </c>
    </row>
    <row r="20" spans="1:18">
      <c r="A20" s="1419" t="s">
        <v>308</v>
      </c>
      <c r="B20" s="1254">
        <v>0</v>
      </c>
      <c r="C20" s="1239">
        <v>0</v>
      </c>
      <c r="D20" s="1230">
        <v>0</v>
      </c>
      <c r="E20" s="1230">
        <v>0</v>
      </c>
      <c r="F20" s="1230">
        <v>0</v>
      </c>
      <c r="G20" s="1230">
        <v>0</v>
      </c>
      <c r="H20" s="1230">
        <v>0</v>
      </c>
      <c r="I20" s="1230">
        <v>0</v>
      </c>
      <c r="J20" s="1230">
        <v>0</v>
      </c>
      <c r="K20" s="1230">
        <v>0</v>
      </c>
      <c r="L20" s="1230">
        <v>0</v>
      </c>
      <c r="M20" s="1230">
        <v>0</v>
      </c>
      <c r="N20" s="1248">
        <v>0</v>
      </c>
      <c r="O20" s="1251">
        <v>0</v>
      </c>
      <c r="P20" s="1230">
        <v>0</v>
      </c>
      <c r="Q20" s="1231">
        <v>0</v>
      </c>
    </row>
    <row r="21" spans="1:18" s="1423" customFormat="1">
      <c r="A21" s="1532"/>
      <c r="B21" s="1227"/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  <c r="R21" s="1097"/>
    </row>
    <row r="22" spans="1:18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8">
      <c r="A23" s="1749" t="s">
        <v>309</v>
      </c>
      <c r="B23" s="1749"/>
      <c r="C23" s="1749"/>
      <c r="D23" s="1749"/>
      <c r="E23" s="1749"/>
      <c r="F23" s="1749"/>
      <c r="G23" s="1749"/>
      <c r="H23" s="1749"/>
      <c r="I23" s="1749"/>
      <c r="J23" s="1749"/>
      <c r="K23" s="1749"/>
      <c r="L23" s="1749"/>
      <c r="M23" s="1749"/>
    </row>
    <row r="25" spans="1:18">
      <c r="A25" s="1751" t="s">
        <v>68</v>
      </c>
      <c r="B25" s="1948" t="s">
        <v>310</v>
      </c>
      <c r="C25" s="1754" t="s">
        <v>311</v>
      </c>
      <c r="D25" s="1755"/>
      <c r="E25" s="1755"/>
      <c r="F25" s="1755"/>
      <c r="G25" s="1755"/>
      <c r="H25" s="1755"/>
      <c r="I25" s="1755"/>
      <c r="J25" s="1755"/>
      <c r="K25" s="1755"/>
      <c r="L25" s="1755"/>
      <c r="M25" s="1755"/>
      <c r="N25" s="1756"/>
      <c r="O25" s="1757" t="s">
        <v>312</v>
      </c>
      <c r="P25" s="1755"/>
      <c r="Q25" s="1758"/>
    </row>
    <row r="26" spans="1:18">
      <c r="A26" s="1752"/>
      <c r="B26" s="1949"/>
      <c r="C26" s="1759" t="s">
        <v>313</v>
      </c>
      <c r="D26" s="1745" t="s">
        <v>314</v>
      </c>
      <c r="E26" s="1745" t="s">
        <v>315</v>
      </c>
      <c r="F26" s="1745" t="s">
        <v>316</v>
      </c>
      <c r="G26" s="1745" t="s">
        <v>317</v>
      </c>
      <c r="H26" s="1745" t="s">
        <v>290</v>
      </c>
      <c r="I26" s="1745" t="s">
        <v>318</v>
      </c>
      <c r="J26" s="1745" t="s">
        <v>292</v>
      </c>
      <c r="K26" s="1745" t="s">
        <v>293</v>
      </c>
      <c r="L26" s="1745" t="s">
        <v>294</v>
      </c>
      <c r="M26" s="1745" t="s">
        <v>295</v>
      </c>
      <c r="N26" s="1763" t="s">
        <v>296</v>
      </c>
      <c r="O26" s="1743" t="s">
        <v>297</v>
      </c>
      <c r="P26" s="1745" t="s">
        <v>298</v>
      </c>
      <c r="Q26" s="1747" t="s">
        <v>299</v>
      </c>
    </row>
    <row r="27" spans="1:18">
      <c r="A27" s="1752"/>
      <c r="B27" s="1949"/>
      <c r="C27" s="1759"/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63"/>
      <c r="O27" s="1743"/>
      <c r="P27" s="1745"/>
      <c r="Q27" s="1747"/>
    </row>
    <row r="28" spans="1:18">
      <c r="A28" s="1752"/>
      <c r="B28" s="1949"/>
      <c r="C28" s="1759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63"/>
      <c r="O28" s="1743"/>
      <c r="P28" s="1745"/>
      <c r="Q28" s="1747"/>
    </row>
    <row r="29" spans="1:18" ht="39" customHeight="1">
      <c r="A29" s="1752"/>
      <c r="B29" s="1950"/>
      <c r="C29" s="1760"/>
      <c r="D29" s="1746"/>
      <c r="E29" s="1746"/>
      <c r="F29" s="1746"/>
      <c r="G29" s="1746"/>
      <c r="H29" s="1746"/>
      <c r="I29" s="1746"/>
      <c r="J29" s="1746"/>
      <c r="K29" s="1746"/>
      <c r="L29" s="1746"/>
      <c r="M29" s="1746"/>
      <c r="N29" s="1764"/>
      <c r="O29" s="1744"/>
      <c r="P29" s="1746"/>
      <c r="Q29" s="1748"/>
    </row>
    <row r="30" spans="1:18" s="1423" customFormat="1">
      <c r="A30" s="1753"/>
      <c r="B30" s="1956" t="s">
        <v>4</v>
      </c>
      <c r="C30" s="1959"/>
      <c r="D30" s="1959"/>
      <c r="E30" s="1959"/>
      <c r="F30" s="1959"/>
      <c r="G30" s="1959"/>
      <c r="H30" s="1959"/>
      <c r="I30" s="1959"/>
      <c r="J30" s="1959"/>
      <c r="K30" s="1959"/>
      <c r="L30" s="1959"/>
      <c r="M30" s="1959"/>
      <c r="N30" s="1959"/>
      <c r="O30" s="1959"/>
      <c r="P30" s="1959"/>
      <c r="Q30" s="1960"/>
      <c r="R30" s="1097"/>
    </row>
    <row r="31" spans="1:18">
      <c r="A31" s="1267" t="s">
        <v>887</v>
      </c>
      <c r="B31" s="1287" t="s">
        <v>888</v>
      </c>
      <c r="C31" s="1262" t="s">
        <v>889</v>
      </c>
      <c r="D31" s="1263" t="s">
        <v>890</v>
      </c>
      <c r="E31" s="1263" t="s">
        <v>891</v>
      </c>
      <c r="F31" s="1263" t="s">
        <v>892</v>
      </c>
      <c r="G31" s="1263" t="s">
        <v>893</v>
      </c>
      <c r="H31" s="1263" t="s">
        <v>894</v>
      </c>
      <c r="I31" s="1263" t="s">
        <v>932</v>
      </c>
      <c r="J31" s="1263" t="s">
        <v>966</v>
      </c>
      <c r="K31" s="1263" t="s">
        <v>967</v>
      </c>
      <c r="L31" s="1263" t="s">
        <v>969</v>
      </c>
      <c r="M31" s="1263" t="s">
        <v>1070</v>
      </c>
      <c r="N31" s="1264" t="s">
        <v>1096</v>
      </c>
      <c r="O31" s="1380" t="s">
        <v>1097</v>
      </c>
      <c r="P31" s="1285" t="s">
        <v>1098</v>
      </c>
      <c r="Q31" s="1286" t="s">
        <v>1099</v>
      </c>
    </row>
    <row r="32" spans="1:18">
      <c r="A32" s="1386" t="s">
        <v>320</v>
      </c>
      <c r="B32" s="1275">
        <v>0</v>
      </c>
      <c r="C32" s="1272">
        <v>0</v>
      </c>
      <c r="D32" s="1259">
        <v>0</v>
      </c>
      <c r="E32" s="1259">
        <v>0</v>
      </c>
      <c r="F32" s="1259">
        <v>0</v>
      </c>
      <c r="G32" s="1259">
        <v>0</v>
      </c>
      <c r="H32" s="1259">
        <v>0</v>
      </c>
      <c r="I32" s="1259">
        <v>0</v>
      </c>
      <c r="J32" s="1259">
        <v>0</v>
      </c>
      <c r="K32" s="1259">
        <v>0</v>
      </c>
      <c r="L32" s="1259">
        <v>0</v>
      </c>
      <c r="M32" s="1259">
        <v>0</v>
      </c>
      <c r="N32" s="1278">
        <v>0</v>
      </c>
      <c r="O32" s="1281">
        <v>0</v>
      </c>
      <c r="P32" s="1259">
        <v>0</v>
      </c>
      <c r="Q32" s="1260">
        <v>0</v>
      </c>
    </row>
    <row r="33" spans="1:17">
      <c r="A33" s="1383" t="s">
        <v>709</v>
      </c>
      <c r="B33" s="1276">
        <v>0</v>
      </c>
      <c r="C33" s="1273">
        <v>0</v>
      </c>
      <c r="D33" s="1255">
        <v>0</v>
      </c>
      <c r="E33" s="1255">
        <v>0</v>
      </c>
      <c r="F33" s="1255">
        <v>0</v>
      </c>
      <c r="G33" s="1255">
        <v>0</v>
      </c>
      <c r="H33" s="1255">
        <v>0</v>
      </c>
      <c r="I33" s="1255">
        <v>0</v>
      </c>
      <c r="J33" s="1255">
        <v>0</v>
      </c>
      <c r="K33" s="1255">
        <v>0</v>
      </c>
      <c r="L33" s="1255">
        <v>0</v>
      </c>
      <c r="M33" s="1255">
        <v>0</v>
      </c>
      <c r="N33" s="1279">
        <v>0</v>
      </c>
      <c r="O33" s="1282">
        <v>0</v>
      </c>
      <c r="P33" s="1255">
        <v>0</v>
      </c>
      <c r="Q33" s="1256">
        <v>0</v>
      </c>
    </row>
    <row r="34" spans="1:17">
      <c r="A34" s="1383" t="s">
        <v>321</v>
      </c>
      <c r="B34" s="1276">
        <v>0</v>
      </c>
      <c r="C34" s="1273">
        <v>0</v>
      </c>
      <c r="D34" s="1255">
        <v>0</v>
      </c>
      <c r="E34" s="1255">
        <v>0</v>
      </c>
      <c r="F34" s="1255">
        <v>0</v>
      </c>
      <c r="G34" s="1255">
        <v>0</v>
      </c>
      <c r="H34" s="1255">
        <v>0</v>
      </c>
      <c r="I34" s="1255">
        <v>0</v>
      </c>
      <c r="J34" s="1255">
        <v>0</v>
      </c>
      <c r="K34" s="1255">
        <v>0</v>
      </c>
      <c r="L34" s="1255">
        <v>0</v>
      </c>
      <c r="M34" s="1255">
        <v>0</v>
      </c>
      <c r="N34" s="1279">
        <v>0</v>
      </c>
      <c r="O34" s="1282">
        <v>0</v>
      </c>
      <c r="P34" s="1255">
        <v>0</v>
      </c>
      <c r="Q34" s="1256">
        <v>0</v>
      </c>
    </row>
    <row r="35" spans="1:17">
      <c r="A35" s="1381" t="s">
        <v>322</v>
      </c>
      <c r="B35" s="1276">
        <v>0</v>
      </c>
      <c r="C35" s="1273">
        <v>0</v>
      </c>
      <c r="D35" s="1255">
        <v>0</v>
      </c>
      <c r="E35" s="1255">
        <v>0</v>
      </c>
      <c r="F35" s="1255">
        <v>0</v>
      </c>
      <c r="G35" s="1255">
        <v>0</v>
      </c>
      <c r="H35" s="1255">
        <v>0</v>
      </c>
      <c r="I35" s="1255">
        <v>0</v>
      </c>
      <c r="J35" s="1255">
        <v>0</v>
      </c>
      <c r="K35" s="1255">
        <v>0</v>
      </c>
      <c r="L35" s="1255">
        <v>0</v>
      </c>
      <c r="M35" s="1255">
        <v>0</v>
      </c>
      <c r="N35" s="1279">
        <v>0</v>
      </c>
      <c r="O35" s="1282">
        <v>0</v>
      </c>
      <c r="P35" s="1255">
        <v>0</v>
      </c>
      <c r="Q35" s="1256">
        <v>0</v>
      </c>
    </row>
    <row r="36" spans="1:17">
      <c r="A36" s="1383" t="s">
        <v>708</v>
      </c>
      <c r="B36" s="1276">
        <v>0</v>
      </c>
      <c r="C36" s="1273">
        <v>0</v>
      </c>
      <c r="D36" s="1255">
        <v>0</v>
      </c>
      <c r="E36" s="1255">
        <v>0</v>
      </c>
      <c r="F36" s="1255">
        <v>0</v>
      </c>
      <c r="G36" s="1255">
        <v>0</v>
      </c>
      <c r="H36" s="1255">
        <v>0</v>
      </c>
      <c r="I36" s="1255">
        <v>0</v>
      </c>
      <c r="J36" s="1255">
        <v>0</v>
      </c>
      <c r="K36" s="1255">
        <v>0</v>
      </c>
      <c r="L36" s="1255">
        <v>0</v>
      </c>
      <c r="M36" s="1255">
        <v>0</v>
      </c>
      <c r="N36" s="1279">
        <v>0</v>
      </c>
      <c r="O36" s="1282">
        <v>0</v>
      </c>
      <c r="P36" s="1255">
        <v>0</v>
      </c>
      <c r="Q36" s="1256">
        <v>0</v>
      </c>
    </row>
    <row r="37" spans="1:17">
      <c r="A37" s="1383" t="s">
        <v>323</v>
      </c>
      <c r="B37" s="1276">
        <v>0</v>
      </c>
      <c r="C37" s="1273">
        <v>0</v>
      </c>
      <c r="D37" s="1255">
        <v>0</v>
      </c>
      <c r="E37" s="1255">
        <v>0</v>
      </c>
      <c r="F37" s="1255">
        <v>0</v>
      </c>
      <c r="G37" s="1255">
        <v>0</v>
      </c>
      <c r="H37" s="1255">
        <v>0</v>
      </c>
      <c r="I37" s="1255">
        <v>0</v>
      </c>
      <c r="J37" s="1255">
        <v>0</v>
      </c>
      <c r="K37" s="1255">
        <v>0</v>
      </c>
      <c r="L37" s="1255">
        <v>0</v>
      </c>
      <c r="M37" s="1255">
        <v>0</v>
      </c>
      <c r="N37" s="1279">
        <v>0</v>
      </c>
      <c r="O37" s="1282">
        <v>0</v>
      </c>
      <c r="P37" s="1255">
        <v>0</v>
      </c>
      <c r="Q37" s="1256">
        <v>0</v>
      </c>
    </row>
    <row r="38" spans="1:17">
      <c r="A38" s="1381" t="s">
        <v>324</v>
      </c>
      <c r="B38" s="1276">
        <v>821699019.65999997</v>
      </c>
      <c r="C38" s="1273">
        <v>821699019.65999997</v>
      </c>
      <c r="D38" s="1255">
        <v>270842.38</v>
      </c>
      <c r="E38" s="1255">
        <v>0</v>
      </c>
      <c r="F38" s="1255">
        <v>0</v>
      </c>
      <c r="G38" s="1255">
        <v>270842.38</v>
      </c>
      <c r="H38" s="1255">
        <v>0</v>
      </c>
      <c r="I38" s="1255">
        <v>0</v>
      </c>
      <c r="J38" s="1255">
        <v>821302768.13999999</v>
      </c>
      <c r="K38" s="1255">
        <v>0</v>
      </c>
      <c r="L38" s="1255">
        <v>125409.14</v>
      </c>
      <c r="M38" s="1255">
        <v>0</v>
      </c>
      <c r="N38" s="1279">
        <v>0</v>
      </c>
      <c r="O38" s="1282">
        <v>0</v>
      </c>
      <c r="P38" s="1255">
        <v>0</v>
      </c>
      <c r="Q38" s="1256">
        <v>0</v>
      </c>
    </row>
    <row r="39" spans="1:17">
      <c r="A39" s="1383" t="s">
        <v>325</v>
      </c>
      <c r="B39" s="1276">
        <v>269150.68</v>
      </c>
      <c r="C39" s="1273">
        <v>269150.68</v>
      </c>
      <c r="D39" s="1255">
        <v>269150.68</v>
      </c>
      <c r="E39" s="1255">
        <v>0</v>
      </c>
      <c r="F39" s="1255">
        <v>0</v>
      </c>
      <c r="G39" s="1255">
        <v>269150.68</v>
      </c>
      <c r="H39" s="1255">
        <v>0</v>
      </c>
      <c r="I39" s="1255">
        <v>0</v>
      </c>
      <c r="J39" s="1255">
        <v>0</v>
      </c>
      <c r="K39" s="1255">
        <v>0</v>
      </c>
      <c r="L39" s="1255">
        <v>0</v>
      </c>
      <c r="M39" s="1255">
        <v>0</v>
      </c>
      <c r="N39" s="1279">
        <v>0</v>
      </c>
      <c r="O39" s="1282">
        <v>0</v>
      </c>
      <c r="P39" s="1255">
        <v>0</v>
      </c>
      <c r="Q39" s="1256">
        <v>0</v>
      </c>
    </row>
    <row r="40" spans="1:17">
      <c r="A40" s="1383" t="s">
        <v>326</v>
      </c>
      <c r="B40" s="1276">
        <v>821302768.13999999</v>
      </c>
      <c r="C40" s="1273">
        <v>821302768.13999999</v>
      </c>
      <c r="D40" s="1255">
        <v>0</v>
      </c>
      <c r="E40" s="1255">
        <v>0</v>
      </c>
      <c r="F40" s="1255">
        <v>0</v>
      </c>
      <c r="G40" s="1255">
        <v>0</v>
      </c>
      <c r="H40" s="1255">
        <v>0</v>
      </c>
      <c r="I40" s="1255">
        <v>0</v>
      </c>
      <c r="J40" s="1255">
        <v>821302768.13999999</v>
      </c>
      <c r="K40" s="1255">
        <v>0</v>
      </c>
      <c r="L40" s="1255">
        <v>0</v>
      </c>
      <c r="M40" s="1255">
        <v>0</v>
      </c>
      <c r="N40" s="1279">
        <v>0</v>
      </c>
      <c r="O40" s="1282">
        <v>0</v>
      </c>
      <c r="P40" s="1255">
        <v>0</v>
      </c>
      <c r="Q40" s="1256">
        <v>0</v>
      </c>
    </row>
    <row r="41" spans="1:17">
      <c r="A41" s="1383" t="s">
        <v>327</v>
      </c>
      <c r="B41" s="1276">
        <v>127100.84</v>
      </c>
      <c r="C41" s="1273">
        <v>127100.84</v>
      </c>
      <c r="D41" s="1255">
        <v>1691.7</v>
      </c>
      <c r="E41" s="1255">
        <v>0</v>
      </c>
      <c r="F41" s="1255">
        <v>0</v>
      </c>
      <c r="G41" s="1255">
        <v>1691.7</v>
      </c>
      <c r="H41" s="1255">
        <v>0</v>
      </c>
      <c r="I41" s="1255">
        <v>0</v>
      </c>
      <c r="J41" s="1255">
        <v>0</v>
      </c>
      <c r="K41" s="1255">
        <v>0</v>
      </c>
      <c r="L41" s="1255">
        <v>125409.14</v>
      </c>
      <c r="M41" s="1255">
        <v>0</v>
      </c>
      <c r="N41" s="1279">
        <v>0</v>
      </c>
      <c r="O41" s="1282">
        <v>0</v>
      </c>
      <c r="P41" s="1255">
        <v>0</v>
      </c>
      <c r="Q41" s="1256">
        <v>0</v>
      </c>
    </row>
    <row r="42" spans="1:17">
      <c r="A42" s="1381" t="s">
        <v>364</v>
      </c>
      <c r="B42" s="1276">
        <v>291816778.56</v>
      </c>
      <c r="C42" s="1273">
        <v>291816778.56</v>
      </c>
      <c r="D42" s="1255">
        <v>0</v>
      </c>
      <c r="E42" s="1255">
        <v>0</v>
      </c>
      <c r="F42" s="1255">
        <v>0</v>
      </c>
      <c r="G42" s="1255">
        <v>0</v>
      </c>
      <c r="H42" s="1255">
        <v>0</v>
      </c>
      <c r="I42" s="1255">
        <v>0</v>
      </c>
      <c r="J42" s="1255">
        <v>0</v>
      </c>
      <c r="K42" s="1255">
        <v>0</v>
      </c>
      <c r="L42" s="1255">
        <v>6470595.4699999997</v>
      </c>
      <c r="M42" s="1255">
        <v>285346183.08999997</v>
      </c>
      <c r="N42" s="1279">
        <v>0</v>
      </c>
      <c r="O42" s="1282">
        <v>0</v>
      </c>
      <c r="P42" s="1255">
        <v>0</v>
      </c>
      <c r="Q42" s="1256">
        <v>0</v>
      </c>
    </row>
    <row r="43" spans="1:17">
      <c r="A43" s="1383" t="s">
        <v>328</v>
      </c>
      <c r="B43" s="1276">
        <v>5317161.53</v>
      </c>
      <c r="C43" s="1273">
        <v>5317161.53</v>
      </c>
      <c r="D43" s="1255">
        <v>0</v>
      </c>
      <c r="E43" s="1255">
        <v>0</v>
      </c>
      <c r="F43" s="1255">
        <v>0</v>
      </c>
      <c r="G43" s="1255">
        <v>0</v>
      </c>
      <c r="H43" s="1255">
        <v>0</v>
      </c>
      <c r="I43" s="1255">
        <v>0</v>
      </c>
      <c r="J43" s="1255">
        <v>0</v>
      </c>
      <c r="K43" s="1255">
        <v>0</v>
      </c>
      <c r="L43" s="1255">
        <v>5317161.53</v>
      </c>
      <c r="M43" s="1255">
        <v>0</v>
      </c>
      <c r="N43" s="1279">
        <v>0</v>
      </c>
      <c r="O43" s="1282">
        <v>0</v>
      </c>
      <c r="P43" s="1255">
        <v>0</v>
      </c>
      <c r="Q43" s="1256">
        <v>0</v>
      </c>
    </row>
    <row r="44" spans="1:17">
      <c r="A44" s="1383" t="s">
        <v>329</v>
      </c>
      <c r="B44" s="1276">
        <v>286499617.02999997</v>
      </c>
      <c r="C44" s="1273">
        <v>286499617.02999997</v>
      </c>
      <c r="D44" s="1255">
        <v>0</v>
      </c>
      <c r="E44" s="1255">
        <v>0</v>
      </c>
      <c r="F44" s="1255">
        <v>0</v>
      </c>
      <c r="G44" s="1255">
        <v>0</v>
      </c>
      <c r="H44" s="1255">
        <v>0</v>
      </c>
      <c r="I44" s="1255">
        <v>0</v>
      </c>
      <c r="J44" s="1255">
        <v>0</v>
      </c>
      <c r="K44" s="1255">
        <v>0</v>
      </c>
      <c r="L44" s="1255">
        <v>1153433.94</v>
      </c>
      <c r="M44" s="1255">
        <v>285346183.08999997</v>
      </c>
      <c r="N44" s="1279">
        <v>0</v>
      </c>
      <c r="O44" s="1282">
        <v>0</v>
      </c>
      <c r="P44" s="1255">
        <v>0</v>
      </c>
      <c r="Q44" s="1256">
        <v>0</v>
      </c>
    </row>
    <row r="45" spans="1:17">
      <c r="A45" s="1381" t="s">
        <v>330</v>
      </c>
      <c r="B45" s="1276">
        <v>140524941.13999999</v>
      </c>
      <c r="C45" s="1273">
        <v>140524941.13999999</v>
      </c>
      <c r="D45" s="1255">
        <v>137122672.18000001</v>
      </c>
      <c r="E45" s="1255">
        <v>12178784.470000001</v>
      </c>
      <c r="F45" s="1255">
        <v>0</v>
      </c>
      <c r="G45" s="1255">
        <v>124935247.37</v>
      </c>
      <c r="H45" s="1255">
        <v>8640.34</v>
      </c>
      <c r="I45" s="1255">
        <v>0</v>
      </c>
      <c r="J45" s="1255">
        <v>0</v>
      </c>
      <c r="K45" s="1255">
        <v>0</v>
      </c>
      <c r="L45" s="1255">
        <v>3400804.88</v>
      </c>
      <c r="M45" s="1255">
        <v>1464.08</v>
      </c>
      <c r="N45" s="1279">
        <v>0</v>
      </c>
      <c r="O45" s="1282">
        <v>0</v>
      </c>
      <c r="P45" s="1255">
        <v>0</v>
      </c>
      <c r="Q45" s="1256">
        <v>0</v>
      </c>
    </row>
    <row r="46" spans="1:17">
      <c r="A46" s="1383" t="s">
        <v>331</v>
      </c>
      <c r="B46" s="1276">
        <v>2321121.64</v>
      </c>
      <c r="C46" s="1273">
        <v>2321121.64</v>
      </c>
      <c r="D46" s="1255">
        <v>0</v>
      </c>
      <c r="E46" s="1255">
        <v>0</v>
      </c>
      <c r="F46" s="1255">
        <v>0</v>
      </c>
      <c r="G46" s="1255">
        <v>0</v>
      </c>
      <c r="H46" s="1255">
        <v>0</v>
      </c>
      <c r="I46" s="1255">
        <v>0</v>
      </c>
      <c r="J46" s="1255">
        <v>0</v>
      </c>
      <c r="K46" s="1255">
        <v>0</v>
      </c>
      <c r="L46" s="1255">
        <v>2320625.7799999998</v>
      </c>
      <c r="M46" s="1255">
        <v>495.86</v>
      </c>
      <c r="N46" s="1279">
        <v>0</v>
      </c>
      <c r="O46" s="1282">
        <v>0</v>
      </c>
      <c r="P46" s="1255">
        <v>0</v>
      </c>
      <c r="Q46" s="1256">
        <v>0</v>
      </c>
    </row>
    <row r="47" spans="1:17" ht="27">
      <c r="A47" s="1383" t="s">
        <v>332</v>
      </c>
      <c r="B47" s="1276">
        <v>0</v>
      </c>
      <c r="C47" s="1273">
        <v>0</v>
      </c>
      <c r="D47" s="1255">
        <v>0</v>
      </c>
      <c r="E47" s="1255">
        <v>0</v>
      </c>
      <c r="F47" s="1255">
        <v>0</v>
      </c>
      <c r="G47" s="1255">
        <v>0</v>
      </c>
      <c r="H47" s="1255">
        <v>0</v>
      </c>
      <c r="I47" s="1255">
        <v>0</v>
      </c>
      <c r="J47" s="1255">
        <v>0</v>
      </c>
      <c r="K47" s="1255">
        <v>0</v>
      </c>
      <c r="L47" s="1255">
        <v>0</v>
      </c>
      <c r="M47" s="1255">
        <v>0</v>
      </c>
      <c r="N47" s="1279">
        <v>0</v>
      </c>
      <c r="O47" s="1282">
        <v>0</v>
      </c>
      <c r="P47" s="1255">
        <v>0</v>
      </c>
      <c r="Q47" s="1256">
        <v>0</v>
      </c>
    </row>
    <row r="48" spans="1:17">
      <c r="A48" s="1384" t="s">
        <v>333</v>
      </c>
      <c r="B48" s="1277">
        <v>138203819.5</v>
      </c>
      <c r="C48" s="1274">
        <v>138203819.5</v>
      </c>
      <c r="D48" s="1257">
        <v>137122672.18000001</v>
      </c>
      <c r="E48" s="1257">
        <v>12178784.470000001</v>
      </c>
      <c r="F48" s="1257">
        <v>0</v>
      </c>
      <c r="G48" s="1257">
        <v>124935247.37</v>
      </c>
      <c r="H48" s="1257">
        <v>8640.34</v>
      </c>
      <c r="I48" s="1257">
        <v>0</v>
      </c>
      <c r="J48" s="1257">
        <v>0</v>
      </c>
      <c r="K48" s="1257">
        <v>0</v>
      </c>
      <c r="L48" s="1257">
        <v>1080179.1000000001</v>
      </c>
      <c r="M48" s="1257">
        <v>968.22</v>
      </c>
      <c r="N48" s="1280">
        <v>0</v>
      </c>
      <c r="O48" s="1283">
        <v>0</v>
      </c>
      <c r="P48" s="1257">
        <v>0</v>
      </c>
      <c r="Q48" s="1258">
        <v>0</v>
      </c>
    </row>
    <row r="49" spans="1:18" s="1423" customFormat="1">
      <c r="A49" s="1522"/>
      <c r="B49" s="1521"/>
      <c r="C49" s="1521"/>
      <c r="D49" s="1521"/>
      <c r="E49" s="1521"/>
      <c r="F49" s="1521"/>
      <c r="G49" s="1521"/>
      <c r="H49" s="1521"/>
      <c r="I49" s="1521"/>
      <c r="J49" s="1521"/>
      <c r="K49" s="1521"/>
      <c r="L49" s="1521"/>
      <c r="M49" s="1521"/>
      <c r="N49" s="1521"/>
      <c r="O49" s="1521"/>
      <c r="P49" s="1521"/>
      <c r="Q49" s="1521"/>
      <c r="R49" s="1097"/>
    </row>
    <row r="50" spans="1:18" s="1423" customFormat="1">
      <c r="A50" s="1522"/>
      <c r="B50" s="1521"/>
      <c r="C50" s="1521"/>
      <c r="D50" s="1521"/>
      <c r="E50" s="1521"/>
      <c r="F50" s="1521"/>
      <c r="G50" s="1521"/>
      <c r="H50" s="1521"/>
      <c r="I50" s="1521"/>
      <c r="J50" s="1521"/>
      <c r="K50" s="1521"/>
      <c r="L50" s="1521"/>
      <c r="M50" s="1521"/>
      <c r="N50" s="1521"/>
      <c r="O50" s="1521"/>
      <c r="P50" s="1521"/>
      <c r="Q50" s="1521"/>
      <c r="R50" s="1097"/>
    </row>
    <row r="51" spans="1:18">
      <c r="A51" s="1749" t="s">
        <v>334</v>
      </c>
      <c r="B51" s="1749"/>
      <c r="C51" s="1749"/>
      <c r="D51" s="1749"/>
      <c r="E51" s="1749"/>
      <c r="F51" s="1749"/>
      <c r="G51" s="1749"/>
      <c r="H51" s="1749"/>
      <c r="I51" s="1749"/>
      <c r="J51" s="1749"/>
      <c r="K51" s="1749"/>
      <c r="L51" s="1749"/>
      <c r="R51"/>
    </row>
    <row r="52" spans="1:18">
      <c r="R52"/>
    </row>
    <row r="53" spans="1:18">
      <c r="A53" s="1757" t="s">
        <v>68</v>
      </c>
      <c r="B53" s="1755"/>
      <c r="C53" s="1755"/>
      <c r="D53" s="1758"/>
      <c r="E53" s="1754" t="s">
        <v>335</v>
      </c>
      <c r="F53" s="1755" t="s">
        <v>336</v>
      </c>
      <c r="G53" s="1755"/>
      <c r="H53" s="1755"/>
      <c r="I53" s="1755"/>
      <c r="J53" s="1755"/>
      <c r="K53" s="1758"/>
      <c r="R53"/>
    </row>
    <row r="54" spans="1:18">
      <c r="A54" s="1743"/>
      <c r="B54" s="1745"/>
      <c r="C54" s="1745"/>
      <c r="D54" s="1747"/>
      <c r="E54" s="1759"/>
      <c r="F54" s="1745" t="s">
        <v>337</v>
      </c>
      <c r="G54" s="1745" t="s">
        <v>287</v>
      </c>
      <c r="H54" s="1745" t="s">
        <v>288</v>
      </c>
      <c r="I54" s="1745" t="s">
        <v>317</v>
      </c>
      <c r="J54" s="1745" t="s">
        <v>338</v>
      </c>
      <c r="K54" s="1767" t="s">
        <v>339</v>
      </c>
      <c r="R54"/>
    </row>
    <row r="55" spans="1:18">
      <c r="A55" s="1743"/>
      <c r="B55" s="1745"/>
      <c r="C55" s="1745"/>
      <c r="D55" s="1747"/>
      <c r="E55" s="1759"/>
      <c r="F55" s="1745"/>
      <c r="G55" s="1745"/>
      <c r="H55" s="1745"/>
      <c r="I55" s="1745"/>
      <c r="J55" s="1745"/>
      <c r="K55" s="1767"/>
      <c r="R55"/>
    </row>
    <row r="56" spans="1:18">
      <c r="A56" s="1743"/>
      <c r="B56" s="1745"/>
      <c r="C56" s="1745"/>
      <c r="D56" s="1747"/>
      <c r="E56" s="1759"/>
      <c r="F56" s="1745"/>
      <c r="G56" s="1745"/>
      <c r="H56" s="1745"/>
      <c r="I56" s="1745"/>
      <c r="J56" s="1745"/>
      <c r="K56" s="1767"/>
      <c r="R56"/>
    </row>
    <row r="57" spans="1:18" ht="31.15" customHeight="1">
      <c r="A57" s="1743"/>
      <c r="B57" s="1745"/>
      <c r="C57" s="1745"/>
      <c r="D57" s="1747"/>
      <c r="E57" s="1765"/>
      <c r="F57" s="1766"/>
      <c r="G57" s="1766"/>
      <c r="H57" s="1766"/>
      <c r="I57" s="1766"/>
      <c r="J57" s="1766"/>
      <c r="K57" s="1768"/>
      <c r="R57"/>
    </row>
    <row r="58" spans="1:18" s="1423" customFormat="1">
      <c r="A58" s="1744"/>
      <c r="B58" s="1746"/>
      <c r="C58" s="1746"/>
      <c r="D58" s="1748"/>
      <c r="E58" s="1956" t="s">
        <v>4</v>
      </c>
      <c r="F58" s="1953"/>
      <c r="G58" s="1953"/>
      <c r="H58" s="1953"/>
      <c r="I58" s="1953"/>
      <c r="J58" s="1953"/>
      <c r="K58" s="1954"/>
      <c r="L58" s="1097"/>
      <c r="M58" s="1097"/>
      <c r="N58" s="1097"/>
      <c r="O58" s="1097"/>
      <c r="P58" s="1097"/>
      <c r="Q58" s="1097"/>
    </row>
    <row r="59" spans="1:18">
      <c r="A59" s="2341" t="s">
        <v>887</v>
      </c>
      <c r="B59" s="2342"/>
      <c r="C59" s="2342"/>
      <c r="D59" s="2343"/>
      <c r="E59" s="1262" t="s">
        <v>888</v>
      </c>
      <c r="F59" s="1263" t="s">
        <v>889</v>
      </c>
      <c r="G59" s="1263" t="s">
        <v>890</v>
      </c>
      <c r="H59" s="1263" t="s">
        <v>891</v>
      </c>
      <c r="I59" s="1263" t="s">
        <v>892</v>
      </c>
      <c r="J59" s="1263" t="s">
        <v>893</v>
      </c>
      <c r="K59" s="1266" t="s">
        <v>894</v>
      </c>
      <c r="R59"/>
    </row>
    <row r="60" spans="1:18" ht="28.15" customHeight="1">
      <c r="A60" s="1793" t="s">
        <v>340</v>
      </c>
      <c r="B60" s="1794"/>
      <c r="C60" s="1794"/>
      <c r="D60" s="1795"/>
      <c r="E60" s="1237">
        <v>0</v>
      </c>
      <c r="F60" s="1232">
        <v>0</v>
      </c>
      <c r="G60" s="1232">
        <v>0</v>
      </c>
      <c r="H60" s="1232">
        <v>0</v>
      </c>
      <c r="I60" s="1232">
        <v>0</v>
      </c>
      <c r="J60" s="1232">
        <v>0</v>
      </c>
      <c r="K60" s="1233">
        <v>0</v>
      </c>
      <c r="R60"/>
    </row>
    <row r="61" spans="1:18" ht="25.15" customHeight="1">
      <c r="A61" s="1769" t="s">
        <v>341</v>
      </c>
      <c r="B61" s="1770"/>
      <c r="C61" s="1770"/>
      <c r="D61" s="1771"/>
      <c r="E61" s="1238">
        <v>0</v>
      </c>
      <c r="F61" s="1228">
        <v>0</v>
      </c>
      <c r="G61" s="1228">
        <v>0</v>
      </c>
      <c r="H61" s="1228">
        <v>0</v>
      </c>
      <c r="I61" s="1228">
        <v>0</v>
      </c>
      <c r="J61" s="1228">
        <v>0</v>
      </c>
      <c r="K61" s="1229">
        <v>0</v>
      </c>
      <c r="R61"/>
    </row>
    <row r="62" spans="1:18">
      <c r="A62" s="1769" t="s">
        <v>342</v>
      </c>
      <c r="B62" s="1770"/>
      <c r="C62" s="1770"/>
      <c r="D62" s="1771"/>
      <c r="E62" s="1238">
        <v>0</v>
      </c>
      <c r="F62" s="1228">
        <v>0</v>
      </c>
      <c r="G62" s="1228">
        <v>0</v>
      </c>
      <c r="H62" s="1228">
        <v>0</v>
      </c>
      <c r="I62" s="1228">
        <v>0</v>
      </c>
      <c r="J62" s="1228">
        <v>0</v>
      </c>
      <c r="K62" s="1229">
        <v>0</v>
      </c>
      <c r="R62"/>
    </row>
    <row r="63" spans="1:18">
      <c r="A63" s="1769" t="s">
        <v>343</v>
      </c>
      <c r="B63" s="1770"/>
      <c r="C63" s="1770"/>
      <c r="D63" s="1771"/>
      <c r="E63" s="1238">
        <v>0</v>
      </c>
      <c r="F63" s="1228">
        <v>0</v>
      </c>
      <c r="G63" s="1228">
        <v>0</v>
      </c>
      <c r="H63" s="1228">
        <v>0</v>
      </c>
      <c r="I63" s="1228">
        <v>0</v>
      </c>
      <c r="J63" s="1228">
        <v>0</v>
      </c>
      <c r="K63" s="1229">
        <v>0</v>
      </c>
      <c r="R63"/>
    </row>
    <row r="64" spans="1:18">
      <c r="A64" s="1769" t="s">
        <v>344</v>
      </c>
      <c r="B64" s="1770"/>
      <c r="C64" s="1770"/>
      <c r="D64" s="1771"/>
      <c r="E64" s="1238">
        <v>0</v>
      </c>
      <c r="F64" s="1228">
        <v>0</v>
      </c>
      <c r="G64" s="1228">
        <v>0</v>
      </c>
      <c r="H64" s="1228">
        <v>0</v>
      </c>
      <c r="I64" s="1228">
        <v>0</v>
      </c>
      <c r="J64" s="1228">
        <v>0</v>
      </c>
      <c r="K64" s="1229">
        <v>0</v>
      </c>
      <c r="R64"/>
    </row>
    <row r="65" spans="1:18" ht="25.9" customHeight="1">
      <c r="A65" s="1769" t="s">
        <v>345</v>
      </c>
      <c r="B65" s="1770"/>
      <c r="C65" s="1770"/>
      <c r="D65" s="1771"/>
      <c r="E65" s="1238">
        <v>0</v>
      </c>
      <c r="F65" s="1228">
        <v>0</v>
      </c>
      <c r="G65" s="1228">
        <v>0</v>
      </c>
      <c r="H65" s="1228">
        <v>0</v>
      </c>
      <c r="I65" s="1228">
        <v>0</v>
      </c>
      <c r="J65" s="1228">
        <v>0</v>
      </c>
      <c r="K65" s="1229">
        <v>0</v>
      </c>
      <c r="R65"/>
    </row>
    <row r="66" spans="1:18" ht="25.9" customHeight="1">
      <c r="A66" s="1772" t="s">
        <v>346</v>
      </c>
      <c r="B66" s="1773"/>
      <c r="C66" s="1773"/>
      <c r="D66" s="1774"/>
      <c r="E66" s="1239">
        <v>0</v>
      </c>
      <c r="F66" s="1230">
        <v>0</v>
      </c>
      <c r="G66" s="1230">
        <v>0</v>
      </c>
      <c r="H66" s="1230">
        <v>0</v>
      </c>
      <c r="I66" s="1230">
        <v>0</v>
      </c>
      <c r="J66" s="1230">
        <v>0</v>
      </c>
      <c r="K66" s="1231">
        <v>0</v>
      </c>
      <c r="R66"/>
    </row>
  </sheetData>
  <mergeCells count="62">
    <mergeCell ref="Q4:Q7"/>
    <mergeCell ref="C25:N25"/>
    <mergeCell ref="B30:Q30"/>
    <mergeCell ref="A25:A30"/>
    <mergeCell ref="E58:K58"/>
    <mergeCell ref="A53:D58"/>
    <mergeCell ref="C26:C29"/>
    <mergeCell ref="E26:E29"/>
    <mergeCell ref="J54:J57"/>
    <mergeCell ref="F26:F29"/>
    <mergeCell ref="G26:G29"/>
    <mergeCell ref="H26:H29"/>
    <mergeCell ref="K26:K29"/>
    <mergeCell ref="I26:I29"/>
    <mergeCell ref="J26:J29"/>
    <mergeCell ref="H4:H7"/>
    <mergeCell ref="C2:M2"/>
    <mergeCell ref="K4:K7"/>
    <mergeCell ref="C4:C7"/>
    <mergeCell ref="B3:B7"/>
    <mergeCell ref="L4:L7"/>
    <mergeCell ref="M4:M7"/>
    <mergeCell ref="I4:I7"/>
    <mergeCell ref="A3:A8"/>
    <mergeCell ref="A1:Q1"/>
    <mergeCell ref="A66:D66"/>
    <mergeCell ref="A62:D62"/>
    <mergeCell ref="A63:D63"/>
    <mergeCell ref="C3:N3"/>
    <mergeCell ref="D4:D7"/>
    <mergeCell ref="E4:E7"/>
    <mergeCell ref="A64:D64"/>
    <mergeCell ref="A61:D61"/>
    <mergeCell ref="M26:M29"/>
    <mergeCell ref="A60:D60"/>
    <mergeCell ref="E53:E57"/>
    <mergeCell ref="F54:F57"/>
    <mergeCell ref="G4:G7"/>
    <mergeCell ref="F4:F7"/>
    <mergeCell ref="A65:D65"/>
    <mergeCell ref="F53:K53"/>
    <mergeCell ref="G54:G57"/>
    <mergeCell ref="H54:H57"/>
    <mergeCell ref="I54:I57"/>
    <mergeCell ref="A59:D59"/>
    <mergeCell ref="K54:K57"/>
    <mergeCell ref="A51:L51"/>
    <mergeCell ref="J4:J7"/>
    <mergeCell ref="B8:Q8"/>
    <mergeCell ref="O3:Q3"/>
    <mergeCell ref="O4:O7"/>
    <mergeCell ref="L26:L29"/>
    <mergeCell ref="P26:P29"/>
    <mergeCell ref="Q26:Q29"/>
    <mergeCell ref="N26:N29"/>
    <mergeCell ref="O26:O29"/>
    <mergeCell ref="N4:N7"/>
    <mergeCell ref="P4:P7"/>
    <mergeCell ref="O25:Q25"/>
    <mergeCell ref="A23:M23"/>
    <mergeCell ref="B25:B29"/>
    <mergeCell ref="D26:D2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6"/>
  <sheetViews>
    <sheetView showGridLines="0" zoomScaleNormal="100" workbookViewId="0">
      <selection activeCell="L4" sqref="L4"/>
    </sheetView>
  </sheetViews>
  <sheetFormatPr defaultColWidth="3.7109375" defaultRowHeight="13.5"/>
  <cols>
    <col min="1" max="1" width="3" style="207" bestFit="1" customWidth="1"/>
    <col min="2" max="3" width="3" style="208" bestFit="1" customWidth="1"/>
    <col min="4" max="4" width="3" style="208" customWidth="1"/>
    <col min="5" max="5" width="18.85546875" style="208" bestFit="1" customWidth="1"/>
    <col min="6" max="6" width="12.7109375" style="209" customWidth="1"/>
    <col min="7" max="7" width="12.140625" style="210" customWidth="1"/>
    <col min="8" max="8" width="13.85546875" style="204" customWidth="1"/>
    <col min="9" max="9" width="13.140625" style="204" customWidth="1"/>
    <col min="10" max="10" width="5.7109375" style="204" customWidth="1"/>
    <col min="11" max="256" width="3.7109375" style="204"/>
    <col min="257" max="259" width="3" style="204" bestFit="1" customWidth="1"/>
    <col min="260" max="260" width="3" style="204" customWidth="1"/>
    <col min="261" max="261" width="18.85546875" style="204" bestFit="1" customWidth="1"/>
    <col min="262" max="262" width="12.7109375" style="204" customWidth="1"/>
    <col min="263" max="263" width="12.140625" style="204" customWidth="1"/>
    <col min="264" max="264" width="13.85546875" style="204" customWidth="1"/>
    <col min="265" max="265" width="13.140625" style="204" customWidth="1"/>
    <col min="266" max="266" width="5.7109375" style="204" customWidth="1"/>
    <col min="267" max="512" width="3.7109375" style="204"/>
    <col min="513" max="515" width="3" style="204" bestFit="1" customWidth="1"/>
    <col min="516" max="516" width="3" style="204" customWidth="1"/>
    <col min="517" max="517" width="18.85546875" style="204" bestFit="1" customWidth="1"/>
    <col min="518" max="518" width="12.7109375" style="204" customWidth="1"/>
    <col min="519" max="519" width="12.140625" style="204" customWidth="1"/>
    <col min="520" max="520" width="13.85546875" style="204" customWidth="1"/>
    <col min="521" max="521" width="13.140625" style="204" customWidth="1"/>
    <col min="522" max="522" width="5.7109375" style="204" customWidth="1"/>
    <col min="523" max="768" width="3.7109375" style="204"/>
    <col min="769" max="771" width="3" style="204" bestFit="1" customWidth="1"/>
    <col min="772" max="772" width="3" style="204" customWidth="1"/>
    <col min="773" max="773" width="18.85546875" style="204" bestFit="1" customWidth="1"/>
    <col min="774" max="774" width="12.7109375" style="204" customWidth="1"/>
    <col min="775" max="775" width="12.140625" style="204" customWidth="1"/>
    <col min="776" max="776" width="13.85546875" style="204" customWidth="1"/>
    <col min="777" max="777" width="13.140625" style="204" customWidth="1"/>
    <col min="778" max="778" width="5.7109375" style="204" customWidth="1"/>
    <col min="779" max="1024" width="3.7109375" style="204"/>
    <col min="1025" max="1027" width="3" style="204" bestFit="1" customWidth="1"/>
    <col min="1028" max="1028" width="3" style="204" customWidth="1"/>
    <col min="1029" max="1029" width="18.85546875" style="204" bestFit="1" customWidth="1"/>
    <col min="1030" max="1030" width="12.7109375" style="204" customWidth="1"/>
    <col min="1031" max="1031" width="12.140625" style="204" customWidth="1"/>
    <col min="1032" max="1032" width="13.85546875" style="204" customWidth="1"/>
    <col min="1033" max="1033" width="13.140625" style="204" customWidth="1"/>
    <col min="1034" max="1034" width="5.7109375" style="204" customWidth="1"/>
    <col min="1035" max="1280" width="3.7109375" style="204"/>
    <col min="1281" max="1283" width="3" style="204" bestFit="1" customWidth="1"/>
    <col min="1284" max="1284" width="3" style="204" customWidth="1"/>
    <col min="1285" max="1285" width="18.85546875" style="204" bestFit="1" customWidth="1"/>
    <col min="1286" max="1286" width="12.7109375" style="204" customWidth="1"/>
    <col min="1287" max="1287" width="12.140625" style="204" customWidth="1"/>
    <col min="1288" max="1288" width="13.85546875" style="204" customWidth="1"/>
    <col min="1289" max="1289" width="13.140625" style="204" customWidth="1"/>
    <col min="1290" max="1290" width="5.7109375" style="204" customWidth="1"/>
    <col min="1291" max="1536" width="3.7109375" style="204"/>
    <col min="1537" max="1539" width="3" style="204" bestFit="1" customWidth="1"/>
    <col min="1540" max="1540" width="3" style="204" customWidth="1"/>
    <col min="1541" max="1541" width="18.85546875" style="204" bestFit="1" customWidth="1"/>
    <col min="1542" max="1542" width="12.7109375" style="204" customWidth="1"/>
    <col min="1543" max="1543" width="12.140625" style="204" customWidth="1"/>
    <col min="1544" max="1544" width="13.85546875" style="204" customWidth="1"/>
    <col min="1545" max="1545" width="13.140625" style="204" customWidth="1"/>
    <col min="1546" max="1546" width="5.7109375" style="204" customWidth="1"/>
    <col min="1547" max="1792" width="3.7109375" style="204"/>
    <col min="1793" max="1795" width="3" style="204" bestFit="1" customWidth="1"/>
    <col min="1796" max="1796" width="3" style="204" customWidth="1"/>
    <col min="1797" max="1797" width="18.85546875" style="204" bestFit="1" customWidth="1"/>
    <col min="1798" max="1798" width="12.7109375" style="204" customWidth="1"/>
    <col min="1799" max="1799" width="12.140625" style="204" customWidth="1"/>
    <col min="1800" max="1800" width="13.85546875" style="204" customWidth="1"/>
    <col min="1801" max="1801" width="13.140625" style="204" customWidth="1"/>
    <col min="1802" max="1802" width="5.7109375" style="204" customWidth="1"/>
    <col min="1803" max="2048" width="3.7109375" style="204"/>
    <col min="2049" max="2051" width="3" style="204" bestFit="1" customWidth="1"/>
    <col min="2052" max="2052" width="3" style="204" customWidth="1"/>
    <col min="2053" max="2053" width="18.85546875" style="204" bestFit="1" customWidth="1"/>
    <col min="2054" max="2054" width="12.7109375" style="204" customWidth="1"/>
    <col min="2055" max="2055" width="12.140625" style="204" customWidth="1"/>
    <col min="2056" max="2056" width="13.85546875" style="204" customWidth="1"/>
    <col min="2057" max="2057" width="13.140625" style="204" customWidth="1"/>
    <col min="2058" max="2058" width="5.7109375" style="204" customWidth="1"/>
    <col min="2059" max="2304" width="3.7109375" style="204"/>
    <col min="2305" max="2307" width="3" style="204" bestFit="1" customWidth="1"/>
    <col min="2308" max="2308" width="3" style="204" customWidth="1"/>
    <col min="2309" max="2309" width="18.85546875" style="204" bestFit="1" customWidth="1"/>
    <col min="2310" max="2310" width="12.7109375" style="204" customWidth="1"/>
    <col min="2311" max="2311" width="12.140625" style="204" customWidth="1"/>
    <col min="2312" max="2312" width="13.85546875" style="204" customWidth="1"/>
    <col min="2313" max="2313" width="13.140625" style="204" customWidth="1"/>
    <col min="2314" max="2314" width="5.7109375" style="204" customWidth="1"/>
    <col min="2315" max="2560" width="3.7109375" style="204"/>
    <col min="2561" max="2563" width="3" style="204" bestFit="1" customWidth="1"/>
    <col min="2564" max="2564" width="3" style="204" customWidth="1"/>
    <col min="2565" max="2565" width="18.85546875" style="204" bestFit="1" customWidth="1"/>
    <col min="2566" max="2566" width="12.7109375" style="204" customWidth="1"/>
    <col min="2567" max="2567" width="12.140625" style="204" customWidth="1"/>
    <col min="2568" max="2568" width="13.85546875" style="204" customWidth="1"/>
    <col min="2569" max="2569" width="13.140625" style="204" customWidth="1"/>
    <col min="2570" max="2570" width="5.7109375" style="204" customWidth="1"/>
    <col min="2571" max="2816" width="3.7109375" style="204"/>
    <col min="2817" max="2819" width="3" style="204" bestFit="1" customWidth="1"/>
    <col min="2820" max="2820" width="3" style="204" customWidth="1"/>
    <col min="2821" max="2821" width="18.85546875" style="204" bestFit="1" customWidth="1"/>
    <col min="2822" max="2822" width="12.7109375" style="204" customWidth="1"/>
    <col min="2823" max="2823" width="12.140625" style="204" customWidth="1"/>
    <col min="2824" max="2824" width="13.85546875" style="204" customWidth="1"/>
    <col min="2825" max="2825" width="13.140625" style="204" customWidth="1"/>
    <col min="2826" max="2826" width="5.7109375" style="204" customWidth="1"/>
    <col min="2827" max="3072" width="3.7109375" style="204"/>
    <col min="3073" max="3075" width="3" style="204" bestFit="1" customWidth="1"/>
    <col min="3076" max="3076" width="3" style="204" customWidth="1"/>
    <col min="3077" max="3077" width="18.85546875" style="204" bestFit="1" customWidth="1"/>
    <col min="3078" max="3078" width="12.7109375" style="204" customWidth="1"/>
    <col min="3079" max="3079" width="12.140625" style="204" customWidth="1"/>
    <col min="3080" max="3080" width="13.85546875" style="204" customWidth="1"/>
    <col min="3081" max="3081" width="13.140625" style="204" customWidth="1"/>
    <col min="3082" max="3082" width="5.7109375" style="204" customWidth="1"/>
    <col min="3083" max="3328" width="3.7109375" style="204"/>
    <col min="3329" max="3331" width="3" style="204" bestFit="1" customWidth="1"/>
    <col min="3332" max="3332" width="3" style="204" customWidth="1"/>
    <col min="3333" max="3333" width="18.85546875" style="204" bestFit="1" customWidth="1"/>
    <col min="3334" max="3334" width="12.7109375" style="204" customWidth="1"/>
    <col min="3335" max="3335" width="12.140625" style="204" customWidth="1"/>
    <col min="3336" max="3336" width="13.85546875" style="204" customWidth="1"/>
    <col min="3337" max="3337" width="13.140625" style="204" customWidth="1"/>
    <col min="3338" max="3338" width="5.7109375" style="204" customWidth="1"/>
    <col min="3339" max="3584" width="3.7109375" style="204"/>
    <col min="3585" max="3587" width="3" style="204" bestFit="1" customWidth="1"/>
    <col min="3588" max="3588" width="3" style="204" customWidth="1"/>
    <col min="3589" max="3589" width="18.85546875" style="204" bestFit="1" customWidth="1"/>
    <col min="3590" max="3590" width="12.7109375" style="204" customWidth="1"/>
    <col min="3591" max="3591" width="12.140625" style="204" customWidth="1"/>
    <col min="3592" max="3592" width="13.85546875" style="204" customWidth="1"/>
    <col min="3593" max="3593" width="13.140625" style="204" customWidth="1"/>
    <col min="3594" max="3594" width="5.7109375" style="204" customWidth="1"/>
    <col min="3595" max="3840" width="3.7109375" style="204"/>
    <col min="3841" max="3843" width="3" style="204" bestFit="1" customWidth="1"/>
    <col min="3844" max="3844" width="3" style="204" customWidth="1"/>
    <col min="3845" max="3845" width="18.85546875" style="204" bestFit="1" customWidth="1"/>
    <col min="3846" max="3846" width="12.7109375" style="204" customWidth="1"/>
    <col min="3847" max="3847" width="12.140625" style="204" customWidth="1"/>
    <col min="3848" max="3848" width="13.85546875" style="204" customWidth="1"/>
    <col min="3849" max="3849" width="13.140625" style="204" customWidth="1"/>
    <col min="3850" max="3850" width="5.7109375" style="204" customWidth="1"/>
    <col min="3851" max="4096" width="3.7109375" style="204"/>
    <col min="4097" max="4099" width="3" style="204" bestFit="1" customWidth="1"/>
    <col min="4100" max="4100" width="3" style="204" customWidth="1"/>
    <col min="4101" max="4101" width="18.85546875" style="204" bestFit="1" customWidth="1"/>
    <col min="4102" max="4102" width="12.7109375" style="204" customWidth="1"/>
    <col min="4103" max="4103" width="12.140625" style="204" customWidth="1"/>
    <col min="4104" max="4104" width="13.85546875" style="204" customWidth="1"/>
    <col min="4105" max="4105" width="13.140625" style="204" customWidth="1"/>
    <col min="4106" max="4106" width="5.7109375" style="204" customWidth="1"/>
    <col min="4107" max="4352" width="3.7109375" style="204"/>
    <col min="4353" max="4355" width="3" style="204" bestFit="1" customWidth="1"/>
    <col min="4356" max="4356" width="3" style="204" customWidth="1"/>
    <col min="4357" max="4357" width="18.85546875" style="204" bestFit="1" customWidth="1"/>
    <col min="4358" max="4358" width="12.7109375" style="204" customWidth="1"/>
    <col min="4359" max="4359" width="12.140625" style="204" customWidth="1"/>
    <col min="4360" max="4360" width="13.85546875" style="204" customWidth="1"/>
    <col min="4361" max="4361" width="13.140625" style="204" customWidth="1"/>
    <col min="4362" max="4362" width="5.7109375" style="204" customWidth="1"/>
    <col min="4363" max="4608" width="3.7109375" style="204"/>
    <col min="4609" max="4611" width="3" style="204" bestFit="1" customWidth="1"/>
    <col min="4612" max="4612" width="3" style="204" customWidth="1"/>
    <col min="4613" max="4613" width="18.85546875" style="204" bestFit="1" customWidth="1"/>
    <col min="4614" max="4614" width="12.7109375" style="204" customWidth="1"/>
    <col min="4615" max="4615" width="12.140625" style="204" customWidth="1"/>
    <col min="4616" max="4616" width="13.85546875" style="204" customWidth="1"/>
    <col min="4617" max="4617" width="13.140625" style="204" customWidth="1"/>
    <col min="4618" max="4618" width="5.7109375" style="204" customWidth="1"/>
    <col min="4619" max="4864" width="3.7109375" style="204"/>
    <col min="4865" max="4867" width="3" style="204" bestFit="1" customWidth="1"/>
    <col min="4868" max="4868" width="3" style="204" customWidth="1"/>
    <col min="4869" max="4869" width="18.85546875" style="204" bestFit="1" customWidth="1"/>
    <col min="4870" max="4870" width="12.7109375" style="204" customWidth="1"/>
    <col min="4871" max="4871" width="12.140625" style="204" customWidth="1"/>
    <col min="4872" max="4872" width="13.85546875" style="204" customWidth="1"/>
    <col min="4873" max="4873" width="13.140625" style="204" customWidth="1"/>
    <col min="4874" max="4874" width="5.7109375" style="204" customWidth="1"/>
    <col min="4875" max="5120" width="3.7109375" style="204"/>
    <col min="5121" max="5123" width="3" style="204" bestFit="1" customWidth="1"/>
    <col min="5124" max="5124" width="3" style="204" customWidth="1"/>
    <col min="5125" max="5125" width="18.85546875" style="204" bestFit="1" customWidth="1"/>
    <col min="5126" max="5126" width="12.7109375" style="204" customWidth="1"/>
    <col min="5127" max="5127" width="12.140625" style="204" customWidth="1"/>
    <col min="5128" max="5128" width="13.85546875" style="204" customWidth="1"/>
    <col min="5129" max="5129" width="13.140625" style="204" customWidth="1"/>
    <col min="5130" max="5130" width="5.7109375" style="204" customWidth="1"/>
    <col min="5131" max="5376" width="3.7109375" style="204"/>
    <col min="5377" max="5379" width="3" style="204" bestFit="1" customWidth="1"/>
    <col min="5380" max="5380" width="3" style="204" customWidth="1"/>
    <col min="5381" max="5381" width="18.85546875" style="204" bestFit="1" customWidth="1"/>
    <col min="5382" max="5382" width="12.7109375" style="204" customWidth="1"/>
    <col min="5383" max="5383" width="12.140625" style="204" customWidth="1"/>
    <col min="5384" max="5384" width="13.85546875" style="204" customWidth="1"/>
    <col min="5385" max="5385" width="13.140625" style="204" customWidth="1"/>
    <col min="5386" max="5386" width="5.7109375" style="204" customWidth="1"/>
    <col min="5387" max="5632" width="3.7109375" style="204"/>
    <col min="5633" max="5635" width="3" style="204" bestFit="1" customWidth="1"/>
    <col min="5636" max="5636" width="3" style="204" customWidth="1"/>
    <col min="5637" max="5637" width="18.85546875" style="204" bestFit="1" customWidth="1"/>
    <col min="5638" max="5638" width="12.7109375" style="204" customWidth="1"/>
    <col min="5639" max="5639" width="12.140625" style="204" customWidth="1"/>
    <col min="5640" max="5640" width="13.85546875" style="204" customWidth="1"/>
    <col min="5641" max="5641" width="13.140625" style="204" customWidth="1"/>
    <col min="5642" max="5642" width="5.7109375" style="204" customWidth="1"/>
    <col min="5643" max="5888" width="3.7109375" style="204"/>
    <col min="5889" max="5891" width="3" style="204" bestFit="1" customWidth="1"/>
    <col min="5892" max="5892" width="3" style="204" customWidth="1"/>
    <col min="5893" max="5893" width="18.85546875" style="204" bestFit="1" customWidth="1"/>
    <col min="5894" max="5894" width="12.7109375" style="204" customWidth="1"/>
    <col min="5895" max="5895" width="12.140625" style="204" customWidth="1"/>
    <col min="5896" max="5896" width="13.85546875" style="204" customWidth="1"/>
    <col min="5897" max="5897" width="13.140625" style="204" customWidth="1"/>
    <col min="5898" max="5898" width="5.7109375" style="204" customWidth="1"/>
    <col min="5899" max="6144" width="3.7109375" style="204"/>
    <col min="6145" max="6147" width="3" style="204" bestFit="1" customWidth="1"/>
    <col min="6148" max="6148" width="3" style="204" customWidth="1"/>
    <col min="6149" max="6149" width="18.85546875" style="204" bestFit="1" customWidth="1"/>
    <col min="6150" max="6150" width="12.7109375" style="204" customWidth="1"/>
    <col min="6151" max="6151" width="12.140625" style="204" customWidth="1"/>
    <col min="6152" max="6152" width="13.85546875" style="204" customWidth="1"/>
    <col min="6153" max="6153" width="13.140625" style="204" customWidth="1"/>
    <col min="6154" max="6154" width="5.7109375" style="204" customWidth="1"/>
    <col min="6155" max="6400" width="3.7109375" style="204"/>
    <col min="6401" max="6403" width="3" style="204" bestFit="1" customWidth="1"/>
    <col min="6404" max="6404" width="3" style="204" customWidth="1"/>
    <col min="6405" max="6405" width="18.85546875" style="204" bestFit="1" customWidth="1"/>
    <col min="6406" max="6406" width="12.7109375" style="204" customWidth="1"/>
    <col min="6407" max="6407" width="12.140625" style="204" customWidth="1"/>
    <col min="6408" max="6408" width="13.85546875" style="204" customWidth="1"/>
    <col min="6409" max="6409" width="13.140625" style="204" customWidth="1"/>
    <col min="6410" max="6410" width="5.7109375" style="204" customWidth="1"/>
    <col min="6411" max="6656" width="3.7109375" style="204"/>
    <col min="6657" max="6659" width="3" style="204" bestFit="1" customWidth="1"/>
    <col min="6660" max="6660" width="3" style="204" customWidth="1"/>
    <col min="6661" max="6661" width="18.85546875" style="204" bestFit="1" customWidth="1"/>
    <col min="6662" max="6662" width="12.7109375" style="204" customWidth="1"/>
    <col min="6663" max="6663" width="12.140625" style="204" customWidth="1"/>
    <col min="6664" max="6664" width="13.85546875" style="204" customWidth="1"/>
    <col min="6665" max="6665" width="13.140625" style="204" customWidth="1"/>
    <col min="6666" max="6666" width="5.7109375" style="204" customWidth="1"/>
    <col min="6667" max="6912" width="3.7109375" style="204"/>
    <col min="6913" max="6915" width="3" style="204" bestFit="1" customWidth="1"/>
    <col min="6916" max="6916" width="3" style="204" customWidth="1"/>
    <col min="6917" max="6917" width="18.85546875" style="204" bestFit="1" customWidth="1"/>
    <col min="6918" max="6918" width="12.7109375" style="204" customWidth="1"/>
    <col min="6919" max="6919" width="12.140625" style="204" customWidth="1"/>
    <col min="6920" max="6920" width="13.85546875" style="204" customWidth="1"/>
    <col min="6921" max="6921" width="13.140625" style="204" customWidth="1"/>
    <col min="6922" max="6922" width="5.7109375" style="204" customWidth="1"/>
    <col min="6923" max="7168" width="3.7109375" style="204"/>
    <col min="7169" max="7171" width="3" style="204" bestFit="1" customWidth="1"/>
    <col min="7172" max="7172" width="3" style="204" customWidth="1"/>
    <col min="7173" max="7173" width="18.85546875" style="204" bestFit="1" customWidth="1"/>
    <col min="7174" max="7174" width="12.7109375" style="204" customWidth="1"/>
    <col min="7175" max="7175" width="12.140625" style="204" customWidth="1"/>
    <col min="7176" max="7176" width="13.85546875" style="204" customWidth="1"/>
    <col min="7177" max="7177" width="13.140625" style="204" customWidth="1"/>
    <col min="7178" max="7178" width="5.7109375" style="204" customWidth="1"/>
    <col min="7179" max="7424" width="3.7109375" style="204"/>
    <col min="7425" max="7427" width="3" style="204" bestFit="1" customWidth="1"/>
    <col min="7428" max="7428" width="3" style="204" customWidth="1"/>
    <col min="7429" max="7429" width="18.85546875" style="204" bestFit="1" customWidth="1"/>
    <col min="7430" max="7430" width="12.7109375" style="204" customWidth="1"/>
    <col min="7431" max="7431" width="12.140625" style="204" customWidth="1"/>
    <col min="7432" max="7432" width="13.85546875" style="204" customWidth="1"/>
    <col min="7433" max="7433" width="13.140625" style="204" customWidth="1"/>
    <col min="7434" max="7434" width="5.7109375" style="204" customWidth="1"/>
    <col min="7435" max="7680" width="3.7109375" style="204"/>
    <col min="7681" max="7683" width="3" style="204" bestFit="1" customWidth="1"/>
    <col min="7684" max="7684" width="3" style="204" customWidth="1"/>
    <col min="7685" max="7685" width="18.85546875" style="204" bestFit="1" customWidth="1"/>
    <col min="7686" max="7686" width="12.7109375" style="204" customWidth="1"/>
    <col min="7687" max="7687" width="12.140625" style="204" customWidth="1"/>
    <col min="7688" max="7688" width="13.85546875" style="204" customWidth="1"/>
    <col min="7689" max="7689" width="13.140625" style="204" customWidth="1"/>
    <col min="7690" max="7690" width="5.7109375" style="204" customWidth="1"/>
    <col min="7691" max="7936" width="3.7109375" style="204"/>
    <col min="7937" max="7939" width="3" style="204" bestFit="1" customWidth="1"/>
    <col min="7940" max="7940" width="3" style="204" customWidth="1"/>
    <col min="7941" max="7941" width="18.85546875" style="204" bestFit="1" customWidth="1"/>
    <col min="7942" max="7942" width="12.7109375" style="204" customWidth="1"/>
    <col min="7943" max="7943" width="12.140625" style="204" customWidth="1"/>
    <col min="7944" max="7944" width="13.85546875" style="204" customWidth="1"/>
    <col min="7945" max="7945" width="13.140625" style="204" customWidth="1"/>
    <col min="7946" max="7946" width="5.7109375" style="204" customWidth="1"/>
    <col min="7947" max="8192" width="3.7109375" style="204"/>
    <col min="8193" max="8195" width="3" style="204" bestFit="1" customWidth="1"/>
    <col min="8196" max="8196" width="3" style="204" customWidth="1"/>
    <col min="8197" max="8197" width="18.85546875" style="204" bestFit="1" customWidth="1"/>
    <col min="8198" max="8198" width="12.7109375" style="204" customWidth="1"/>
    <col min="8199" max="8199" width="12.140625" style="204" customWidth="1"/>
    <col min="8200" max="8200" width="13.85546875" style="204" customWidth="1"/>
    <col min="8201" max="8201" width="13.140625" style="204" customWidth="1"/>
    <col min="8202" max="8202" width="5.7109375" style="204" customWidth="1"/>
    <col min="8203" max="8448" width="3.7109375" style="204"/>
    <col min="8449" max="8451" width="3" style="204" bestFit="1" customWidth="1"/>
    <col min="8452" max="8452" width="3" style="204" customWidth="1"/>
    <col min="8453" max="8453" width="18.85546875" style="204" bestFit="1" customWidth="1"/>
    <col min="8454" max="8454" width="12.7109375" style="204" customWidth="1"/>
    <col min="8455" max="8455" width="12.140625" style="204" customWidth="1"/>
    <col min="8456" max="8456" width="13.85546875" style="204" customWidth="1"/>
    <col min="8457" max="8457" width="13.140625" style="204" customWidth="1"/>
    <col min="8458" max="8458" width="5.7109375" style="204" customWidth="1"/>
    <col min="8459" max="8704" width="3.7109375" style="204"/>
    <col min="8705" max="8707" width="3" style="204" bestFit="1" customWidth="1"/>
    <col min="8708" max="8708" width="3" style="204" customWidth="1"/>
    <col min="8709" max="8709" width="18.85546875" style="204" bestFit="1" customWidth="1"/>
    <col min="8710" max="8710" width="12.7109375" style="204" customWidth="1"/>
    <col min="8711" max="8711" width="12.140625" style="204" customWidth="1"/>
    <col min="8712" max="8712" width="13.85546875" style="204" customWidth="1"/>
    <col min="8713" max="8713" width="13.140625" style="204" customWidth="1"/>
    <col min="8714" max="8714" width="5.7109375" style="204" customWidth="1"/>
    <col min="8715" max="8960" width="3.7109375" style="204"/>
    <col min="8961" max="8963" width="3" style="204" bestFit="1" customWidth="1"/>
    <col min="8964" max="8964" width="3" style="204" customWidth="1"/>
    <col min="8965" max="8965" width="18.85546875" style="204" bestFit="1" customWidth="1"/>
    <col min="8966" max="8966" width="12.7109375" style="204" customWidth="1"/>
    <col min="8967" max="8967" width="12.140625" style="204" customWidth="1"/>
    <col min="8968" max="8968" width="13.85546875" style="204" customWidth="1"/>
    <col min="8969" max="8969" width="13.140625" style="204" customWidth="1"/>
    <col min="8970" max="8970" width="5.7109375" style="204" customWidth="1"/>
    <col min="8971" max="9216" width="3.7109375" style="204"/>
    <col min="9217" max="9219" width="3" style="204" bestFit="1" customWidth="1"/>
    <col min="9220" max="9220" width="3" style="204" customWidth="1"/>
    <col min="9221" max="9221" width="18.85546875" style="204" bestFit="1" customWidth="1"/>
    <col min="9222" max="9222" width="12.7109375" style="204" customWidth="1"/>
    <col min="9223" max="9223" width="12.140625" style="204" customWidth="1"/>
    <col min="9224" max="9224" width="13.85546875" style="204" customWidth="1"/>
    <col min="9225" max="9225" width="13.140625" style="204" customWidth="1"/>
    <col min="9226" max="9226" width="5.7109375" style="204" customWidth="1"/>
    <col min="9227" max="9472" width="3.7109375" style="204"/>
    <col min="9473" max="9475" width="3" style="204" bestFit="1" customWidth="1"/>
    <col min="9476" max="9476" width="3" style="204" customWidth="1"/>
    <col min="9477" max="9477" width="18.85546875" style="204" bestFit="1" customWidth="1"/>
    <col min="9478" max="9478" width="12.7109375" style="204" customWidth="1"/>
    <col min="9479" max="9479" width="12.140625" style="204" customWidth="1"/>
    <col min="9480" max="9480" width="13.85546875" style="204" customWidth="1"/>
    <col min="9481" max="9481" width="13.140625" style="204" customWidth="1"/>
    <col min="9482" max="9482" width="5.7109375" style="204" customWidth="1"/>
    <col min="9483" max="9728" width="3.7109375" style="204"/>
    <col min="9729" max="9731" width="3" style="204" bestFit="1" customWidth="1"/>
    <col min="9732" max="9732" width="3" style="204" customWidth="1"/>
    <col min="9733" max="9733" width="18.85546875" style="204" bestFit="1" customWidth="1"/>
    <col min="9734" max="9734" width="12.7109375" style="204" customWidth="1"/>
    <col min="9735" max="9735" width="12.140625" style="204" customWidth="1"/>
    <col min="9736" max="9736" width="13.85546875" style="204" customWidth="1"/>
    <col min="9737" max="9737" width="13.140625" style="204" customWidth="1"/>
    <col min="9738" max="9738" width="5.7109375" style="204" customWidth="1"/>
    <col min="9739" max="9984" width="3.7109375" style="204"/>
    <col min="9985" max="9987" width="3" style="204" bestFit="1" customWidth="1"/>
    <col min="9988" max="9988" width="3" style="204" customWidth="1"/>
    <col min="9989" max="9989" width="18.85546875" style="204" bestFit="1" customWidth="1"/>
    <col min="9990" max="9990" width="12.7109375" style="204" customWidth="1"/>
    <col min="9991" max="9991" width="12.140625" style="204" customWidth="1"/>
    <col min="9992" max="9992" width="13.85546875" style="204" customWidth="1"/>
    <col min="9993" max="9993" width="13.140625" style="204" customWidth="1"/>
    <col min="9994" max="9994" width="5.7109375" style="204" customWidth="1"/>
    <col min="9995" max="10240" width="3.7109375" style="204"/>
    <col min="10241" max="10243" width="3" style="204" bestFit="1" customWidth="1"/>
    <col min="10244" max="10244" width="3" style="204" customWidth="1"/>
    <col min="10245" max="10245" width="18.85546875" style="204" bestFit="1" customWidth="1"/>
    <col min="10246" max="10246" width="12.7109375" style="204" customWidth="1"/>
    <col min="10247" max="10247" width="12.140625" style="204" customWidth="1"/>
    <col min="10248" max="10248" width="13.85546875" style="204" customWidth="1"/>
    <col min="10249" max="10249" width="13.140625" style="204" customWidth="1"/>
    <col min="10250" max="10250" width="5.7109375" style="204" customWidth="1"/>
    <col min="10251" max="10496" width="3.7109375" style="204"/>
    <col min="10497" max="10499" width="3" style="204" bestFit="1" customWidth="1"/>
    <col min="10500" max="10500" width="3" style="204" customWidth="1"/>
    <col min="10501" max="10501" width="18.85546875" style="204" bestFit="1" customWidth="1"/>
    <col min="10502" max="10502" width="12.7109375" style="204" customWidth="1"/>
    <col min="10503" max="10503" width="12.140625" style="204" customWidth="1"/>
    <col min="10504" max="10504" width="13.85546875" style="204" customWidth="1"/>
    <col min="10505" max="10505" width="13.140625" style="204" customWidth="1"/>
    <col min="10506" max="10506" width="5.7109375" style="204" customWidth="1"/>
    <col min="10507" max="10752" width="3.7109375" style="204"/>
    <col min="10753" max="10755" width="3" style="204" bestFit="1" customWidth="1"/>
    <col min="10756" max="10756" width="3" style="204" customWidth="1"/>
    <col min="10757" max="10757" width="18.85546875" style="204" bestFit="1" customWidth="1"/>
    <col min="10758" max="10758" width="12.7109375" style="204" customWidth="1"/>
    <col min="10759" max="10759" width="12.140625" style="204" customWidth="1"/>
    <col min="10760" max="10760" width="13.85546875" style="204" customWidth="1"/>
    <col min="10761" max="10761" width="13.140625" style="204" customWidth="1"/>
    <col min="10762" max="10762" width="5.7109375" style="204" customWidth="1"/>
    <col min="10763" max="11008" width="3.7109375" style="204"/>
    <col min="11009" max="11011" width="3" style="204" bestFit="1" customWidth="1"/>
    <col min="11012" max="11012" width="3" style="204" customWidth="1"/>
    <col min="11013" max="11013" width="18.85546875" style="204" bestFit="1" customWidth="1"/>
    <col min="11014" max="11014" width="12.7109375" style="204" customWidth="1"/>
    <col min="11015" max="11015" width="12.140625" style="204" customWidth="1"/>
    <col min="11016" max="11016" width="13.85546875" style="204" customWidth="1"/>
    <col min="11017" max="11017" width="13.140625" style="204" customWidth="1"/>
    <col min="11018" max="11018" width="5.7109375" style="204" customWidth="1"/>
    <col min="11019" max="11264" width="3.7109375" style="204"/>
    <col min="11265" max="11267" width="3" style="204" bestFit="1" customWidth="1"/>
    <col min="11268" max="11268" width="3" style="204" customWidth="1"/>
    <col min="11269" max="11269" width="18.85546875" style="204" bestFit="1" customWidth="1"/>
    <col min="11270" max="11270" width="12.7109375" style="204" customWidth="1"/>
    <col min="11271" max="11271" width="12.140625" style="204" customWidth="1"/>
    <col min="11272" max="11272" width="13.85546875" style="204" customWidth="1"/>
    <col min="11273" max="11273" width="13.140625" style="204" customWidth="1"/>
    <col min="11274" max="11274" width="5.7109375" style="204" customWidth="1"/>
    <col min="11275" max="11520" width="3.7109375" style="204"/>
    <col min="11521" max="11523" width="3" style="204" bestFit="1" customWidth="1"/>
    <col min="11524" max="11524" width="3" style="204" customWidth="1"/>
    <col min="11525" max="11525" width="18.85546875" style="204" bestFit="1" customWidth="1"/>
    <col min="11526" max="11526" width="12.7109375" style="204" customWidth="1"/>
    <col min="11527" max="11527" width="12.140625" style="204" customWidth="1"/>
    <col min="11528" max="11528" width="13.85546875" style="204" customWidth="1"/>
    <col min="11529" max="11529" width="13.140625" style="204" customWidth="1"/>
    <col min="11530" max="11530" width="5.7109375" style="204" customWidth="1"/>
    <col min="11531" max="11776" width="3.7109375" style="204"/>
    <col min="11777" max="11779" width="3" style="204" bestFit="1" customWidth="1"/>
    <col min="11780" max="11780" width="3" style="204" customWidth="1"/>
    <col min="11781" max="11781" width="18.85546875" style="204" bestFit="1" customWidth="1"/>
    <col min="11782" max="11782" width="12.7109375" style="204" customWidth="1"/>
    <col min="11783" max="11783" width="12.140625" style="204" customWidth="1"/>
    <col min="11784" max="11784" width="13.85546875" style="204" customWidth="1"/>
    <col min="11785" max="11785" width="13.140625" style="204" customWidth="1"/>
    <col min="11786" max="11786" width="5.7109375" style="204" customWidth="1"/>
    <col min="11787" max="12032" width="3.7109375" style="204"/>
    <col min="12033" max="12035" width="3" style="204" bestFit="1" customWidth="1"/>
    <col min="12036" max="12036" width="3" style="204" customWidth="1"/>
    <col min="12037" max="12037" width="18.85546875" style="204" bestFit="1" customWidth="1"/>
    <col min="12038" max="12038" width="12.7109375" style="204" customWidth="1"/>
    <col min="12039" max="12039" width="12.140625" style="204" customWidth="1"/>
    <col min="12040" max="12040" width="13.85546875" style="204" customWidth="1"/>
    <col min="12041" max="12041" width="13.140625" style="204" customWidth="1"/>
    <col min="12042" max="12042" width="5.7109375" style="204" customWidth="1"/>
    <col min="12043" max="12288" width="3.7109375" style="204"/>
    <col min="12289" max="12291" width="3" style="204" bestFit="1" customWidth="1"/>
    <col min="12292" max="12292" width="3" style="204" customWidth="1"/>
    <col min="12293" max="12293" width="18.85546875" style="204" bestFit="1" customWidth="1"/>
    <col min="12294" max="12294" width="12.7109375" style="204" customWidth="1"/>
    <col min="12295" max="12295" width="12.140625" style="204" customWidth="1"/>
    <col min="12296" max="12296" width="13.85546875" style="204" customWidth="1"/>
    <col min="12297" max="12297" width="13.140625" style="204" customWidth="1"/>
    <col min="12298" max="12298" width="5.7109375" style="204" customWidth="1"/>
    <col min="12299" max="12544" width="3.7109375" style="204"/>
    <col min="12545" max="12547" width="3" style="204" bestFit="1" customWidth="1"/>
    <col min="12548" max="12548" width="3" style="204" customWidth="1"/>
    <col min="12549" max="12549" width="18.85546875" style="204" bestFit="1" customWidth="1"/>
    <col min="12550" max="12550" width="12.7109375" style="204" customWidth="1"/>
    <col min="12551" max="12551" width="12.140625" style="204" customWidth="1"/>
    <col min="12552" max="12552" width="13.85546875" style="204" customWidth="1"/>
    <col min="12553" max="12553" width="13.140625" style="204" customWidth="1"/>
    <col min="12554" max="12554" width="5.7109375" style="204" customWidth="1"/>
    <col min="12555" max="12800" width="3.7109375" style="204"/>
    <col min="12801" max="12803" width="3" style="204" bestFit="1" customWidth="1"/>
    <col min="12804" max="12804" width="3" style="204" customWidth="1"/>
    <col min="12805" max="12805" width="18.85546875" style="204" bestFit="1" customWidth="1"/>
    <col min="12806" max="12806" width="12.7109375" style="204" customWidth="1"/>
    <col min="12807" max="12807" width="12.140625" style="204" customWidth="1"/>
    <col min="12808" max="12808" width="13.85546875" style="204" customWidth="1"/>
    <col min="12809" max="12809" width="13.140625" style="204" customWidth="1"/>
    <col min="12810" max="12810" width="5.7109375" style="204" customWidth="1"/>
    <col min="12811" max="13056" width="3.7109375" style="204"/>
    <col min="13057" max="13059" width="3" style="204" bestFit="1" customWidth="1"/>
    <col min="13060" max="13060" width="3" style="204" customWidth="1"/>
    <col min="13061" max="13061" width="18.85546875" style="204" bestFit="1" customWidth="1"/>
    <col min="13062" max="13062" width="12.7109375" style="204" customWidth="1"/>
    <col min="13063" max="13063" width="12.140625" style="204" customWidth="1"/>
    <col min="13064" max="13064" width="13.85546875" style="204" customWidth="1"/>
    <col min="13065" max="13065" width="13.140625" style="204" customWidth="1"/>
    <col min="13066" max="13066" width="5.7109375" style="204" customWidth="1"/>
    <col min="13067" max="13312" width="3.7109375" style="204"/>
    <col min="13313" max="13315" width="3" style="204" bestFit="1" customWidth="1"/>
    <col min="13316" max="13316" width="3" style="204" customWidth="1"/>
    <col min="13317" max="13317" width="18.85546875" style="204" bestFit="1" customWidth="1"/>
    <col min="13318" max="13318" width="12.7109375" style="204" customWidth="1"/>
    <col min="13319" max="13319" width="12.140625" style="204" customWidth="1"/>
    <col min="13320" max="13320" width="13.85546875" style="204" customWidth="1"/>
    <col min="13321" max="13321" width="13.140625" style="204" customWidth="1"/>
    <col min="13322" max="13322" width="5.7109375" style="204" customWidth="1"/>
    <col min="13323" max="13568" width="3.7109375" style="204"/>
    <col min="13569" max="13571" width="3" style="204" bestFit="1" customWidth="1"/>
    <col min="13572" max="13572" width="3" style="204" customWidth="1"/>
    <col min="13573" max="13573" width="18.85546875" style="204" bestFit="1" customWidth="1"/>
    <col min="13574" max="13574" width="12.7109375" style="204" customWidth="1"/>
    <col min="13575" max="13575" width="12.140625" style="204" customWidth="1"/>
    <col min="13576" max="13576" width="13.85546875" style="204" customWidth="1"/>
    <col min="13577" max="13577" width="13.140625" style="204" customWidth="1"/>
    <col min="13578" max="13578" width="5.7109375" style="204" customWidth="1"/>
    <col min="13579" max="13824" width="3.7109375" style="204"/>
    <col min="13825" max="13827" width="3" style="204" bestFit="1" customWidth="1"/>
    <col min="13828" max="13828" width="3" style="204" customWidth="1"/>
    <col min="13829" max="13829" width="18.85546875" style="204" bestFit="1" customWidth="1"/>
    <col min="13830" max="13830" width="12.7109375" style="204" customWidth="1"/>
    <col min="13831" max="13831" width="12.140625" style="204" customWidth="1"/>
    <col min="13832" max="13832" width="13.85546875" style="204" customWidth="1"/>
    <col min="13833" max="13833" width="13.140625" style="204" customWidth="1"/>
    <col min="13834" max="13834" width="5.7109375" style="204" customWidth="1"/>
    <col min="13835" max="14080" width="3.7109375" style="204"/>
    <col min="14081" max="14083" width="3" style="204" bestFit="1" customWidth="1"/>
    <col min="14084" max="14084" width="3" style="204" customWidth="1"/>
    <col min="14085" max="14085" width="18.85546875" style="204" bestFit="1" customWidth="1"/>
    <col min="14086" max="14086" width="12.7109375" style="204" customWidth="1"/>
    <col min="14087" max="14087" width="12.140625" style="204" customWidth="1"/>
    <col min="14088" max="14088" width="13.85546875" style="204" customWidth="1"/>
    <col min="14089" max="14089" width="13.140625" style="204" customWidth="1"/>
    <col min="14090" max="14090" width="5.7109375" style="204" customWidth="1"/>
    <col min="14091" max="14336" width="3.7109375" style="204"/>
    <col min="14337" max="14339" width="3" style="204" bestFit="1" customWidth="1"/>
    <col min="14340" max="14340" width="3" style="204" customWidth="1"/>
    <col min="14341" max="14341" width="18.85546875" style="204" bestFit="1" customWidth="1"/>
    <col min="14342" max="14342" width="12.7109375" style="204" customWidth="1"/>
    <col min="14343" max="14343" width="12.140625" style="204" customWidth="1"/>
    <col min="14344" max="14344" width="13.85546875" style="204" customWidth="1"/>
    <col min="14345" max="14345" width="13.140625" style="204" customWidth="1"/>
    <col min="14346" max="14346" width="5.7109375" style="204" customWidth="1"/>
    <col min="14347" max="14592" width="3.7109375" style="204"/>
    <col min="14593" max="14595" width="3" style="204" bestFit="1" customWidth="1"/>
    <col min="14596" max="14596" width="3" style="204" customWidth="1"/>
    <col min="14597" max="14597" width="18.85546875" style="204" bestFit="1" customWidth="1"/>
    <col min="14598" max="14598" width="12.7109375" style="204" customWidth="1"/>
    <col min="14599" max="14599" width="12.140625" style="204" customWidth="1"/>
    <col min="14600" max="14600" width="13.85546875" style="204" customWidth="1"/>
    <col min="14601" max="14601" width="13.140625" style="204" customWidth="1"/>
    <col min="14602" max="14602" width="5.7109375" style="204" customWidth="1"/>
    <col min="14603" max="14848" width="3.7109375" style="204"/>
    <col min="14849" max="14851" width="3" style="204" bestFit="1" customWidth="1"/>
    <col min="14852" max="14852" width="3" style="204" customWidth="1"/>
    <col min="14853" max="14853" width="18.85546875" style="204" bestFit="1" customWidth="1"/>
    <col min="14854" max="14854" width="12.7109375" style="204" customWidth="1"/>
    <col min="14855" max="14855" width="12.140625" style="204" customWidth="1"/>
    <col min="14856" max="14856" width="13.85546875" style="204" customWidth="1"/>
    <col min="14857" max="14857" width="13.140625" style="204" customWidth="1"/>
    <col min="14858" max="14858" width="5.7109375" style="204" customWidth="1"/>
    <col min="14859" max="15104" width="3.7109375" style="204"/>
    <col min="15105" max="15107" width="3" style="204" bestFit="1" customWidth="1"/>
    <col min="15108" max="15108" width="3" style="204" customWidth="1"/>
    <col min="15109" max="15109" width="18.85546875" style="204" bestFit="1" customWidth="1"/>
    <col min="15110" max="15110" width="12.7109375" style="204" customWidth="1"/>
    <col min="15111" max="15111" width="12.140625" style="204" customWidth="1"/>
    <col min="15112" max="15112" width="13.85546875" style="204" customWidth="1"/>
    <col min="15113" max="15113" width="13.140625" style="204" customWidth="1"/>
    <col min="15114" max="15114" width="5.7109375" style="204" customWidth="1"/>
    <col min="15115" max="15360" width="3.7109375" style="204"/>
    <col min="15361" max="15363" width="3" style="204" bestFit="1" customWidth="1"/>
    <col min="15364" max="15364" width="3" style="204" customWidth="1"/>
    <col min="15365" max="15365" width="18.85546875" style="204" bestFit="1" customWidth="1"/>
    <col min="15366" max="15366" width="12.7109375" style="204" customWidth="1"/>
    <col min="15367" max="15367" width="12.140625" style="204" customWidth="1"/>
    <col min="15368" max="15368" width="13.85546875" style="204" customWidth="1"/>
    <col min="15369" max="15369" width="13.140625" style="204" customWidth="1"/>
    <col min="15370" max="15370" width="5.7109375" style="204" customWidth="1"/>
    <col min="15371" max="15616" width="3.7109375" style="204"/>
    <col min="15617" max="15619" width="3" style="204" bestFit="1" customWidth="1"/>
    <col min="15620" max="15620" width="3" style="204" customWidth="1"/>
    <col min="15621" max="15621" width="18.85546875" style="204" bestFit="1" customWidth="1"/>
    <col min="15622" max="15622" width="12.7109375" style="204" customWidth="1"/>
    <col min="15623" max="15623" width="12.140625" style="204" customWidth="1"/>
    <col min="15624" max="15624" width="13.85546875" style="204" customWidth="1"/>
    <col min="15625" max="15625" width="13.140625" style="204" customWidth="1"/>
    <col min="15626" max="15626" width="5.7109375" style="204" customWidth="1"/>
    <col min="15627" max="15872" width="3.7109375" style="204"/>
    <col min="15873" max="15875" width="3" style="204" bestFit="1" customWidth="1"/>
    <col min="15876" max="15876" width="3" style="204" customWidth="1"/>
    <col min="15877" max="15877" width="18.85546875" style="204" bestFit="1" customWidth="1"/>
    <col min="15878" max="15878" width="12.7109375" style="204" customWidth="1"/>
    <col min="15879" max="15879" width="12.140625" style="204" customWidth="1"/>
    <col min="15880" max="15880" width="13.85546875" style="204" customWidth="1"/>
    <col min="15881" max="15881" width="13.140625" style="204" customWidth="1"/>
    <col min="15882" max="15882" width="5.7109375" style="204" customWidth="1"/>
    <col min="15883" max="16128" width="3.7109375" style="204"/>
    <col min="16129" max="16131" width="3" style="204" bestFit="1" customWidth="1"/>
    <col min="16132" max="16132" width="3" style="204" customWidth="1"/>
    <col min="16133" max="16133" width="18.85546875" style="204" bestFit="1" customWidth="1"/>
    <col min="16134" max="16134" width="12.7109375" style="204" customWidth="1"/>
    <col min="16135" max="16135" width="12.140625" style="204" customWidth="1"/>
    <col min="16136" max="16136" width="13.85546875" style="204" customWidth="1"/>
    <col min="16137" max="16137" width="13.140625" style="204" customWidth="1"/>
    <col min="16138" max="16138" width="5.7109375" style="204" customWidth="1"/>
    <col min="16139" max="16384" width="3.7109375" style="204"/>
  </cols>
  <sheetData>
    <row r="1" spans="1:9">
      <c r="A1" s="200"/>
      <c r="B1" s="201"/>
      <c r="C1" s="201"/>
      <c r="D1" s="201"/>
      <c r="E1" s="201"/>
      <c r="F1" s="202"/>
      <c r="G1" s="203"/>
      <c r="H1" s="203"/>
      <c r="I1" s="203"/>
    </row>
    <row r="2" spans="1:9" ht="41.25" customHeight="1">
      <c r="A2" s="2406" t="s">
        <v>1016</v>
      </c>
      <c r="B2" s="2406"/>
      <c r="C2" s="2406"/>
      <c r="D2" s="2406"/>
      <c r="E2" s="2406"/>
      <c r="F2" s="2406"/>
      <c r="G2" s="2406"/>
      <c r="H2" s="2406"/>
      <c r="I2" s="2406"/>
    </row>
    <row r="3" spans="1:9" ht="27">
      <c r="A3" s="2407" t="s">
        <v>41</v>
      </c>
      <c r="B3" s="2409" t="s">
        <v>67</v>
      </c>
      <c r="C3" s="2409" t="s">
        <v>774</v>
      </c>
      <c r="D3" s="2409" t="s">
        <v>775</v>
      </c>
      <c r="E3" s="2411" t="s">
        <v>776</v>
      </c>
      <c r="F3" s="754" t="s">
        <v>871</v>
      </c>
      <c r="G3" s="755" t="s">
        <v>1010</v>
      </c>
      <c r="H3" s="756" t="s">
        <v>1014</v>
      </c>
      <c r="I3" s="757" t="s">
        <v>1015</v>
      </c>
    </row>
    <row r="4" spans="1:9">
      <c r="A4" s="2408"/>
      <c r="B4" s="2410"/>
      <c r="C4" s="2410"/>
      <c r="D4" s="2410"/>
      <c r="E4" s="2412"/>
      <c r="F4" s="2413" t="s">
        <v>4</v>
      </c>
      <c r="G4" s="2414"/>
      <c r="H4" s="2415"/>
      <c r="I4" s="758" t="s">
        <v>72</v>
      </c>
    </row>
    <row r="5" spans="1:9">
      <c r="A5" s="719" t="s">
        <v>887</v>
      </c>
      <c r="B5" s="720" t="s">
        <v>888</v>
      </c>
      <c r="C5" s="720" t="s">
        <v>889</v>
      </c>
      <c r="D5" s="720" t="s">
        <v>890</v>
      </c>
      <c r="E5" s="721" t="s">
        <v>891</v>
      </c>
      <c r="F5" s="735" t="s">
        <v>892</v>
      </c>
      <c r="G5" s="722" t="s">
        <v>893</v>
      </c>
      <c r="H5" s="743" t="s">
        <v>894</v>
      </c>
      <c r="I5" s="750" t="s">
        <v>932</v>
      </c>
    </row>
    <row r="6" spans="1:9" s="203" customFormat="1" ht="15" customHeight="1">
      <c r="A6" s="717" t="s">
        <v>6</v>
      </c>
      <c r="B6" s="718" t="s">
        <v>128</v>
      </c>
      <c r="C6" s="718" t="s">
        <v>128</v>
      </c>
      <c r="D6" s="718" t="s">
        <v>352</v>
      </c>
      <c r="E6" s="729" t="s">
        <v>778</v>
      </c>
      <c r="F6" s="736">
        <v>5174070</v>
      </c>
      <c r="G6" s="723">
        <v>4521209</v>
      </c>
      <c r="H6" s="744">
        <v>4521209</v>
      </c>
      <c r="I6" s="751">
        <f t="shared" ref="I6:I18" si="0">H6/F6*100</f>
        <v>87.382060930756637</v>
      </c>
    </row>
    <row r="7" spans="1:9" s="203" customFormat="1" ht="15" customHeight="1">
      <c r="A7" s="710" t="s">
        <v>6</v>
      </c>
      <c r="B7" s="711" t="s">
        <v>8</v>
      </c>
      <c r="C7" s="711" t="s">
        <v>127</v>
      </c>
      <c r="D7" s="711" t="s">
        <v>351</v>
      </c>
      <c r="E7" s="730" t="s">
        <v>779</v>
      </c>
      <c r="F7" s="737">
        <v>995817</v>
      </c>
      <c r="G7" s="724">
        <v>1116428</v>
      </c>
      <c r="H7" s="745">
        <v>1116428.0000000002</v>
      </c>
      <c r="I7" s="739">
        <f t="shared" si="0"/>
        <v>112.11176350674876</v>
      </c>
    </row>
    <row r="8" spans="1:9" s="203" customFormat="1" ht="15" customHeight="1">
      <c r="A8" s="710" t="s">
        <v>6</v>
      </c>
      <c r="B8" s="711" t="s">
        <v>131</v>
      </c>
      <c r="C8" s="711" t="s">
        <v>129</v>
      </c>
      <c r="D8" s="711" t="s">
        <v>352</v>
      </c>
      <c r="E8" s="730" t="s">
        <v>780</v>
      </c>
      <c r="F8" s="737">
        <v>422802</v>
      </c>
      <c r="G8" s="724">
        <v>626710</v>
      </c>
      <c r="H8" s="745">
        <v>626710</v>
      </c>
      <c r="I8" s="739">
        <f t="shared" si="0"/>
        <v>148.22777564912181</v>
      </c>
    </row>
    <row r="9" spans="1:9" s="203" customFormat="1" ht="15" customHeight="1">
      <c r="A9" s="710" t="s">
        <v>6</v>
      </c>
      <c r="B9" s="711" t="s">
        <v>132</v>
      </c>
      <c r="C9" s="711" t="s">
        <v>6</v>
      </c>
      <c r="D9" s="711" t="s">
        <v>352</v>
      </c>
      <c r="E9" s="730" t="s">
        <v>781</v>
      </c>
      <c r="F9" s="738">
        <v>3001525</v>
      </c>
      <c r="G9" s="725">
        <v>3278601</v>
      </c>
      <c r="H9" s="746">
        <v>3278601</v>
      </c>
      <c r="I9" s="739">
        <f t="shared" si="0"/>
        <v>109.23117415313881</v>
      </c>
    </row>
    <row r="10" spans="1:9" s="203" customFormat="1" ht="15" customHeight="1">
      <c r="A10" s="710" t="s">
        <v>6</v>
      </c>
      <c r="B10" s="711" t="s">
        <v>132</v>
      </c>
      <c r="C10" s="711" t="s">
        <v>128</v>
      </c>
      <c r="D10" s="711" t="s">
        <v>352</v>
      </c>
      <c r="E10" s="730" t="s">
        <v>782</v>
      </c>
      <c r="F10" s="738">
        <v>2429426</v>
      </c>
      <c r="G10" s="725">
        <v>2742755</v>
      </c>
      <c r="H10" s="746">
        <v>2742754.9999999995</v>
      </c>
      <c r="I10" s="739">
        <f t="shared" si="0"/>
        <v>112.89724404036178</v>
      </c>
    </row>
    <row r="11" spans="1:9" s="203" customFormat="1" ht="15" customHeight="1">
      <c r="A11" s="710" t="s">
        <v>6</v>
      </c>
      <c r="B11" s="711" t="s">
        <v>11</v>
      </c>
      <c r="C11" s="711" t="s">
        <v>128</v>
      </c>
      <c r="D11" s="711" t="s">
        <v>352</v>
      </c>
      <c r="E11" s="730" t="s">
        <v>783</v>
      </c>
      <c r="F11" s="737">
        <v>2781864</v>
      </c>
      <c r="G11" s="724">
        <v>4640869</v>
      </c>
      <c r="H11" s="745">
        <v>4640869</v>
      </c>
      <c r="I11" s="739">
        <f t="shared" si="0"/>
        <v>166.82587646268831</v>
      </c>
    </row>
    <row r="12" spans="1:9" s="203" customFormat="1" ht="15" customHeight="1">
      <c r="A12" s="710" t="s">
        <v>6</v>
      </c>
      <c r="B12" s="711" t="s">
        <v>11</v>
      </c>
      <c r="C12" s="711" t="s">
        <v>7</v>
      </c>
      <c r="D12" s="711" t="s">
        <v>353</v>
      </c>
      <c r="E12" s="730" t="s">
        <v>784</v>
      </c>
      <c r="F12" s="738">
        <v>23670647</v>
      </c>
      <c r="G12" s="725">
        <v>22413897</v>
      </c>
      <c r="H12" s="746">
        <v>22413897</v>
      </c>
      <c r="I12" s="739">
        <f t="shared" si="0"/>
        <v>94.690681670002519</v>
      </c>
    </row>
    <row r="13" spans="1:9" s="203" customFormat="1" ht="15" customHeight="1">
      <c r="A13" s="710" t="s">
        <v>6</v>
      </c>
      <c r="B13" s="711" t="s">
        <v>11</v>
      </c>
      <c r="C13" s="711" t="s">
        <v>8</v>
      </c>
      <c r="D13" s="711" t="s">
        <v>352</v>
      </c>
      <c r="E13" s="730" t="s">
        <v>785</v>
      </c>
      <c r="F13" s="737">
        <v>371254</v>
      </c>
      <c r="G13" s="724">
        <v>724181</v>
      </c>
      <c r="H13" s="745">
        <v>724181</v>
      </c>
      <c r="I13" s="739">
        <f t="shared" si="0"/>
        <v>195.06348753144746</v>
      </c>
    </row>
    <row r="14" spans="1:9" s="203" customFormat="1" ht="15" customHeight="1">
      <c r="A14" s="710" t="s">
        <v>6</v>
      </c>
      <c r="B14" s="711" t="s">
        <v>138</v>
      </c>
      <c r="C14" s="711" t="s">
        <v>7</v>
      </c>
      <c r="D14" s="711" t="s">
        <v>353</v>
      </c>
      <c r="E14" s="730" t="s">
        <v>786</v>
      </c>
      <c r="F14" s="738">
        <v>1436602</v>
      </c>
      <c r="G14" s="725">
        <v>1016842</v>
      </c>
      <c r="H14" s="746">
        <v>1016841.9999999999</v>
      </c>
      <c r="I14" s="739">
        <f t="shared" si="0"/>
        <v>70.78105139767311</v>
      </c>
    </row>
    <row r="15" spans="1:9" s="203" customFormat="1" ht="15" customHeight="1">
      <c r="A15" s="710" t="s">
        <v>6</v>
      </c>
      <c r="B15" s="711" t="s">
        <v>138</v>
      </c>
      <c r="C15" s="711" t="s">
        <v>129</v>
      </c>
      <c r="D15" s="711" t="s">
        <v>352</v>
      </c>
      <c r="E15" s="730" t="s">
        <v>787</v>
      </c>
      <c r="F15" s="738">
        <v>22577841</v>
      </c>
      <c r="G15" s="725">
        <v>25362803</v>
      </c>
      <c r="H15" s="746">
        <v>25362803</v>
      </c>
      <c r="I15" s="739">
        <f t="shared" si="0"/>
        <v>112.33493494794298</v>
      </c>
    </row>
    <row r="16" spans="1:9" s="203" customFormat="1" ht="15" customHeight="1">
      <c r="A16" s="710" t="s">
        <v>6</v>
      </c>
      <c r="B16" s="711" t="s">
        <v>138</v>
      </c>
      <c r="C16" s="711" t="s">
        <v>9</v>
      </c>
      <c r="D16" s="711" t="s">
        <v>353</v>
      </c>
      <c r="E16" s="730" t="s">
        <v>788</v>
      </c>
      <c r="F16" s="738">
        <v>2390741</v>
      </c>
      <c r="G16" s="725">
        <v>2591803</v>
      </c>
      <c r="H16" s="746">
        <v>2591803</v>
      </c>
      <c r="I16" s="739">
        <f t="shared" si="0"/>
        <v>108.41002852253759</v>
      </c>
    </row>
    <row r="17" spans="1:9" s="203" customFormat="1" ht="15" customHeight="1">
      <c r="A17" s="710" t="s">
        <v>6</v>
      </c>
      <c r="B17" s="711" t="s">
        <v>139</v>
      </c>
      <c r="C17" s="711" t="s">
        <v>128</v>
      </c>
      <c r="D17" s="711" t="s">
        <v>353</v>
      </c>
      <c r="E17" s="730" t="s">
        <v>789</v>
      </c>
      <c r="F17" s="738">
        <v>9466082</v>
      </c>
      <c r="G17" s="725">
        <v>8611504</v>
      </c>
      <c r="H17" s="746">
        <v>8611504</v>
      </c>
      <c r="I17" s="739">
        <f t="shared" si="0"/>
        <v>90.972210044240057</v>
      </c>
    </row>
    <row r="18" spans="1:9" s="203" customFormat="1" ht="15" customHeight="1">
      <c r="A18" s="710" t="s">
        <v>7</v>
      </c>
      <c r="B18" s="711" t="s">
        <v>128</v>
      </c>
      <c r="C18" s="711" t="s">
        <v>8</v>
      </c>
      <c r="D18" s="711" t="s">
        <v>352</v>
      </c>
      <c r="E18" s="730" t="s">
        <v>790</v>
      </c>
      <c r="F18" s="738">
        <v>2102020.0000000005</v>
      </c>
      <c r="G18" s="725">
        <v>2240465</v>
      </c>
      <c r="H18" s="746">
        <v>2240464.9999999995</v>
      </c>
      <c r="I18" s="739">
        <f t="shared" si="0"/>
        <v>106.58628366999359</v>
      </c>
    </row>
    <row r="19" spans="1:9" s="205" customFormat="1" ht="15" customHeight="1">
      <c r="A19" s="710" t="s">
        <v>7</v>
      </c>
      <c r="B19" s="711" t="s">
        <v>134</v>
      </c>
      <c r="C19" s="711" t="s">
        <v>8</v>
      </c>
      <c r="D19" s="711" t="s">
        <v>352</v>
      </c>
      <c r="E19" s="730" t="s">
        <v>791</v>
      </c>
      <c r="F19" s="739" t="s">
        <v>76</v>
      </c>
      <c r="G19" s="724">
        <v>118529</v>
      </c>
      <c r="H19" s="745">
        <v>118529</v>
      </c>
      <c r="I19" s="739" t="s">
        <v>76</v>
      </c>
    </row>
    <row r="20" spans="1:9" s="203" customFormat="1" ht="15" customHeight="1">
      <c r="A20" s="710" t="s">
        <v>8</v>
      </c>
      <c r="B20" s="711" t="s">
        <v>1</v>
      </c>
      <c r="C20" s="711" t="s">
        <v>127</v>
      </c>
      <c r="D20" s="711" t="s">
        <v>352</v>
      </c>
      <c r="E20" s="730" t="s">
        <v>1011</v>
      </c>
      <c r="F20" s="739" t="s">
        <v>76</v>
      </c>
      <c r="G20" s="724">
        <v>1662746</v>
      </c>
      <c r="H20" s="745">
        <v>1662746</v>
      </c>
      <c r="I20" s="739" t="s">
        <v>76</v>
      </c>
    </row>
    <row r="21" spans="1:9" s="203" customFormat="1" ht="15" customHeight="1">
      <c r="A21" s="710" t="s">
        <v>8</v>
      </c>
      <c r="B21" s="711" t="s">
        <v>1</v>
      </c>
      <c r="C21" s="711" t="s">
        <v>129</v>
      </c>
      <c r="D21" s="711" t="s">
        <v>352</v>
      </c>
      <c r="E21" s="730" t="s">
        <v>792</v>
      </c>
      <c r="F21" s="738">
        <v>1079471</v>
      </c>
      <c r="G21" s="725">
        <v>2972315</v>
      </c>
      <c r="H21" s="746">
        <v>2972315</v>
      </c>
      <c r="I21" s="739">
        <f t="shared" ref="I21:I40" si="1">H21/F21*100</f>
        <v>275.34922198002539</v>
      </c>
    </row>
    <row r="22" spans="1:9" s="205" customFormat="1" ht="15" customHeight="1">
      <c r="A22" s="710" t="s">
        <v>9</v>
      </c>
      <c r="B22" s="711" t="s">
        <v>6</v>
      </c>
      <c r="C22" s="711" t="s">
        <v>6</v>
      </c>
      <c r="D22" s="711" t="s">
        <v>352</v>
      </c>
      <c r="E22" s="730" t="s">
        <v>793</v>
      </c>
      <c r="F22" s="738">
        <v>373799</v>
      </c>
      <c r="G22" s="725">
        <v>272463</v>
      </c>
      <c r="H22" s="746">
        <v>272463</v>
      </c>
      <c r="I22" s="739">
        <f t="shared" si="1"/>
        <v>72.890243152068351</v>
      </c>
    </row>
    <row r="23" spans="1:9" s="205" customFormat="1" ht="15" customHeight="1">
      <c r="A23" s="710" t="s">
        <v>1</v>
      </c>
      <c r="B23" s="711" t="s">
        <v>127</v>
      </c>
      <c r="C23" s="711" t="s">
        <v>7</v>
      </c>
      <c r="D23" s="711" t="s">
        <v>352</v>
      </c>
      <c r="E23" s="730" t="s">
        <v>794</v>
      </c>
      <c r="F23" s="738">
        <v>50885917</v>
      </c>
      <c r="G23" s="725">
        <v>49339590</v>
      </c>
      <c r="H23" s="746">
        <v>49339590</v>
      </c>
      <c r="I23" s="739">
        <f t="shared" si="1"/>
        <v>96.961188691951833</v>
      </c>
    </row>
    <row r="24" spans="1:9" s="205" customFormat="1" ht="15" customHeight="1">
      <c r="A24" s="710" t="s">
        <v>1</v>
      </c>
      <c r="B24" s="711" t="s">
        <v>127</v>
      </c>
      <c r="C24" s="711" t="s">
        <v>130</v>
      </c>
      <c r="D24" s="711" t="s">
        <v>352</v>
      </c>
      <c r="E24" s="730" t="s">
        <v>795</v>
      </c>
      <c r="F24" s="737">
        <v>3732118</v>
      </c>
      <c r="G24" s="724">
        <v>5144619</v>
      </c>
      <c r="H24" s="745">
        <v>5144619</v>
      </c>
      <c r="I24" s="739">
        <f t="shared" si="1"/>
        <v>137.84716881942103</v>
      </c>
    </row>
    <row r="25" spans="1:9" s="205" customFormat="1" ht="15" customHeight="1">
      <c r="A25" s="710" t="s">
        <v>1</v>
      </c>
      <c r="B25" s="711" t="s">
        <v>8</v>
      </c>
      <c r="C25" s="711" t="s">
        <v>9</v>
      </c>
      <c r="D25" s="711" t="s">
        <v>352</v>
      </c>
      <c r="E25" s="730" t="s">
        <v>796</v>
      </c>
      <c r="F25" s="738">
        <v>742494.99999999988</v>
      </c>
      <c r="G25" s="725">
        <v>903762</v>
      </c>
      <c r="H25" s="746">
        <v>903762</v>
      </c>
      <c r="I25" s="739">
        <f t="shared" si="1"/>
        <v>121.71960753944472</v>
      </c>
    </row>
    <row r="26" spans="1:9" s="205" customFormat="1" ht="15" customHeight="1">
      <c r="A26" s="710" t="s">
        <v>1</v>
      </c>
      <c r="B26" s="711" t="s">
        <v>8</v>
      </c>
      <c r="C26" s="711" t="s">
        <v>1</v>
      </c>
      <c r="D26" s="711" t="s">
        <v>353</v>
      </c>
      <c r="E26" s="730" t="s">
        <v>797</v>
      </c>
      <c r="F26" s="738">
        <v>1932178.9999999995</v>
      </c>
      <c r="G26" s="725">
        <v>1937844</v>
      </c>
      <c r="H26" s="746">
        <v>1937844</v>
      </c>
      <c r="I26" s="739">
        <f t="shared" si="1"/>
        <v>100.29319229740103</v>
      </c>
    </row>
    <row r="27" spans="1:9" s="203" customFormat="1" ht="15" customHeight="1">
      <c r="A27" s="712" t="s">
        <v>1</v>
      </c>
      <c r="B27" s="713" t="s">
        <v>131</v>
      </c>
      <c r="C27" s="713" t="s">
        <v>127</v>
      </c>
      <c r="D27" s="714" t="s">
        <v>353</v>
      </c>
      <c r="E27" s="731" t="s">
        <v>798</v>
      </c>
      <c r="F27" s="740">
        <v>57880</v>
      </c>
      <c r="G27" s="728" t="s">
        <v>76</v>
      </c>
      <c r="H27" s="747" t="s">
        <v>76</v>
      </c>
      <c r="I27" s="752" t="s">
        <v>76</v>
      </c>
    </row>
    <row r="28" spans="1:9" s="203" customFormat="1" ht="15" customHeight="1">
      <c r="A28" s="710" t="s">
        <v>1</v>
      </c>
      <c r="B28" s="711" t="s">
        <v>131</v>
      </c>
      <c r="C28" s="711" t="s">
        <v>129</v>
      </c>
      <c r="D28" s="711" t="s">
        <v>352</v>
      </c>
      <c r="E28" s="730" t="s">
        <v>799</v>
      </c>
      <c r="F28" s="740">
        <v>9659640.9999999981</v>
      </c>
      <c r="G28" s="726">
        <v>9163430</v>
      </c>
      <c r="H28" s="748">
        <v>9163430.0000000019</v>
      </c>
      <c r="I28" s="739">
        <f t="shared" si="1"/>
        <v>94.863049258248864</v>
      </c>
    </row>
    <row r="29" spans="1:9" s="203" customFormat="1" ht="15" customHeight="1">
      <c r="A29" s="710" t="s">
        <v>1</v>
      </c>
      <c r="B29" s="711" t="s">
        <v>131</v>
      </c>
      <c r="C29" s="711" t="s">
        <v>9</v>
      </c>
      <c r="D29" s="711" t="s">
        <v>352</v>
      </c>
      <c r="E29" s="730" t="s">
        <v>800</v>
      </c>
      <c r="F29" s="738">
        <v>2490343.9999999995</v>
      </c>
      <c r="G29" s="725">
        <v>2654979</v>
      </c>
      <c r="H29" s="746">
        <v>2654979</v>
      </c>
      <c r="I29" s="739">
        <f t="shared" si="1"/>
        <v>106.61093407175879</v>
      </c>
    </row>
    <row r="30" spans="1:9" s="203" customFormat="1" ht="15" customHeight="1">
      <c r="A30" s="710" t="s">
        <v>1</v>
      </c>
      <c r="B30" s="711" t="s">
        <v>13</v>
      </c>
      <c r="C30" s="711" t="s">
        <v>9</v>
      </c>
      <c r="D30" s="711" t="s">
        <v>353</v>
      </c>
      <c r="E30" s="730" t="s">
        <v>801</v>
      </c>
      <c r="F30" s="738">
        <v>3412144.9999999995</v>
      </c>
      <c r="G30" s="725">
        <v>4992436</v>
      </c>
      <c r="H30" s="746">
        <v>4992436</v>
      </c>
      <c r="I30" s="739">
        <f t="shared" si="1"/>
        <v>146.31371175609479</v>
      </c>
    </row>
    <row r="31" spans="1:9" s="203" customFormat="1" ht="15" customHeight="1">
      <c r="A31" s="710" t="s">
        <v>2</v>
      </c>
      <c r="B31" s="711" t="s">
        <v>8</v>
      </c>
      <c r="C31" s="711" t="s">
        <v>134</v>
      </c>
      <c r="D31" s="711" t="s">
        <v>352</v>
      </c>
      <c r="E31" s="730" t="s">
        <v>802</v>
      </c>
      <c r="F31" s="738">
        <v>246156</v>
      </c>
      <c r="G31" s="725">
        <v>390382</v>
      </c>
      <c r="H31" s="746">
        <v>390382</v>
      </c>
      <c r="I31" s="739">
        <f t="shared" si="1"/>
        <v>158.59129982612652</v>
      </c>
    </row>
    <row r="32" spans="1:9" s="203" customFormat="1" ht="15" customHeight="1">
      <c r="A32" s="710" t="s">
        <v>10</v>
      </c>
      <c r="B32" s="711" t="s">
        <v>129</v>
      </c>
      <c r="C32" s="711" t="s">
        <v>127</v>
      </c>
      <c r="D32" s="711" t="s">
        <v>351</v>
      </c>
      <c r="E32" s="730" t="s">
        <v>803</v>
      </c>
      <c r="F32" s="738">
        <v>1094165.0000000002</v>
      </c>
      <c r="G32" s="724" t="s">
        <v>76</v>
      </c>
      <c r="H32" s="745" t="s">
        <v>76</v>
      </c>
      <c r="I32" s="739" t="s">
        <v>76</v>
      </c>
    </row>
    <row r="33" spans="1:9" s="203" customFormat="1" ht="15" customHeight="1">
      <c r="A33" s="710" t="s">
        <v>10</v>
      </c>
      <c r="B33" s="711" t="s">
        <v>129</v>
      </c>
      <c r="C33" s="711" t="s">
        <v>6</v>
      </c>
      <c r="D33" s="711" t="s">
        <v>351</v>
      </c>
      <c r="E33" s="730" t="s">
        <v>804</v>
      </c>
      <c r="F33" s="738">
        <v>1350750</v>
      </c>
      <c r="G33" s="725">
        <v>1170421</v>
      </c>
      <c r="H33" s="746">
        <v>1170421</v>
      </c>
      <c r="I33" s="739">
        <f t="shared" si="1"/>
        <v>86.649713122339449</v>
      </c>
    </row>
    <row r="34" spans="1:9" s="203" customFormat="1" ht="15" customHeight="1">
      <c r="A34" s="710" t="s">
        <v>10</v>
      </c>
      <c r="B34" s="711" t="s">
        <v>129</v>
      </c>
      <c r="C34" s="711" t="s">
        <v>7</v>
      </c>
      <c r="D34" s="711" t="s">
        <v>353</v>
      </c>
      <c r="E34" s="730" t="s">
        <v>805</v>
      </c>
      <c r="F34" s="738">
        <v>4357913.0000000009</v>
      </c>
      <c r="G34" s="725">
        <v>5952178</v>
      </c>
      <c r="H34" s="746">
        <v>5952178</v>
      </c>
      <c r="I34" s="739">
        <f t="shared" si="1"/>
        <v>136.58322229011912</v>
      </c>
    </row>
    <row r="35" spans="1:9" s="203" customFormat="1" ht="15" customHeight="1">
      <c r="A35" s="710" t="s">
        <v>10</v>
      </c>
      <c r="B35" s="711" t="s">
        <v>129</v>
      </c>
      <c r="C35" s="711" t="s">
        <v>129</v>
      </c>
      <c r="D35" s="711" t="s">
        <v>352</v>
      </c>
      <c r="E35" s="730" t="s">
        <v>806</v>
      </c>
      <c r="F35" s="738">
        <v>3980155.0000000005</v>
      </c>
      <c r="G35" s="725">
        <v>4797064</v>
      </c>
      <c r="H35" s="746">
        <v>4797064</v>
      </c>
      <c r="I35" s="739">
        <f t="shared" si="1"/>
        <v>120.52455243577197</v>
      </c>
    </row>
    <row r="36" spans="1:9" s="203" customFormat="1" ht="15" customHeight="1">
      <c r="A36" s="710" t="s">
        <v>10</v>
      </c>
      <c r="B36" s="711" t="s">
        <v>130</v>
      </c>
      <c r="C36" s="711" t="s">
        <v>129</v>
      </c>
      <c r="D36" s="711" t="s">
        <v>353</v>
      </c>
      <c r="E36" s="730" t="s">
        <v>807</v>
      </c>
      <c r="F36" s="738">
        <v>3227196</v>
      </c>
      <c r="G36" s="725">
        <v>3408070</v>
      </c>
      <c r="H36" s="746">
        <v>3408070</v>
      </c>
      <c r="I36" s="739">
        <f t="shared" si="1"/>
        <v>105.60467972816031</v>
      </c>
    </row>
    <row r="37" spans="1:9" s="203" customFormat="1" ht="15" customHeight="1">
      <c r="A37" s="710" t="s">
        <v>10</v>
      </c>
      <c r="B37" s="711" t="s">
        <v>9</v>
      </c>
      <c r="C37" s="711" t="s">
        <v>128</v>
      </c>
      <c r="D37" s="711" t="s">
        <v>352</v>
      </c>
      <c r="E37" s="730" t="s">
        <v>808</v>
      </c>
      <c r="F37" s="737">
        <v>1481619</v>
      </c>
      <c r="G37" s="724">
        <v>2359819</v>
      </c>
      <c r="H37" s="745">
        <v>2359819</v>
      </c>
      <c r="I37" s="739">
        <f t="shared" si="1"/>
        <v>159.27299798396211</v>
      </c>
    </row>
    <row r="38" spans="1:9" s="203" customFormat="1" ht="15" customHeight="1">
      <c r="A38" s="710" t="s">
        <v>10</v>
      </c>
      <c r="B38" s="711" t="s">
        <v>9</v>
      </c>
      <c r="C38" s="711" t="s">
        <v>129</v>
      </c>
      <c r="D38" s="711" t="s">
        <v>352</v>
      </c>
      <c r="E38" s="730" t="s">
        <v>809</v>
      </c>
      <c r="F38" s="737">
        <v>54283.000000000015</v>
      </c>
      <c r="G38" s="724" t="s">
        <v>76</v>
      </c>
      <c r="H38" s="745" t="s">
        <v>76</v>
      </c>
      <c r="I38" s="739" t="s">
        <v>76</v>
      </c>
    </row>
    <row r="39" spans="1:9" s="203" customFormat="1" ht="15" customHeight="1">
      <c r="A39" s="710" t="s">
        <v>10</v>
      </c>
      <c r="B39" s="711" t="s">
        <v>10</v>
      </c>
      <c r="C39" s="711" t="s">
        <v>6</v>
      </c>
      <c r="D39" s="711" t="s">
        <v>352</v>
      </c>
      <c r="E39" s="730" t="s">
        <v>810</v>
      </c>
      <c r="F39" s="737">
        <v>1013937</v>
      </c>
      <c r="G39" s="724">
        <v>838125</v>
      </c>
      <c r="H39" s="745">
        <v>838125</v>
      </c>
      <c r="I39" s="739">
        <f t="shared" si="1"/>
        <v>82.660461152911864</v>
      </c>
    </row>
    <row r="40" spans="1:9" s="203" customFormat="1" ht="15" customHeight="1">
      <c r="A40" s="710" t="s">
        <v>10</v>
      </c>
      <c r="B40" s="711" t="s">
        <v>135</v>
      </c>
      <c r="C40" s="711" t="s">
        <v>127</v>
      </c>
      <c r="D40" s="711" t="s">
        <v>351</v>
      </c>
      <c r="E40" s="730" t="s">
        <v>811</v>
      </c>
      <c r="F40" s="737">
        <v>678275</v>
      </c>
      <c r="G40" s="724">
        <v>637636</v>
      </c>
      <c r="H40" s="745">
        <v>637636</v>
      </c>
      <c r="I40" s="739">
        <f t="shared" si="1"/>
        <v>94.008477387490331</v>
      </c>
    </row>
    <row r="41" spans="1:9" s="203" customFormat="1" ht="15" customHeight="1">
      <c r="A41" s="715" t="s">
        <v>10</v>
      </c>
      <c r="B41" s="716" t="s">
        <v>135</v>
      </c>
      <c r="C41" s="716" t="s">
        <v>7</v>
      </c>
      <c r="D41" s="711" t="s">
        <v>353</v>
      </c>
      <c r="E41" s="732" t="s">
        <v>812</v>
      </c>
      <c r="F41" s="738">
        <v>10657527</v>
      </c>
      <c r="G41" s="724" t="s">
        <v>76</v>
      </c>
      <c r="H41" s="745" t="s">
        <v>76</v>
      </c>
      <c r="I41" s="753" t="s">
        <v>76</v>
      </c>
    </row>
    <row r="42" spans="1:9" s="203" customFormat="1" ht="15" customHeight="1">
      <c r="A42" s="710" t="s">
        <v>10</v>
      </c>
      <c r="B42" s="711" t="s">
        <v>135</v>
      </c>
      <c r="C42" s="711" t="s">
        <v>9</v>
      </c>
      <c r="D42" s="711" t="s">
        <v>352</v>
      </c>
      <c r="E42" s="730" t="s">
        <v>813</v>
      </c>
      <c r="F42" s="738">
        <v>2696309</v>
      </c>
      <c r="G42" s="725">
        <v>2486142</v>
      </c>
      <c r="H42" s="746">
        <v>2486142</v>
      </c>
      <c r="I42" s="739">
        <f t="shared" ref="I42:I56" si="2">H42/F42*100</f>
        <v>92.205381504864619</v>
      </c>
    </row>
    <row r="43" spans="1:9" s="203" customFormat="1" ht="15" customHeight="1">
      <c r="A43" s="710" t="s">
        <v>10</v>
      </c>
      <c r="B43" s="711" t="s">
        <v>12</v>
      </c>
      <c r="C43" s="711" t="s">
        <v>6</v>
      </c>
      <c r="D43" s="711" t="s">
        <v>353</v>
      </c>
      <c r="E43" s="730" t="s">
        <v>814</v>
      </c>
      <c r="F43" s="738">
        <v>9624751</v>
      </c>
      <c r="G43" s="725">
        <v>9989057</v>
      </c>
      <c r="H43" s="746">
        <v>9989057</v>
      </c>
      <c r="I43" s="739">
        <f t="shared" si="2"/>
        <v>103.78509532350499</v>
      </c>
    </row>
    <row r="44" spans="1:9" s="203" customFormat="1" ht="15" customHeight="1">
      <c r="A44" s="710" t="s">
        <v>10</v>
      </c>
      <c r="B44" s="711" t="s">
        <v>12</v>
      </c>
      <c r="C44" s="711" t="s">
        <v>128</v>
      </c>
      <c r="D44" s="711" t="s">
        <v>352</v>
      </c>
      <c r="E44" s="730" t="s">
        <v>815</v>
      </c>
      <c r="F44" s="738">
        <v>9459843</v>
      </c>
      <c r="G44" s="725">
        <v>10510658</v>
      </c>
      <c r="H44" s="746">
        <v>10510658</v>
      </c>
      <c r="I44" s="739">
        <f t="shared" si="2"/>
        <v>111.10816532578818</v>
      </c>
    </row>
    <row r="45" spans="1:9" s="203" customFormat="1" ht="15" customHeight="1">
      <c r="A45" s="710" t="s">
        <v>10</v>
      </c>
      <c r="B45" s="711" t="s">
        <v>12</v>
      </c>
      <c r="C45" s="711" t="s">
        <v>7</v>
      </c>
      <c r="D45" s="711" t="s">
        <v>353</v>
      </c>
      <c r="E45" s="730" t="s">
        <v>816</v>
      </c>
      <c r="F45" s="740">
        <v>7334984</v>
      </c>
      <c r="G45" s="726">
        <v>8083175</v>
      </c>
      <c r="H45" s="748">
        <v>8083175</v>
      </c>
      <c r="I45" s="739">
        <f t="shared" si="2"/>
        <v>110.20030854873031</v>
      </c>
    </row>
    <row r="46" spans="1:9" s="203" customFormat="1" ht="15" customHeight="1">
      <c r="A46" s="710" t="s">
        <v>10</v>
      </c>
      <c r="B46" s="711" t="s">
        <v>136</v>
      </c>
      <c r="C46" s="711" t="s">
        <v>2</v>
      </c>
      <c r="D46" s="711" t="s">
        <v>352</v>
      </c>
      <c r="E46" s="730" t="s">
        <v>817</v>
      </c>
      <c r="F46" s="740">
        <v>2341016</v>
      </c>
      <c r="G46" s="726">
        <v>2441634</v>
      </c>
      <c r="H46" s="748">
        <v>2441634</v>
      </c>
      <c r="I46" s="739">
        <f t="shared" si="2"/>
        <v>104.29804836874246</v>
      </c>
    </row>
    <row r="47" spans="1:9" s="203" customFormat="1" ht="15" customHeight="1">
      <c r="A47" s="710" t="s">
        <v>10</v>
      </c>
      <c r="B47" s="711" t="s">
        <v>137</v>
      </c>
      <c r="C47" s="711" t="s">
        <v>128</v>
      </c>
      <c r="D47" s="711" t="s">
        <v>353</v>
      </c>
      <c r="E47" s="730" t="s">
        <v>818</v>
      </c>
      <c r="F47" s="740">
        <v>696195</v>
      </c>
      <c r="G47" s="726">
        <v>1882657</v>
      </c>
      <c r="H47" s="748">
        <v>1882657</v>
      </c>
      <c r="I47" s="739">
        <f t="shared" si="2"/>
        <v>270.42093091734353</v>
      </c>
    </row>
    <row r="48" spans="1:9" s="203" customFormat="1" ht="15" customHeight="1">
      <c r="A48" s="710" t="s">
        <v>10</v>
      </c>
      <c r="B48" s="711" t="s">
        <v>137</v>
      </c>
      <c r="C48" s="711" t="s">
        <v>7</v>
      </c>
      <c r="D48" s="711" t="s">
        <v>352</v>
      </c>
      <c r="E48" s="730" t="s">
        <v>819</v>
      </c>
      <c r="F48" s="740">
        <v>7711648</v>
      </c>
      <c r="G48" s="726">
        <v>8140799</v>
      </c>
      <c r="H48" s="748">
        <v>8140799</v>
      </c>
      <c r="I48" s="739">
        <f t="shared" si="2"/>
        <v>105.56497132649207</v>
      </c>
    </row>
    <row r="49" spans="1:9" s="203" customFormat="1" ht="15" customHeight="1">
      <c r="A49" s="710" t="s">
        <v>10</v>
      </c>
      <c r="B49" s="711" t="s">
        <v>137</v>
      </c>
      <c r="C49" s="711" t="s">
        <v>129</v>
      </c>
      <c r="D49" s="711" t="s">
        <v>352</v>
      </c>
      <c r="E49" s="730" t="s">
        <v>820</v>
      </c>
      <c r="F49" s="738">
        <v>10133330</v>
      </c>
      <c r="G49" s="725">
        <v>10953477</v>
      </c>
      <c r="H49" s="746">
        <v>10953477</v>
      </c>
      <c r="I49" s="739">
        <f t="shared" si="2"/>
        <v>108.09355858340743</v>
      </c>
    </row>
    <row r="50" spans="1:9" s="203" customFormat="1" ht="15" customHeight="1">
      <c r="A50" s="710" t="s">
        <v>10</v>
      </c>
      <c r="B50" s="711" t="s">
        <v>137</v>
      </c>
      <c r="C50" s="711" t="s">
        <v>8</v>
      </c>
      <c r="D50" s="711" t="s">
        <v>352</v>
      </c>
      <c r="E50" s="730" t="s">
        <v>821</v>
      </c>
      <c r="F50" s="738">
        <v>2139308</v>
      </c>
      <c r="G50" s="725">
        <v>2572292</v>
      </c>
      <c r="H50" s="746">
        <v>2572292</v>
      </c>
      <c r="I50" s="739">
        <f t="shared" si="2"/>
        <v>120.23944191299243</v>
      </c>
    </row>
    <row r="51" spans="1:9" s="203" customFormat="1" ht="15" customHeight="1">
      <c r="A51" s="710" t="s">
        <v>10</v>
      </c>
      <c r="B51" s="711" t="s">
        <v>19</v>
      </c>
      <c r="C51" s="711" t="s">
        <v>127</v>
      </c>
      <c r="D51" s="711" t="s">
        <v>353</v>
      </c>
      <c r="E51" s="730" t="s">
        <v>822</v>
      </c>
      <c r="F51" s="738">
        <v>2439464</v>
      </c>
      <c r="G51" s="725">
        <v>2674146</v>
      </c>
      <c r="H51" s="746">
        <v>2674146</v>
      </c>
      <c r="I51" s="739">
        <f t="shared" si="2"/>
        <v>109.62022805009626</v>
      </c>
    </row>
    <row r="52" spans="1:9" s="203" customFormat="1" ht="15" customHeight="1">
      <c r="A52" s="710" t="s">
        <v>10</v>
      </c>
      <c r="B52" s="711" t="s">
        <v>19</v>
      </c>
      <c r="C52" s="711" t="s">
        <v>6</v>
      </c>
      <c r="D52" s="711" t="s">
        <v>352</v>
      </c>
      <c r="E52" s="730" t="s">
        <v>823</v>
      </c>
      <c r="F52" s="738">
        <v>2522347.9999999995</v>
      </c>
      <c r="G52" s="725">
        <v>2643449</v>
      </c>
      <c r="H52" s="746">
        <v>2643448.9999999995</v>
      </c>
      <c r="I52" s="739">
        <f t="shared" si="2"/>
        <v>104.80112181189907</v>
      </c>
    </row>
    <row r="53" spans="1:9" s="203" customFormat="1" ht="15" customHeight="1">
      <c r="A53" s="710" t="s">
        <v>10</v>
      </c>
      <c r="B53" s="711" t="s">
        <v>19</v>
      </c>
      <c r="C53" s="711" t="s">
        <v>128</v>
      </c>
      <c r="D53" s="711" t="s">
        <v>352</v>
      </c>
      <c r="E53" s="730" t="s">
        <v>824</v>
      </c>
      <c r="F53" s="738">
        <v>2965248</v>
      </c>
      <c r="G53" s="725">
        <v>3021285</v>
      </c>
      <c r="H53" s="746">
        <v>3021285</v>
      </c>
      <c r="I53" s="739">
        <f t="shared" si="2"/>
        <v>101.88979134291634</v>
      </c>
    </row>
    <row r="54" spans="1:9" s="203" customFormat="1" ht="15" customHeight="1">
      <c r="A54" s="710" t="s">
        <v>10</v>
      </c>
      <c r="B54" s="711" t="s">
        <v>19</v>
      </c>
      <c r="C54" s="711" t="s">
        <v>129</v>
      </c>
      <c r="D54" s="711" t="s">
        <v>353</v>
      </c>
      <c r="E54" s="730" t="s">
        <v>825</v>
      </c>
      <c r="F54" s="738">
        <v>4220363</v>
      </c>
      <c r="G54" s="725">
        <v>4206345</v>
      </c>
      <c r="H54" s="746">
        <v>4206345</v>
      </c>
      <c r="I54" s="739">
        <f t="shared" si="2"/>
        <v>99.667848476540996</v>
      </c>
    </row>
    <row r="55" spans="1:9" s="203" customFormat="1" ht="15" customHeight="1">
      <c r="A55" s="710" t="s">
        <v>10</v>
      </c>
      <c r="B55" s="711" t="s">
        <v>19</v>
      </c>
      <c r="C55" s="711" t="s">
        <v>8</v>
      </c>
      <c r="D55" s="711" t="s">
        <v>353</v>
      </c>
      <c r="E55" s="730" t="s">
        <v>826</v>
      </c>
      <c r="F55" s="738">
        <v>7434077</v>
      </c>
      <c r="G55" s="725">
        <v>7950890</v>
      </c>
      <c r="H55" s="746">
        <v>7950890</v>
      </c>
      <c r="I55" s="739">
        <f t="shared" si="2"/>
        <v>106.95194574928402</v>
      </c>
    </row>
    <row r="56" spans="1:9" s="203" customFormat="1" ht="15" customHeight="1">
      <c r="A56" s="710" t="s">
        <v>10</v>
      </c>
      <c r="B56" s="711" t="s">
        <v>19</v>
      </c>
      <c r="C56" s="711" t="s">
        <v>130</v>
      </c>
      <c r="D56" s="711" t="s">
        <v>352</v>
      </c>
      <c r="E56" s="730" t="s">
        <v>827</v>
      </c>
      <c r="F56" s="737">
        <v>4589928</v>
      </c>
      <c r="G56" s="724">
        <v>5102428</v>
      </c>
      <c r="H56" s="745">
        <v>5102428</v>
      </c>
      <c r="I56" s="739">
        <f t="shared" si="2"/>
        <v>111.1657524911066</v>
      </c>
    </row>
    <row r="57" spans="1:9" s="203" customFormat="1" ht="15" customHeight="1">
      <c r="A57" s="710" t="s">
        <v>11</v>
      </c>
      <c r="B57" s="711" t="s">
        <v>127</v>
      </c>
      <c r="C57" s="711" t="s">
        <v>6</v>
      </c>
      <c r="D57" s="711" t="s">
        <v>352</v>
      </c>
      <c r="E57" s="730" t="s">
        <v>828</v>
      </c>
      <c r="F57" s="738">
        <v>115133</v>
      </c>
      <c r="G57" s="725">
        <v>104422</v>
      </c>
      <c r="H57" s="746">
        <v>104422</v>
      </c>
      <c r="I57" s="739">
        <f>H57/F57*100</f>
        <v>90.696846256069065</v>
      </c>
    </row>
    <row r="58" spans="1:9" s="203" customFormat="1" ht="15" customHeight="1">
      <c r="A58" s="710" t="s">
        <v>11</v>
      </c>
      <c r="B58" s="711" t="s">
        <v>129</v>
      </c>
      <c r="C58" s="711" t="s">
        <v>127</v>
      </c>
      <c r="D58" s="711" t="s">
        <v>353</v>
      </c>
      <c r="E58" s="730" t="s">
        <v>829</v>
      </c>
      <c r="F58" s="738">
        <v>741081</v>
      </c>
      <c r="G58" s="725">
        <v>8256</v>
      </c>
      <c r="H58" s="746">
        <v>8256</v>
      </c>
      <c r="I58" s="739">
        <f t="shared" ref="I58:I102" si="3">H58/F58*100</f>
        <v>1.114048261930882</v>
      </c>
    </row>
    <row r="59" spans="1:9" s="203" customFormat="1" ht="15" customHeight="1">
      <c r="A59" s="710" t="s">
        <v>12</v>
      </c>
      <c r="B59" s="711" t="s">
        <v>127</v>
      </c>
      <c r="C59" s="711" t="s">
        <v>129</v>
      </c>
      <c r="D59" s="711" t="s">
        <v>352</v>
      </c>
      <c r="E59" s="733" t="s">
        <v>830</v>
      </c>
      <c r="F59" s="738">
        <v>118429.00000000001</v>
      </c>
      <c r="G59" s="724" t="s">
        <v>76</v>
      </c>
      <c r="H59" s="745" t="s">
        <v>76</v>
      </c>
      <c r="I59" s="739" t="s">
        <v>76</v>
      </c>
    </row>
    <row r="60" spans="1:9" s="203" customFormat="1" ht="15" customHeight="1">
      <c r="A60" s="710" t="s">
        <v>12</v>
      </c>
      <c r="B60" s="711" t="s">
        <v>137</v>
      </c>
      <c r="C60" s="711" t="s">
        <v>129</v>
      </c>
      <c r="D60" s="711" t="s">
        <v>352</v>
      </c>
      <c r="E60" s="730" t="s">
        <v>831</v>
      </c>
      <c r="F60" s="738">
        <v>236138</v>
      </c>
      <c r="G60" s="724" t="s">
        <v>76</v>
      </c>
      <c r="H60" s="745" t="s">
        <v>76</v>
      </c>
      <c r="I60" s="739" t="s">
        <v>76</v>
      </c>
    </row>
    <row r="61" spans="1:9" s="203" customFormat="1" ht="15" customHeight="1">
      <c r="A61" s="710" t="s">
        <v>13</v>
      </c>
      <c r="B61" s="711" t="s">
        <v>128</v>
      </c>
      <c r="C61" s="711" t="s">
        <v>8</v>
      </c>
      <c r="D61" s="711" t="s">
        <v>352</v>
      </c>
      <c r="E61" s="730" t="s">
        <v>832</v>
      </c>
      <c r="F61" s="738">
        <v>19695</v>
      </c>
      <c r="G61" s="725">
        <v>27566</v>
      </c>
      <c r="H61" s="746">
        <v>27566</v>
      </c>
      <c r="I61" s="739">
        <f t="shared" si="3"/>
        <v>139.96445798425995</v>
      </c>
    </row>
    <row r="62" spans="1:9" s="203" customFormat="1" ht="15" customHeight="1">
      <c r="A62" s="710" t="s">
        <v>13</v>
      </c>
      <c r="B62" s="711" t="s">
        <v>1</v>
      </c>
      <c r="C62" s="711" t="s">
        <v>129</v>
      </c>
      <c r="D62" s="711" t="s">
        <v>352</v>
      </c>
      <c r="E62" s="730" t="s">
        <v>833</v>
      </c>
      <c r="F62" s="738">
        <v>1862458</v>
      </c>
      <c r="G62" s="725">
        <v>1807953</v>
      </c>
      <c r="H62" s="746">
        <v>1807953</v>
      </c>
      <c r="I62" s="739">
        <f t="shared" si="3"/>
        <v>97.073491053221062</v>
      </c>
    </row>
    <row r="63" spans="1:9" s="203" customFormat="1" ht="15" customHeight="1">
      <c r="A63" s="710" t="s">
        <v>13</v>
      </c>
      <c r="B63" s="711" t="s">
        <v>2</v>
      </c>
      <c r="C63" s="711" t="s">
        <v>130</v>
      </c>
      <c r="D63" s="711" t="s">
        <v>352</v>
      </c>
      <c r="E63" s="730" t="s">
        <v>178</v>
      </c>
      <c r="F63" s="741" t="s">
        <v>76</v>
      </c>
      <c r="G63" s="724">
        <v>275555</v>
      </c>
      <c r="H63" s="745">
        <v>275555</v>
      </c>
      <c r="I63" s="739" t="s">
        <v>76</v>
      </c>
    </row>
    <row r="64" spans="1:9" s="203" customFormat="1" ht="15" customHeight="1">
      <c r="A64" s="710" t="s">
        <v>14</v>
      </c>
      <c r="B64" s="711" t="s">
        <v>7</v>
      </c>
      <c r="C64" s="711" t="s">
        <v>6</v>
      </c>
      <c r="D64" s="711" t="s">
        <v>352</v>
      </c>
      <c r="E64" s="730" t="s">
        <v>834</v>
      </c>
      <c r="F64" s="738">
        <v>709622</v>
      </c>
      <c r="G64" s="725">
        <v>915187</v>
      </c>
      <c r="H64" s="746">
        <v>915186.99999999988</v>
      </c>
      <c r="I64" s="739">
        <f t="shared" si="3"/>
        <v>128.96823942887903</v>
      </c>
    </row>
    <row r="65" spans="1:9" s="203" customFormat="1" ht="15" customHeight="1">
      <c r="A65" s="710" t="s">
        <v>14</v>
      </c>
      <c r="B65" s="711" t="s">
        <v>7</v>
      </c>
      <c r="C65" s="711" t="s">
        <v>128</v>
      </c>
      <c r="D65" s="711" t="s">
        <v>352</v>
      </c>
      <c r="E65" s="730" t="s">
        <v>835</v>
      </c>
      <c r="F65" s="738">
        <v>1131722.0000000002</v>
      </c>
      <c r="G65" s="725">
        <v>1603797</v>
      </c>
      <c r="H65" s="746">
        <v>1603797</v>
      </c>
      <c r="I65" s="739">
        <f t="shared" si="3"/>
        <v>141.71298251690783</v>
      </c>
    </row>
    <row r="66" spans="1:9" s="203" customFormat="1" ht="15" customHeight="1">
      <c r="A66" s="710" t="s">
        <v>14</v>
      </c>
      <c r="B66" s="711" t="s">
        <v>9</v>
      </c>
      <c r="C66" s="711" t="s">
        <v>6</v>
      </c>
      <c r="D66" s="711" t="s">
        <v>351</v>
      </c>
      <c r="E66" s="730" t="s">
        <v>836</v>
      </c>
      <c r="F66" s="738">
        <v>109368</v>
      </c>
      <c r="G66" s="725">
        <v>177378</v>
      </c>
      <c r="H66" s="746">
        <v>177378</v>
      </c>
      <c r="I66" s="739">
        <f t="shared" si="3"/>
        <v>162.18455123985078</v>
      </c>
    </row>
    <row r="67" spans="1:9" s="203" customFormat="1" ht="15" customHeight="1">
      <c r="A67" s="710" t="s">
        <v>14</v>
      </c>
      <c r="B67" s="711" t="s">
        <v>9</v>
      </c>
      <c r="C67" s="711" t="s">
        <v>129</v>
      </c>
      <c r="D67" s="711" t="s">
        <v>352</v>
      </c>
      <c r="E67" s="730" t="s">
        <v>837</v>
      </c>
      <c r="F67" s="738">
        <v>582680</v>
      </c>
      <c r="G67" s="724" t="s">
        <v>76</v>
      </c>
      <c r="H67" s="745" t="s">
        <v>76</v>
      </c>
      <c r="I67" s="739" t="s">
        <v>76</v>
      </c>
    </row>
    <row r="68" spans="1:9" s="203" customFormat="1" ht="15" customHeight="1">
      <c r="A68" s="710" t="s">
        <v>14</v>
      </c>
      <c r="B68" s="711" t="s">
        <v>1</v>
      </c>
      <c r="C68" s="711" t="s">
        <v>127</v>
      </c>
      <c r="D68" s="711" t="s">
        <v>351</v>
      </c>
      <c r="E68" s="730" t="s">
        <v>838</v>
      </c>
      <c r="F68" s="738">
        <v>508427</v>
      </c>
      <c r="G68" s="725">
        <v>526167</v>
      </c>
      <c r="H68" s="746">
        <v>526167</v>
      </c>
      <c r="I68" s="739">
        <f t="shared" si="3"/>
        <v>103.48919313883802</v>
      </c>
    </row>
    <row r="69" spans="1:9" s="203" customFormat="1" ht="15" customHeight="1">
      <c r="A69" s="710" t="s">
        <v>14</v>
      </c>
      <c r="B69" s="711" t="s">
        <v>2</v>
      </c>
      <c r="C69" s="711" t="s">
        <v>8</v>
      </c>
      <c r="D69" s="711" t="s">
        <v>352</v>
      </c>
      <c r="E69" s="730" t="s">
        <v>839</v>
      </c>
      <c r="F69" s="738">
        <v>369784.99999999988</v>
      </c>
      <c r="G69" s="724" t="s">
        <v>76</v>
      </c>
      <c r="H69" s="745" t="s">
        <v>76</v>
      </c>
      <c r="I69" s="739" t="s">
        <v>76</v>
      </c>
    </row>
    <row r="70" spans="1:9" s="203" customFormat="1" ht="15" customHeight="1">
      <c r="A70" s="710" t="s">
        <v>14</v>
      </c>
      <c r="B70" s="711" t="s">
        <v>2</v>
      </c>
      <c r="C70" s="711" t="s">
        <v>1</v>
      </c>
      <c r="D70" s="711" t="s">
        <v>352</v>
      </c>
      <c r="E70" s="730" t="s">
        <v>840</v>
      </c>
      <c r="F70" s="738">
        <v>380398</v>
      </c>
      <c r="G70" s="725">
        <v>808266</v>
      </c>
      <c r="H70" s="746">
        <v>808266</v>
      </c>
      <c r="I70" s="739">
        <f t="shared" si="3"/>
        <v>212.47903511585235</v>
      </c>
    </row>
    <row r="71" spans="1:9" s="203" customFormat="1" ht="15" customHeight="1">
      <c r="A71" s="710" t="s">
        <v>14</v>
      </c>
      <c r="B71" s="711" t="s">
        <v>134</v>
      </c>
      <c r="C71" s="711" t="s">
        <v>129</v>
      </c>
      <c r="D71" s="711" t="s">
        <v>352</v>
      </c>
      <c r="E71" s="730" t="s">
        <v>841</v>
      </c>
      <c r="F71" s="741" t="s">
        <v>76</v>
      </c>
      <c r="G71" s="724">
        <v>251441</v>
      </c>
      <c r="H71" s="745">
        <v>251441</v>
      </c>
      <c r="I71" s="739" t="s">
        <v>76</v>
      </c>
    </row>
    <row r="72" spans="1:9" s="203" customFormat="1" ht="15" customHeight="1">
      <c r="A72" s="710" t="s">
        <v>15</v>
      </c>
      <c r="B72" s="711" t="s">
        <v>129</v>
      </c>
      <c r="C72" s="711" t="s">
        <v>128</v>
      </c>
      <c r="D72" s="711" t="s">
        <v>352</v>
      </c>
      <c r="E72" s="730" t="s">
        <v>842</v>
      </c>
      <c r="F72" s="738">
        <v>112195</v>
      </c>
      <c r="G72" s="724" t="s">
        <v>76</v>
      </c>
      <c r="H72" s="745" t="s">
        <v>76</v>
      </c>
      <c r="I72" s="739" t="s">
        <v>76</v>
      </c>
    </row>
    <row r="73" spans="1:9" s="203" customFormat="1" ht="15" customHeight="1">
      <c r="A73" s="710" t="s">
        <v>15</v>
      </c>
      <c r="B73" s="711" t="s">
        <v>1</v>
      </c>
      <c r="C73" s="711" t="s">
        <v>127</v>
      </c>
      <c r="D73" s="711" t="s">
        <v>352</v>
      </c>
      <c r="E73" s="732" t="s">
        <v>843</v>
      </c>
      <c r="F73" s="738">
        <v>180953.00000000003</v>
      </c>
      <c r="G73" s="725">
        <v>461583</v>
      </c>
      <c r="H73" s="746">
        <v>461583</v>
      </c>
      <c r="I73" s="739">
        <f t="shared" si="3"/>
        <v>255.08446944786763</v>
      </c>
    </row>
    <row r="74" spans="1:9" s="203" customFormat="1" ht="15" customHeight="1">
      <c r="A74" s="710" t="s">
        <v>15</v>
      </c>
      <c r="B74" s="711" t="s">
        <v>1</v>
      </c>
      <c r="C74" s="711" t="s">
        <v>7</v>
      </c>
      <c r="D74" s="711" t="s">
        <v>352</v>
      </c>
      <c r="E74" s="730" t="s">
        <v>844</v>
      </c>
      <c r="F74" s="741" t="s">
        <v>76</v>
      </c>
      <c r="G74" s="724">
        <v>428896</v>
      </c>
      <c r="H74" s="745">
        <v>428896.00000000012</v>
      </c>
      <c r="I74" s="739" t="s">
        <v>76</v>
      </c>
    </row>
    <row r="75" spans="1:9" s="203" customFormat="1" ht="15" customHeight="1">
      <c r="A75" s="710" t="s">
        <v>15</v>
      </c>
      <c r="B75" s="711" t="s">
        <v>133</v>
      </c>
      <c r="C75" s="711" t="s">
        <v>8</v>
      </c>
      <c r="D75" s="711" t="s">
        <v>352</v>
      </c>
      <c r="E75" s="730" t="s">
        <v>845</v>
      </c>
      <c r="F75" s="738">
        <v>374969</v>
      </c>
      <c r="G75" s="725">
        <v>574389</v>
      </c>
      <c r="H75" s="746">
        <v>574389</v>
      </c>
      <c r="I75" s="739">
        <f t="shared" si="3"/>
        <v>153.18306313321901</v>
      </c>
    </row>
    <row r="76" spans="1:9" s="203" customFormat="1" ht="15" customHeight="1">
      <c r="A76" s="710" t="s">
        <v>15</v>
      </c>
      <c r="B76" s="711" t="s">
        <v>10</v>
      </c>
      <c r="C76" s="711" t="s">
        <v>129</v>
      </c>
      <c r="D76" s="711" t="s">
        <v>352</v>
      </c>
      <c r="E76" s="730" t="s">
        <v>846</v>
      </c>
      <c r="F76" s="738">
        <v>588114</v>
      </c>
      <c r="G76" s="724" t="s">
        <v>76</v>
      </c>
      <c r="H76" s="745" t="s">
        <v>76</v>
      </c>
      <c r="I76" s="739" t="s">
        <v>76</v>
      </c>
    </row>
    <row r="77" spans="1:9" s="203" customFormat="1" ht="15" customHeight="1">
      <c r="A77" s="710" t="s">
        <v>16</v>
      </c>
      <c r="B77" s="711" t="s">
        <v>7</v>
      </c>
      <c r="C77" s="711" t="s">
        <v>135</v>
      </c>
      <c r="D77" s="711" t="s">
        <v>352</v>
      </c>
      <c r="E77" s="730" t="s">
        <v>1012</v>
      </c>
      <c r="F77" s="738">
        <v>3087486</v>
      </c>
      <c r="G77" s="725">
        <v>2393942</v>
      </c>
      <c r="H77" s="746">
        <v>2393941.9999999995</v>
      </c>
      <c r="I77" s="739">
        <f t="shared" si="3"/>
        <v>77.536934580432089</v>
      </c>
    </row>
    <row r="78" spans="1:9" s="203" customFormat="1" ht="15" customHeight="1">
      <c r="A78" s="710" t="s">
        <v>16</v>
      </c>
      <c r="B78" s="711" t="s">
        <v>2</v>
      </c>
      <c r="C78" s="711" t="s">
        <v>129</v>
      </c>
      <c r="D78" s="711" t="s">
        <v>353</v>
      </c>
      <c r="E78" s="730" t="s">
        <v>847</v>
      </c>
      <c r="F78" s="738">
        <v>1557062</v>
      </c>
      <c r="G78" s="725">
        <v>2020561</v>
      </c>
      <c r="H78" s="746">
        <v>2020561</v>
      </c>
      <c r="I78" s="739">
        <f t="shared" si="3"/>
        <v>129.7675365528155</v>
      </c>
    </row>
    <row r="79" spans="1:9" s="203" customFormat="1" ht="15" customHeight="1">
      <c r="A79" s="710" t="s">
        <v>18</v>
      </c>
      <c r="B79" s="711" t="s">
        <v>9</v>
      </c>
      <c r="C79" s="711" t="s">
        <v>127</v>
      </c>
      <c r="D79" s="711" t="s">
        <v>352</v>
      </c>
      <c r="E79" s="730" t="s">
        <v>848</v>
      </c>
      <c r="F79" s="738">
        <v>1366389</v>
      </c>
      <c r="G79" s="725">
        <v>1831838</v>
      </c>
      <c r="H79" s="746">
        <v>1831837.9999999998</v>
      </c>
      <c r="I79" s="739">
        <f t="shared" si="3"/>
        <v>134.064164743715</v>
      </c>
    </row>
    <row r="80" spans="1:9" s="203" customFormat="1" ht="15" customHeight="1">
      <c r="A80" s="710" t="s">
        <v>18</v>
      </c>
      <c r="B80" s="711" t="s">
        <v>9</v>
      </c>
      <c r="C80" s="711" t="s">
        <v>7</v>
      </c>
      <c r="D80" s="711" t="s">
        <v>352</v>
      </c>
      <c r="E80" s="732" t="s">
        <v>849</v>
      </c>
      <c r="F80" s="738">
        <v>77642.000000000015</v>
      </c>
      <c r="G80" s="724" t="s">
        <v>76</v>
      </c>
      <c r="H80" s="745" t="s">
        <v>76</v>
      </c>
      <c r="I80" s="739" t="s">
        <v>76</v>
      </c>
    </row>
    <row r="81" spans="1:10" s="203" customFormat="1" ht="15" customHeight="1">
      <c r="A81" s="710" t="s">
        <v>18</v>
      </c>
      <c r="B81" s="711" t="s">
        <v>9</v>
      </c>
      <c r="C81" s="711" t="s">
        <v>129</v>
      </c>
      <c r="D81" s="711" t="s">
        <v>352</v>
      </c>
      <c r="E81" s="730" t="s">
        <v>850</v>
      </c>
      <c r="F81" s="738">
        <v>238488</v>
      </c>
      <c r="G81" s="725">
        <v>455295</v>
      </c>
      <c r="H81" s="746">
        <v>455295</v>
      </c>
      <c r="I81" s="739">
        <f t="shared" si="3"/>
        <v>190.90897655227937</v>
      </c>
    </row>
    <row r="82" spans="1:10" s="203" customFormat="1" ht="15" customHeight="1">
      <c r="A82" s="710" t="s">
        <v>18</v>
      </c>
      <c r="B82" s="711" t="s">
        <v>1</v>
      </c>
      <c r="C82" s="711" t="s">
        <v>7</v>
      </c>
      <c r="D82" s="711" t="s">
        <v>353</v>
      </c>
      <c r="E82" s="730" t="s">
        <v>851</v>
      </c>
      <c r="F82" s="738">
        <v>1981871</v>
      </c>
      <c r="G82" s="725">
        <v>1766329</v>
      </c>
      <c r="H82" s="746">
        <v>1766329</v>
      </c>
      <c r="I82" s="739">
        <f t="shared" si="3"/>
        <v>89.124317374844281</v>
      </c>
    </row>
    <row r="83" spans="1:10" s="203" customFormat="1" ht="15" customHeight="1">
      <c r="A83" s="710" t="s">
        <v>18</v>
      </c>
      <c r="B83" s="711" t="s">
        <v>137</v>
      </c>
      <c r="C83" s="711" t="s">
        <v>6</v>
      </c>
      <c r="D83" s="711" t="s">
        <v>351</v>
      </c>
      <c r="E83" s="730" t="s">
        <v>852</v>
      </c>
      <c r="F83" s="738">
        <v>795837</v>
      </c>
      <c r="G83" s="725">
        <v>699592</v>
      </c>
      <c r="H83" s="746">
        <v>699592</v>
      </c>
      <c r="I83" s="739">
        <f t="shared" si="3"/>
        <v>87.906443153560346</v>
      </c>
    </row>
    <row r="84" spans="1:10" s="203" customFormat="1" ht="15" customHeight="1">
      <c r="A84" s="710" t="s">
        <v>18</v>
      </c>
      <c r="B84" s="711" t="s">
        <v>137</v>
      </c>
      <c r="C84" s="711" t="s">
        <v>130</v>
      </c>
      <c r="D84" s="711" t="s">
        <v>352</v>
      </c>
      <c r="E84" s="730" t="s">
        <v>853</v>
      </c>
      <c r="F84" s="738">
        <v>2355293</v>
      </c>
      <c r="G84" s="725">
        <v>2994697</v>
      </c>
      <c r="H84" s="746">
        <v>2994697</v>
      </c>
      <c r="I84" s="739">
        <f t="shared" si="3"/>
        <v>127.14753535971957</v>
      </c>
    </row>
    <row r="85" spans="1:10" s="203" customFormat="1" ht="15" customHeight="1">
      <c r="A85" s="710" t="s">
        <v>18</v>
      </c>
      <c r="B85" s="711" t="s">
        <v>137</v>
      </c>
      <c r="C85" s="711" t="s">
        <v>131</v>
      </c>
      <c r="D85" s="711" t="s">
        <v>353</v>
      </c>
      <c r="E85" s="730" t="s">
        <v>854</v>
      </c>
      <c r="F85" s="738">
        <v>3249298.9999999995</v>
      </c>
      <c r="G85" s="725">
        <v>3506645</v>
      </c>
      <c r="H85" s="746">
        <v>3506644.9999999995</v>
      </c>
      <c r="I85" s="739">
        <f t="shared" si="3"/>
        <v>107.92004675470001</v>
      </c>
    </row>
    <row r="86" spans="1:10" s="203" customFormat="1" ht="15" customHeight="1">
      <c r="A86" s="710" t="s">
        <v>18</v>
      </c>
      <c r="B86" s="711" t="s">
        <v>137</v>
      </c>
      <c r="C86" s="711" t="s">
        <v>134</v>
      </c>
      <c r="D86" s="711" t="s">
        <v>352</v>
      </c>
      <c r="E86" s="730" t="s">
        <v>855</v>
      </c>
      <c r="F86" s="738">
        <v>14351949</v>
      </c>
      <c r="G86" s="725">
        <v>15106738</v>
      </c>
      <c r="H86" s="746">
        <v>15106738.000000002</v>
      </c>
      <c r="I86" s="739">
        <f t="shared" si="3"/>
        <v>105.25913936845792</v>
      </c>
      <c r="J86" s="206"/>
    </row>
    <row r="87" spans="1:10" s="203" customFormat="1" ht="15" customHeight="1">
      <c r="A87" s="710" t="s">
        <v>18</v>
      </c>
      <c r="B87" s="711" t="s">
        <v>137</v>
      </c>
      <c r="C87" s="711" t="s">
        <v>135</v>
      </c>
      <c r="D87" s="711" t="s">
        <v>352</v>
      </c>
      <c r="E87" s="730" t="s">
        <v>856</v>
      </c>
      <c r="F87" s="738">
        <v>15789957</v>
      </c>
      <c r="G87" s="725">
        <v>17102349</v>
      </c>
      <c r="H87" s="746">
        <v>17102349</v>
      </c>
      <c r="I87" s="739">
        <f t="shared" si="3"/>
        <v>108.31156158309993</v>
      </c>
    </row>
    <row r="88" spans="1:10" s="203" customFormat="1" ht="15" customHeight="1">
      <c r="A88" s="710" t="s">
        <v>18</v>
      </c>
      <c r="B88" s="711" t="s">
        <v>138</v>
      </c>
      <c r="C88" s="711" t="s">
        <v>129</v>
      </c>
      <c r="D88" s="711" t="s">
        <v>352</v>
      </c>
      <c r="E88" s="730" t="s">
        <v>857</v>
      </c>
      <c r="F88" s="738">
        <v>64171.000000000015</v>
      </c>
      <c r="G88" s="725">
        <v>67577</v>
      </c>
      <c r="H88" s="746">
        <v>67577.000000000015</v>
      </c>
      <c r="I88" s="739">
        <f t="shared" si="3"/>
        <v>105.30769350641256</v>
      </c>
    </row>
    <row r="89" spans="1:10" s="205" customFormat="1" ht="15" customHeight="1">
      <c r="A89" s="710" t="s">
        <v>18</v>
      </c>
      <c r="B89" s="711" t="s">
        <v>140</v>
      </c>
      <c r="C89" s="711" t="s">
        <v>8</v>
      </c>
      <c r="D89" s="711" t="s">
        <v>352</v>
      </c>
      <c r="E89" s="730" t="s">
        <v>858</v>
      </c>
      <c r="F89" s="738">
        <v>757321</v>
      </c>
      <c r="G89" s="725">
        <v>723254</v>
      </c>
      <c r="H89" s="746">
        <v>723254</v>
      </c>
      <c r="I89" s="739">
        <f t="shared" si="3"/>
        <v>95.501643292606445</v>
      </c>
    </row>
    <row r="90" spans="1:10" s="205" customFormat="1" ht="15" customHeight="1">
      <c r="A90" s="710" t="s">
        <v>19</v>
      </c>
      <c r="B90" s="711" t="s">
        <v>128</v>
      </c>
      <c r="C90" s="711" t="s">
        <v>128</v>
      </c>
      <c r="D90" s="711" t="s">
        <v>353</v>
      </c>
      <c r="E90" s="730" t="s">
        <v>859</v>
      </c>
      <c r="F90" s="738">
        <v>1715662</v>
      </c>
      <c r="G90" s="725">
        <v>1108926</v>
      </c>
      <c r="H90" s="746">
        <v>1108926</v>
      </c>
      <c r="I90" s="739">
        <f t="shared" si="3"/>
        <v>64.635458499401395</v>
      </c>
    </row>
    <row r="91" spans="1:10" s="205" customFormat="1" ht="15" customHeight="1">
      <c r="A91" s="710" t="s">
        <v>19</v>
      </c>
      <c r="B91" s="711" t="s">
        <v>129</v>
      </c>
      <c r="C91" s="711" t="s">
        <v>130</v>
      </c>
      <c r="D91" s="711" t="s">
        <v>352</v>
      </c>
      <c r="E91" s="730" t="s">
        <v>860</v>
      </c>
      <c r="F91" s="738">
        <v>3098443.9999999995</v>
      </c>
      <c r="G91" s="725">
        <v>2915992</v>
      </c>
      <c r="H91" s="746">
        <v>2915992</v>
      </c>
      <c r="I91" s="739">
        <f t="shared" si="3"/>
        <v>94.111495963780541</v>
      </c>
    </row>
    <row r="92" spans="1:10" s="205" customFormat="1" ht="15" customHeight="1">
      <c r="A92" s="710" t="s">
        <v>19</v>
      </c>
      <c r="B92" s="711" t="s">
        <v>130</v>
      </c>
      <c r="C92" s="711" t="s">
        <v>127</v>
      </c>
      <c r="D92" s="711" t="s">
        <v>353</v>
      </c>
      <c r="E92" s="730" t="s">
        <v>861</v>
      </c>
      <c r="F92" s="738">
        <v>561812.00000000012</v>
      </c>
      <c r="G92" s="725">
        <v>445416</v>
      </c>
      <c r="H92" s="746">
        <v>445416</v>
      </c>
      <c r="I92" s="739">
        <f t="shared" si="3"/>
        <v>79.28203740753132</v>
      </c>
    </row>
    <row r="93" spans="1:10" s="205" customFormat="1" ht="15" customHeight="1">
      <c r="A93" s="710" t="s">
        <v>19</v>
      </c>
      <c r="B93" s="711" t="s">
        <v>130</v>
      </c>
      <c r="C93" s="711" t="s">
        <v>7</v>
      </c>
      <c r="D93" s="711" t="s">
        <v>353</v>
      </c>
      <c r="E93" s="732" t="s">
        <v>862</v>
      </c>
      <c r="F93" s="738">
        <v>253890</v>
      </c>
      <c r="G93" s="725">
        <v>73127</v>
      </c>
      <c r="H93" s="746">
        <v>73127</v>
      </c>
      <c r="I93" s="739">
        <f t="shared" si="3"/>
        <v>28.802631060695578</v>
      </c>
    </row>
    <row r="94" spans="1:10" ht="15" customHeight="1">
      <c r="A94" s="710" t="s">
        <v>19</v>
      </c>
      <c r="B94" s="711" t="s">
        <v>9</v>
      </c>
      <c r="C94" s="711" t="s">
        <v>128</v>
      </c>
      <c r="D94" s="711" t="s">
        <v>352</v>
      </c>
      <c r="E94" s="730" t="s">
        <v>863</v>
      </c>
      <c r="F94" s="741" t="s">
        <v>76</v>
      </c>
      <c r="G94" s="724">
        <v>33510</v>
      </c>
      <c r="H94" s="745">
        <v>33510</v>
      </c>
      <c r="I94" s="739" t="s">
        <v>76</v>
      </c>
    </row>
    <row r="95" spans="1:10" ht="15" customHeight="1">
      <c r="A95" s="710" t="s">
        <v>19</v>
      </c>
      <c r="B95" s="711" t="s">
        <v>9</v>
      </c>
      <c r="C95" s="711" t="s">
        <v>7</v>
      </c>
      <c r="D95" s="711" t="s">
        <v>352</v>
      </c>
      <c r="E95" s="730" t="s">
        <v>864</v>
      </c>
      <c r="F95" s="740">
        <v>235340</v>
      </c>
      <c r="G95" s="726">
        <v>90338</v>
      </c>
      <c r="H95" s="748">
        <v>90338</v>
      </c>
      <c r="I95" s="739">
        <f t="shared" si="3"/>
        <v>38.386164697883913</v>
      </c>
    </row>
    <row r="96" spans="1:10" ht="15" customHeight="1">
      <c r="A96" s="710" t="s">
        <v>19</v>
      </c>
      <c r="B96" s="711" t="s">
        <v>9</v>
      </c>
      <c r="C96" s="711" t="s">
        <v>130</v>
      </c>
      <c r="D96" s="711" t="s">
        <v>352</v>
      </c>
      <c r="E96" s="730" t="s">
        <v>865</v>
      </c>
      <c r="F96" s="740">
        <v>842096.00000000023</v>
      </c>
      <c r="G96" s="726">
        <v>1000699</v>
      </c>
      <c r="H96" s="748">
        <v>1000699</v>
      </c>
      <c r="I96" s="739">
        <f t="shared" si="3"/>
        <v>118.83431342744768</v>
      </c>
    </row>
    <row r="97" spans="1:9" ht="15" customHeight="1">
      <c r="A97" s="710" t="s">
        <v>19</v>
      </c>
      <c r="B97" s="711" t="s">
        <v>131</v>
      </c>
      <c r="C97" s="711" t="s">
        <v>6</v>
      </c>
      <c r="D97" s="711" t="s">
        <v>352</v>
      </c>
      <c r="E97" s="732" t="s">
        <v>1013</v>
      </c>
      <c r="F97" s="742">
        <v>45630</v>
      </c>
      <c r="G97" s="734" t="s">
        <v>76</v>
      </c>
      <c r="H97" s="749" t="s">
        <v>76</v>
      </c>
      <c r="I97" s="739" t="s">
        <v>76</v>
      </c>
    </row>
    <row r="98" spans="1:9" ht="15" customHeight="1">
      <c r="A98" s="710" t="s">
        <v>19</v>
      </c>
      <c r="B98" s="711" t="s">
        <v>131</v>
      </c>
      <c r="C98" s="711" t="s">
        <v>129</v>
      </c>
      <c r="D98" s="711" t="s">
        <v>353</v>
      </c>
      <c r="E98" s="730" t="s">
        <v>866</v>
      </c>
      <c r="F98" s="740">
        <v>1804672</v>
      </c>
      <c r="G98" s="726">
        <v>2025013</v>
      </c>
      <c r="H98" s="748">
        <v>2025013</v>
      </c>
      <c r="I98" s="739">
        <f t="shared" si="3"/>
        <v>112.20947629264487</v>
      </c>
    </row>
    <row r="99" spans="1:9" ht="15" customHeight="1">
      <c r="A99" s="710" t="s">
        <v>19</v>
      </c>
      <c r="B99" s="711" t="s">
        <v>132</v>
      </c>
      <c r="C99" s="711" t="s">
        <v>127</v>
      </c>
      <c r="D99" s="711" t="s">
        <v>352</v>
      </c>
      <c r="E99" s="730" t="s">
        <v>867</v>
      </c>
      <c r="F99" s="740">
        <v>352643</v>
      </c>
      <c r="G99" s="726">
        <v>302630</v>
      </c>
      <c r="H99" s="748">
        <v>302630</v>
      </c>
      <c r="I99" s="739">
        <f t="shared" si="3"/>
        <v>85.81766829342989</v>
      </c>
    </row>
    <row r="100" spans="1:9" ht="15" customHeight="1">
      <c r="A100" s="710" t="s">
        <v>19</v>
      </c>
      <c r="B100" s="711" t="s">
        <v>132</v>
      </c>
      <c r="C100" s="711" t="s">
        <v>6</v>
      </c>
      <c r="D100" s="711" t="s">
        <v>352</v>
      </c>
      <c r="E100" s="730" t="s">
        <v>868</v>
      </c>
      <c r="F100" s="740">
        <v>299923</v>
      </c>
      <c r="G100" s="726">
        <v>558320</v>
      </c>
      <c r="H100" s="748">
        <v>558319.99999999988</v>
      </c>
      <c r="I100" s="739">
        <f t="shared" si="3"/>
        <v>186.15444630788565</v>
      </c>
    </row>
    <row r="101" spans="1:9" ht="15" customHeight="1">
      <c r="A101" s="710" t="s">
        <v>19</v>
      </c>
      <c r="B101" s="711" t="s">
        <v>133</v>
      </c>
      <c r="C101" s="711" t="s">
        <v>128</v>
      </c>
      <c r="D101" s="711" t="s">
        <v>352</v>
      </c>
      <c r="E101" s="730" t="s">
        <v>869</v>
      </c>
      <c r="F101" s="740">
        <v>4839970</v>
      </c>
      <c r="G101" s="728" t="s">
        <v>76</v>
      </c>
      <c r="H101" s="747" t="s">
        <v>76</v>
      </c>
      <c r="I101" s="739" t="s">
        <v>76</v>
      </c>
    </row>
    <row r="102" spans="1:9" ht="15" customHeight="1">
      <c r="A102" s="759" t="s">
        <v>19</v>
      </c>
      <c r="B102" s="760" t="s">
        <v>133</v>
      </c>
      <c r="C102" s="760" t="s">
        <v>129</v>
      </c>
      <c r="D102" s="760" t="s">
        <v>352</v>
      </c>
      <c r="E102" s="761" t="s">
        <v>870</v>
      </c>
      <c r="F102" s="762">
        <v>622516</v>
      </c>
      <c r="G102" s="763">
        <v>2850410</v>
      </c>
      <c r="H102" s="764">
        <v>2850409.9999999995</v>
      </c>
      <c r="I102" s="765">
        <f t="shared" si="3"/>
        <v>457.88541981250273</v>
      </c>
    </row>
    <row r="103" spans="1:9" ht="18" customHeight="1">
      <c r="A103" s="2401" t="s">
        <v>20</v>
      </c>
      <c r="B103" s="2402"/>
      <c r="C103" s="2402"/>
      <c r="D103" s="2402"/>
      <c r="E103" s="2403"/>
      <c r="F103" s="766">
        <f>SUM(F6:F102)</f>
        <v>324123998</v>
      </c>
      <c r="G103" s="767">
        <f>SUM(G6:G102)</f>
        <v>329306963</v>
      </c>
      <c r="H103" s="768">
        <f>SUM(H6:H102)</f>
        <v>329306963</v>
      </c>
      <c r="I103" s="766"/>
    </row>
    <row r="104" spans="1:9">
      <c r="A104" s="2404"/>
      <c r="B104" s="2405"/>
      <c r="C104" s="2405"/>
      <c r="D104" s="2405"/>
      <c r="E104" s="2405"/>
      <c r="F104" s="2405"/>
      <c r="G104" s="2405"/>
    </row>
    <row r="116" ht="18" customHeight="1"/>
  </sheetData>
  <mergeCells count="9">
    <mergeCell ref="A103:E103"/>
    <mergeCell ref="A104:G104"/>
    <mergeCell ref="A2:I2"/>
    <mergeCell ref="A3:A4"/>
    <mergeCell ref="B3:B4"/>
    <mergeCell ref="C3:C4"/>
    <mergeCell ref="D3:D4"/>
    <mergeCell ref="E3:E4"/>
    <mergeCell ref="F4:H4"/>
  </mergeCells>
  <printOptions horizontalCentered="1"/>
  <pageMargins left="0.59055118110236227" right="0.19685039370078741" top="0.35433070866141736" bottom="0.39370078740157483" header="0.19685039370078741" footer="0.15748031496062992"/>
  <pageSetup paperSize="9" scale="97" orientation="portrait" r:id="rId1"/>
  <headerFooter alignWithMargins="0">
    <oddHeader xml:space="preserve">&amp;C
</oddHeader>
  </headerFooter>
  <rowBreaks count="1" manualBreakCount="1">
    <brk id="52" max="9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showGridLines="0" zoomScaleNormal="100" workbookViewId="0">
      <selection activeCell="L4" sqref="L4"/>
    </sheetView>
  </sheetViews>
  <sheetFormatPr defaultColWidth="8" defaultRowHeight="13.5"/>
  <cols>
    <col min="1" max="1" width="4.28515625" style="213" customWidth="1"/>
    <col min="2" max="2" width="4.140625" style="213" customWidth="1"/>
    <col min="3" max="3" width="19.42578125" style="213" customWidth="1"/>
    <col min="4" max="6" width="16.28515625" style="213" customWidth="1"/>
    <col min="7" max="7" width="8.7109375" style="213" customWidth="1"/>
    <col min="8" max="146" width="8" style="213"/>
    <col min="147" max="147" width="4.28515625" style="213" customWidth="1"/>
    <col min="148" max="148" width="4.140625" style="213" customWidth="1"/>
    <col min="149" max="149" width="19.42578125" style="213" customWidth="1"/>
    <col min="150" max="152" width="16.28515625" style="213" customWidth="1"/>
    <col min="153" max="153" width="8.7109375" style="213" customWidth="1"/>
    <col min="154" max="154" width="8" style="213"/>
    <col min="155" max="156" width="15.42578125" style="213" customWidth="1"/>
    <col min="157" max="402" width="8" style="213"/>
    <col min="403" max="403" width="4.28515625" style="213" customWidth="1"/>
    <col min="404" max="404" width="4.140625" style="213" customWidth="1"/>
    <col min="405" max="405" width="19.42578125" style="213" customWidth="1"/>
    <col min="406" max="408" width="16.28515625" style="213" customWidth="1"/>
    <col min="409" max="409" width="8.7109375" style="213" customWidth="1"/>
    <col min="410" max="410" width="8" style="213"/>
    <col min="411" max="412" width="15.42578125" style="213" customWidth="1"/>
    <col min="413" max="658" width="8" style="213"/>
    <col min="659" max="659" width="4.28515625" style="213" customWidth="1"/>
    <col min="660" max="660" width="4.140625" style="213" customWidth="1"/>
    <col min="661" max="661" width="19.42578125" style="213" customWidth="1"/>
    <col min="662" max="664" width="16.28515625" style="213" customWidth="1"/>
    <col min="665" max="665" width="8.7109375" style="213" customWidth="1"/>
    <col min="666" max="666" width="8" style="213"/>
    <col min="667" max="668" width="15.42578125" style="213" customWidth="1"/>
    <col min="669" max="914" width="8" style="213"/>
    <col min="915" max="915" width="4.28515625" style="213" customWidth="1"/>
    <col min="916" max="916" width="4.140625" style="213" customWidth="1"/>
    <col min="917" max="917" width="19.42578125" style="213" customWidth="1"/>
    <col min="918" max="920" width="16.28515625" style="213" customWidth="1"/>
    <col min="921" max="921" width="8.7109375" style="213" customWidth="1"/>
    <col min="922" max="922" width="8" style="213"/>
    <col min="923" max="924" width="15.42578125" style="213" customWidth="1"/>
    <col min="925" max="1170" width="8" style="213"/>
    <col min="1171" max="1171" width="4.28515625" style="213" customWidth="1"/>
    <col min="1172" max="1172" width="4.140625" style="213" customWidth="1"/>
    <col min="1173" max="1173" width="19.42578125" style="213" customWidth="1"/>
    <col min="1174" max="1176" width="16.28515625" style="213" customWidth="1"/>
    <col min="1177" max="1177" width="8.7109375" style="213" customWidth="1"/>
    <col min="1178" max="1178" width="8" style="213"/>
    <col min="1179" max="1180" width="15.42578125" style="213" customWidth="1"/>
    <col min="1181" max="1426" width="8" style="213"/>
    <col min="1427" max="1427" width="4.28515625" style="213" customWidth="1"/>
    <col min="1428" max="1428" width="4.140625" style="213" customWidth="1"/>
    <col min="1429" max="1429" width="19.42578125" style="213" customWidth="1"/>
    <col min="1430" max="1432" width="16.28515625" style="213" customWidth="1"/>
    <col min="1433" max="1433" width="8.7109375" style="213" customWidth="1"/>
    <col min="1434" max="1434" width="8" style="213"/>
    <col min="1435" max="1436" width="15.42578125" style="213" customWidth="1"/>
    <col min="1437" max="1682" width="8" style="213"/>
    <col min="1683" max="1683" width="4.28515625" style="213" customWidth="1"/>
    <col min="1684" max="1684" width="4.140625" style="213" customWidth="1"/>
    <col min="1685" max="1685" width="19.42578125" style="213" customWidth="1"/>
    <col min="1686" max="1688" width="16.28515625" style="213" customWidth="1"/>
    <col min="1689" max="1689" width="8.7109375" style="213" customWidth="1"/>
    <col min="1690" max="1690" width="8" style="213"/>
    <col min="1691" max="1692" width="15.42578125" style="213" customWidth="1"/>
    <col min="1693" max="1938" width="8" style="213"/>
    <col min="1939" max="1939" width="4.28515625" style="213" customWidth="1"/>
    <col min="1940" max="1940" width="4.140625" style="213" customWidth="1"/>
    <col min="1941" max="1941" width="19.42578125" style="213" customWidth="1"/>
    <col min="1942" max="1944" width="16.28515625" style="213" customWidth="1"/>
    <col min="1945" max="1945" width="8.7109375" style="213" customWidth="1"/>
    <col min="1946" max="1946" width="8" style="213"/>
    <col min="1947" max="1948" width="15.42578125" style="213" customWidth="1"/>
    <col min="1949" max="2194" width="8" style="213"/>
    <col min="2195" max="2195" width="4.28515625" style="213" customWidth="1"/>
    <col min="2196" max="2196" width="4.140625" style="213" customWidth="1"/>
    <col min="2197" max="2197" width="19.42578125" style="213" customWidth="1"/>
    <col min="2198" max="2200" width="16.28515625" style="213" customWidth="1"/>
    <col min="2201" max="2201" width="8.7109375" style="213" customWidth="1"/>
    <col min="2202" max="2202" width="8" style="213"/>
    <col min="2203" max="2204" width="15.42578125" style="213" customWidth="1"/>
    <col min="2205" max="2450" width="8" style="213"/>
    <col min="2451" max="2451" width="4.28515625" style="213" customWidth="1"/>
    <col min="2452" max="2452" width="4.140625" style="213" customWidth="1"/>
    <col min="2453" max="2453" width="19.42578125" style="213" customWidth="1"/>
    <col min="2454" max="2456" width="16.28515625" style="213" customWidth="1"/>
    <col min="2457" max="2457" width="8.7109375" style="213" customWidth="1"/>
    <col min="2458" max="2458" width="8" style="213"/>
    <col min="2459" max="2460" width="15.42578125" style="213" customWidth="1"/>
    <col min="2461" max="2706" width="8" style="213"/>
    <col min="2707" max="2707" width="4.28515625" style="213" customWidth="1"/>
    <col min="2708" max="2708" width="4.140625" style="213" customWidth="1"/>
    <col min="2709" max="2709" width="19.42578125" style="213" customWidth="1"/>
    <col min="2710" max="2712" width="16.28515625" style="213" customWidth="1"/>
    <col min="2713" max="2713" width="8.7109375" style="213" customWidth="1"/>
    <col min="2714" max="2714" width="8" style="213"/>
    <col min="2715" max="2716" width="15.42578125" style="213" customWidth="1"/>
    <col min="2717" max="2962" width="8" style="213"/>
    <col min="2963" max="2963" width="4.28515625" style="213" customWidth="1"/>
    <col min="2964" max="2964" width="4.140625" style="213" customWidth="1"/>
    <col min="2965" max="2965" width="19.42578125" style="213" customWidth="1"/>
    <col min="2966" max="2968" width="16.28515625" style="213" customWidth="1"/>
    <col min="2969" max="2969" width="8.7109375" style="213" customWidth="1"/>
    <col min="2970" max="2970" width="8" style="213"/>
    <col min="2971" max="2972" width="15.42578125" style="213" customWidth="1"/>
    <col min="2973" max="3218" width="8" style="213"/>
    <col min="3219" max="3219" width="4.28515625" style="213" customWidth="1"/>
    <col min="3220" max="3220" width="4.140625" style="213" customWidth="1"/>
    <col min="3221" max="3221" width="19.42578125" style="213" customWidth="1"/>
    <col min="3222" max="3224" width="16.28515625" style="213" customWidth="1"/>
    <col min="3225" max="3225" width="8.7109375" style="213" customWidth="1"/>
    <col min="3226" max="3226" width="8" style="213"/>
    <col min="3227" max="3228" width="15.42578125" style="213" customWidth="1"/>
    <col min="3229" max="3474" width="8" style="213"/>
    <col min="3475" max="3475" width="4.28515625" style="213" customWidth="1"/>
    <col min="3476" max="3476" width="4.140625" style="213" customWidth="1"/>
    <col min="3477" max="3477" width="19.42578125" style="213" customWidth="1"/>
    <col min="3478" max="3480" width="16.28515625" style="213" customWidth="1"/>
    <col min="3481" max="3481" width="8.7109375" style="213" customWidth="1"/>
    <col min="3482" max="3482" width="8" style="213"/>
    <col min="3483" max="3484" width="15.42578125" style="213" customWidth="1"/>
    <col min="3485" max="3730" width="8" style="213"/>
    <col min="3731" max="3731" width="4.28515625" style="213" customWidth="1"/>
    <col min="3732" max="3732" width="4.140625" style="213" customWidth="1"/>
    <col min="3733" max="3733" width="19.42578125" style="213" customWidth="1"/>
    <col min="3734" max="3736" width="16.28515625" style="213" customWidth="1"/>
    <col min="3737" max="3737" width="8.7109375" style="213" customWidth="1"/>
    <col min="3738" max="3738" width="8" style="213"/>
    <col min="3739" max="3740" width="15.42578125" style="213" customWidth="1"/>
    <col min="3741" max="3986" width="8" style="213"/>
    <col min="3987" max="3987" width="4.28515625" style="213" customWidth="1"/>
    <col min="3988" max="3988" width="4.140625" style="213" customWidth="1"/>
    <col min="3989" max="3989" width="19.42578125" style="213" customWidth="1"/>
    <col min="3990" max="3992" width="16.28515625" style="213" customWidth="1"/>
    <col min="3993" max="3993" width="8.7109375" style="213" customWidth="1"/>
    <col min="3994" max="3994" width="8" style="213"/>
    <col min="3995" max="3996" width="15.42578125" style="213" customWidth="1"/>
    <col min="3997" max="4242" width="8" style="213"/>
    <col min="4243" max="4243" width="4.28515625" style="213" customWidth="1"/>
    <col min="4244" max="4244" width="4.140625" style="213" customWidth="1"/>
    <col min="4245" max="4245" width="19.42578125" style="213" customWidth="1"/>
    <col min="4246" max="4248" width="16.28515625" style="213" customWidth="1"/>
    <col min="4249" max="4249" width="8.7109375" style="213" customWidth="1"/>
    <col min="4250" max="4250" width="8" style="213"/>
    <col min="4251" max="4252" width="15.42578125" style="213" customWidth="1"/>
    <col min="4253" max="4498" width="8" style="213"/>
    <col min="4499" max="4499" width="4.28515625" style="213" customWidth="1"/>
    <col min="4500" max="4500" width="4.140625" style="213" customWidth="1"/>
    <col min="4501" max="4501" width="19.42578125" style="213" customWidth="1"/>
    <col min="4502" max="4504" width="16.28515625" style="213" customWidth="1"/>
    <col min="4505" max="4505" width="8.7109375" style="213" customWidth="1"/>
    <col min="4506" max="4506" width="8" style="213"/>
    <col min="4507" max="4508" width="15.42578125" style="213" customWidth="1"/>
    <col min="4509" max="4754" width="8" style="213"/>
    <col min="4755" max="4755" width="4.28515625" style="213" customWidth="1"/>
    <col min="4756" max="4756" width="4.140625" style="213" customWidth="1"/>
    <col min="4757" max="4757" width="19.42578125" style="213" customWidth="1"/>
    <col min="4758" max="4760" width="16.28515625" style="213" customWidth="1"/>
    <col min="4761" max="4761" width="8.7109375" style="213" customWidth="1"/>
    <col min="4762" max="4762" width="8" style="213"/>
    <col min="4763" max="4764" width="15.42578125" style="213" customWidth="1"/>
    <col min="4765" max="5010" width="8" style="213"/>
    <col min="5011" max="5011" width="4.28515625" style="213" customWidth="1"/>
    <col min="5012" max="5012" width="4.140625" style="213" customWidth="1"/>
    <col min="5013" max="5013" width="19.42578125" style="213" customWidth="1"/>
    <col min="5014" max="5016" width="16.28515625" style="213" customWidth="1"/>
    <col min="5017" max="5017" width="8.7109375" style="213" customWidth="1"/>
    <col min="5018" max="5018" width="8" style="213"/>
    <col min="5019" max="5020" width="15.42578125" style="213" customWidth="1"/>
    <col min="5021" max="5266" width="8" style="213"/>
    <col min="5267" max="5267" width="4.28515625" style="213" customWidth="1"/>
    <col min="5268" max="5268" width="4.140625" style="213" customWidth="1"/>
    <col min="5269" max="5269" width="19.42578125" style="213" customWidth="1"/>
    <col min="5270" max="5272" width="16.28515625" style="213" customWidth="1"/>
    <col min="5273" max="5273" width="8.7109375" style="213" customWidth="1"/>
    <col min="5274" max="5274" width="8" style="213"/>
    <col min="5275" max="5276" width="15.42578125" style="213" customWidth="1"/>
    <col min="5277" max="5522" width="8" style="213"/>
    <col min="5523" max="5523" width="4.28515625" style="213" customWidth="1"/>
    <col min="5524" max="5524" width="4.140625" style="213" customWidth="1"/>
    <col min="5525" max="5525" width="19.42578125" style="213" customWidth="1"/>
    <col min="5526" max="5528" width="16.28515625" style="213" customWidth="1"/>
    <col min="5529" max="5529" width="8.7109375" style="213" customWidth="1"/>
    <col min="5530" max="5530" width="8" style="213"/>
    <col min="5531" max="5532" width="15.42578125" style="213" customWidth="1"/>
    <col min="5533" max="5778" width="8" style="213"/>
    <col min="5779" max="5779" width="4.28515625" style="213" customWidth="1"/>
    <col min="5780" max="5780" width="4.140625" style="213" customWidth="1"/>
    <col min="5781" max="5781" width="19.42578125" style="213" customWidth="1"/>
    <col min="5782" max="5784" width="16.28515625" style="213" customWidth="1"/>
    <col min="5785" max="5785" width="8.7109375" style="213" customWidth="1"/>
    <col min="5786" max="5786" width="8" style="213"/>
    <col min="5787" max="5788" width="15.42578125" style="213" customWidth="1"/>
    <col min="5789" max="6034" width="8" style="213"/>
    <col min="6035" max="6035" width="4.28515625" style="213" customWidth="1"/>
    <col min="6036" max="6036" width="4.140625" style="213" customWidth="1"/>
    <col min="6037" max="6037" width="19.42578125" style="213" customWidth="1"/>
    <col min="6038" max="6040" width="16.28515625" style="213" customWidth="1"/>
    <col min="6041" max="6041" width="8.7109375" style="213" customWidth="1"/>
    <col min="6042" max="6042" width="8" style="213"/>
    <col min="6043" max="6044" width="15.42578125" style="213" customWidth="1"/>
    <col min="6045" max="6290" width="8" style="213"/>
    <col min="6291" max="6291" width="4.28515625" style="213" customWidth="1"/>
    <col min="6292" max="6292" width="4.140625" style="213" customWidth="1"/>
    <col min="6293" max="6293" width="19.42578125" style="213" customWidth="1"/>
    <col min="6294" max="6296" width="16.28515625" style="213" customWidth="1"/>
    <col min="6297" max="6297" width="8.7109375" style="213" customWidth="1"/>
    <col min="6298" max="6298" width="8" style="213"/>
    <col min="6299" max="6300" width="15.42578125" style="213" customWidth="1"/>
    <col min="6301" max="6546" width="8" style="213"/>
    <col min="6547" max="6547" width="4.28515625" style="213" customWidth="1"/>
    <col min="6548" max="6548" width="4.140625" style="213" customWidth="1"/>
    <col min="6549" max="6549" width="19.42578125" style="213" customWidth="1"/>
    <col min="6550" max="6552" width="16.28515625" style="213" customWidth="1"/>
    <col min="6553" max="6553" width="8.7109375" style="213" customWidth="1"/>
    <col min="6554" max="6554" width="8" style="213"/>
    <col min="6555" max="6556" width="15.42578125" style="213" customWidth="1"/>
    <col min="6557" max="6802" width="8" style="213"/>
    <col min="6803" max="6803" width="4.28515625" style="213" customWidth="1"/>
    <col min="6804" max="6804" width="4.140625" style="213" customWidth="1"/>
    <col min="6805" max="6805" width="19.42578125" style="213" customWidth="1"/>
    <col min="6806" max="6808" width="16.28515625" style="213" customWidth="1"/>
    <col min="6809" max="6809" width="8.7109375" style="213" customWidth="1"/>
    <col min="6810" max="6810" width="8" style="213"/>
    <col min="6811" max="6812" width="15.42578125" style="213" customWidth="1"/>
    <col min="6813" max="7058" width="8" style="213"/>
    <col min="7059" max="7059" width="4.28515625" style="213" customWidth="1"/>
    <col min="7060" max="7060" width="4.140625" style="213" customWidth="1"/>
    <col min="7061" max="7061" width="19.42578125" style="213" customWidth="1"/>
    <col min="7062" max="7064" width="16.28515625" style="213" customWidth="1"/>
    <col min="7065" max="7065" width="8.7109375" style="213" customWidth="1"/>
    <col min="7066" max="7066" width="8" style="213"/>
    <col min="7067" max="7068" width="15.42578125" style="213" customWidth="1"/>
    <col min="7069" max="7314" width="8" style="213"/>
    <col min="7315" max="7315" width="4.28515625" style="213" customWidth="1"/>
    <col min="7316" max="7316" width="4.140625" style="213" customWidth="1"/>
    <col min="7317" max="7317" width="19.42578125" style="213" customWidth="1"/>
    <col min="7318" max="7320" width="16.28515625" style="213" customWidth="1"/>
    <col min="7321" max="7321" width="8.7109375" style="213" customWidth="1"/>
    <col min="7322" max="7322" width="8" style="213"/>
    <col min="7323" max="7324" width="15.42578125" style="213" customWidth="1"/>
    <col min="7325" max="7570" width="8" style="213"/>
    <col min="7571" max="7571" width="4.28515625" style="213" customWidth="1"/>
    <col min="7572" max="7572" width="4.140625" style="213" customWidth="1"/>
    <col min="7573" max="7573" width="19.42578125" style="213" customWidth="1"/>
    <col min="7574" max="7576" width="16.28515625" style="213" customWidth="1"/>
    <col min="7577" max="7577" width="8.7109375" style="213" customWidth="1"/>
    <col min="7578" max="7578" width="8" style="213"/>
    <col min="7579" max="7580" width="15.42578125" style="213" customWidth="1"/>
    <col min="7581" max="7826" width="8" style="213"/>
    <col min="7827" max="7827" width="4.28515625" style="213" customWidth="1"/>
    <col min="7828" max="7828" width="4.140625" style="213" customWidth="1"/>
    <col min="7829" max="7829" width="19.42578125" style="213" customWidth="1"/>
    <col min="7830" max="7832" width="16.28515625" style="213" customWidth="1"/>
    <col min="7833" max="7833" width="8.7109375" style="213" customWidth="1"/>
    <col min="7834" max="7834" width="8" style="213"/>
    <col min="7835" max="7836" width="15.42578125" style="213" customWidth="1"/>
    <col min="7837" max="8082" width="8" style="213"/>
    <col min="8083" max="8083" width="4.28515625" style="213" customWidth="1"/>
    <col min="8084" max="8084" width="4.140625" style="213" customWidth="1"/>
    <col min="8085" max="8085" width="19.42578125" style="213" customWidth="1"/>
    <col min="8086" max="8088" width="16.28515625" style="213" customWidth="1"/>
    <col min="8089" max="8089" width="8.7109375" style="213" customWidth="1"/>
    <col min="8090" max="8090" width="8" style="213"/>
    <col min="8091" max="8092" width="15.42578125" style="213" customWidth="1"/>
    <col min="8093" max="8338" width="8" style="213"/>
    <col min="8339" max="8339" width="4.28515625" style="213" customWidth="1"/>
    <col min="8340" max="8340" width="4.140625" style="213" customWidth="1"/>
    <col min="8341" max="8341" width="19.42578125" style="213" customWidth="1"/>
    <col min="8342" max="8344" width="16.28515625" style="213" customWidth="1"/>
    <col min="8345" max="8345" width="8.7109375" style="213" customWidth="1"/>
    <col min="8346" max="8346" width="8" style="213"/>
    <col min="8347" max="8348" width="15.42578125" style="213" customWidth="1"/>
    <col min="8349" max="8594" width="8" style="213"/>
    <col min="8595" max="8595" width="4.28515625" style="213" customWidth="1"/>
    <col min="8596" max="8596" width="4.140625" style="213" customWidth="1"/>
    <col min="8597" max="8597" width="19.42578125" style="213" customWidth="1"/>
    <col min="8598" max="8600" width="16.28515625" style="213" customWidth="1"/>
    <col min="8601" max="8601" width="8.7109375" style="213" customWidth="1"/>
    <col min="8602" max="8602" width="8" style="213"/>
    <col min="8603" max="8604" width="15.42578125" style="213" customWidth="1"/>
    <col min="8605" max="8850" width="8" style="213"/>
    <col min="8851" max="8851" width="4.28515625" style="213" customWidth="1"/>
    <col min="8852" max="8852" width="4.140625" style="213" customWidth="1"/>
    <col min="8853" max="8853" width="19.42578125" style="213" customWidth="1"/>
    <col min="8854" max="8856" width="16.28515625" style="213" customWidth="1"/>
    <col min="8857" max="8857" width="8.7109375" style="213" customWidth="1"/>
    <col min="8858" max="8858" width="8" style="213"/>
    <col min="8859" max="8860" width="15.42578125" style="213" customWidth="1"/>
    <col min="8861" max="9106" width="8" style="213"/>
    <col min="9107" max="9107" width="4.28515625" style="213" customWidth="1"/>
    <col min="9108" max="9108" width="4.140625" style="213" customWidth="1"/>
    <col min="9109" max="9109" width="19.42578125" style="213" customWidth="1"/>
    <col min="9110" max="9112" width="16.28515625" style="213" customWidth="1"/>
    <col min="9113" max="9113" width="8.7109375" style="213" customWidth="1"/>
    <col min="9114" max="9114" width="8" style="213"/>
    <col min="9115" max="9116" width="15.42578125" style="213" customWidth="1"/>
    <col min="9117" max="9362" width="8" style="213"/>
    <col min="9363" max="9363" width="4.28515625" style="213" customWidth="1"/>
    <col min="9364" max="9364" width="4.140625" style="213" customWidth="1"/>
    <col min="9365" max="9365" width="19.42578125" style="213" customWidth="1"/>
    <col min="9366" max="9368" width="16.28515625" style="213" customWidth="1"/>
    <col min="9369" max="9369" width="8.7109375" style="213" customWidth="1"/>
    <col min="9370" max="9370" width="8" style="213"/>
    <col min="9371" max="9372" width="15.42578125" style="213" customWidth="1"/>
    <col min="9373" max="9618" width="8" style="213"/>
    <col min="9619" max="9619" width="4.28515625" style="213" customWidth="1"/>
    <col min="9620" max="9620" width="4.140625" style="213" customWidth="1"/>
    <col min="9621" max="9621" width="19.42578125" style="213" customWidth="1"/>
    <col min="9622" max="9624" width="16.28515625" style="213" customWidth="1"/>
    <col min="9625" max="9625" width="8.7109375" style="213" customWidth="1"/>
    <col min="9626" max="9626" width="8" style="213"/>
    <col min="9627" max="9628" width="15.42578125" style="213" customWidth="1"/>
    <col min="9629" max="9874" width="8" style="213"/>
    <col min="9875" max="9875" width="4.28515625" style="213" customWidth="1"/>
    <col min="9876" max="9876" width="4.140625" style="213" customWidth="1"/>
    <col min="9877" max="9877" width="19.42578125" style="213" customWidth="1"/>
    <col min="9878" max="9880" width="16.28515625" style="213" customWidth="1"/>
    <col min="9881" max="9881" width="8.7109375" style="213" customWidth="1"/>
    <col min="9882" max="9882" width="8" style="213"/>
    <col min="9883" max="9884" width="15.42578125" style="213" customWidth="1"/>
    <col min="9885" max="10130" width="8" style="213"/>
    <col min="10131" max="10131" width="4.28515625" style="213" customWidth="1"/>
    <col min="10132" max="10132" width="4.140625" style="213" customWidth="1"/>
    <col min="10133" max="10133" width="19.42578125" style="213" customWidth="1"/>
    <col min="10134" max="10136" width="16.28515625" style="213" customWidth="1"/>
    <col min="10137" max="10137" width="8.7109375" style="213" customWidth="1"/>
    <col min="10138" max="10138" width="8" style="213"/>
    <col min="10139" max="10140" width="15.42578125" style="213" customWidth="1"/>
    <col min="10141" max="10386" width="8" style="213"/>
    <col min="10387" max="10387" width="4.28515625" style="213" customWidth="1"/>
    <col min="10388" max="10388" width="4.140625" style="213" customWidth="1"/>
    <col min="10389" max="10389" width="19.42578125" style="213" customWidth="1"/>
    <col min="10390" max="10392" width="16.28515625" style="213" customWidth="1"/>
    <col min="10393" max="10393" width="8.7109375" style="213" customWidth="1"/>
    <col min="10394" max="10394" width="8" style="213"/>
    <col min="10395" max="10396" width="15.42578125" style="213" customWidth="1"/>
    <col min="10397" max="10642" width="8" style="213"/>
    <col min="10643" max="10643" width="4.28515625" style="213" customWidth="1"/>
    <col min="10644" max="10644" width="4.140625" style="213" customWidth="1"/>
    <col min="10645" max="10645" width="19.42578125" style="213" customWidth="1"/>
    <col min="10646" max="10648" width="16.28515625" style="213" customWidth="1"/>
    <col min="10649" max="10649" width="8.7109375" style="213" customWidth="1"/>
    <col min="10650" max="10650" width="8" style="213"/>
    <col min="10651" max="10652" width="15.42578125" style="213" customWidth="1"/>
    <col min="10653" max="10898" width="8" style="213"/>
    <col min="10899" max="10899" width="4.28515625" style="213" customWidth="1"/>
    <col min="10900" max="10900" width="4.140625" style="213" customWidth="1"/>
    <col min="10901" max="10901" width="19.42578125" style="213" customWidth="1"/>
    <col min="10902" max="10904" width="16.28515625" style="213" customWidth="1"/>
    <col min="10905" max="10905" width="8.7109375" style="213" customWidth="1"/>
    <col min="10906" max="10906" width="8" style="213"/>
    <col min="10907" max="10908" width="15.42578125" style="213" customWidth="1"/>
    <col min="10909" max="11154" width="8" style="213"/>
    <col min="11155" max="11155" width="4.28515625" style="213" customWidth="1"/>
    <col min="11156" max="11156" width="4.140625" style="213" customWidth="1"/>
    <col min="11157" max="11157" width="19.42578125" style="213" customWidth="1"/>
    <col min="11158" max="11160" width="16.28515625" style="213" customWidth="1"/>
    <col min="11161" max="11161" width="8.7109375" style="213" customWidth="1"/>
    <col min="11162" max="11162" width="8" style="213"/>
    <col min="11163" max="11164" width="15.42578125" style="213" customWidth="1"/>
    <col min="11165" max="11410" width="8" style="213"/>
    <col min="11411" max="11411" width="4.28515625" style="213" customWidth="1"/>
    <col min="11412" max="11412" width="4.140625" style="213" customWidth="1"/>
    <col min="11413" max="11413" width="19.42578125" style="213" customWidth="1"/>
    <col min="11414" max="11416" width="16.28515625" style="213" customWidth="1"/>
    <col min="11417" max="11417" width="8.7109375" style="213" customWidth="1"/>
    <col min="11418" max="11418" width="8" style="213"/>
    <col min="11419" max="11420" width="15.42578125" style="213" customWidth="1"/>
    <col min="11421" max="11666" width="8" style="213"/>
    <col min="11667" max="11667" width="4.28515625" style="213" customWidth="1"/>
    <col min="11668" max="11668" width="4.140625" style="213" customWidth="1"/>
    <col min="11669" max="11669" width="19.42578125" style="213" customWidth="1"/>
    <col min="11670" max="11672" width="16.28515625" style="213" customWidth="1"/>
    <col min="11673" max="11673" width="8.7109375" style="213" customWidth="1"/>
    <col min="11674" max="11674" width="8" style="213"/>
    <col min="11675" max="11676" width="15.42578125" style="213" customWidth="1"/>
    <col min="11677" max="11922" width="8" style="213"/>
    <col min="11923" max="11923" width="4.28515625" style="213" customWidth="1"/>
    <col min="11924" max="11924" width="4.140625" style="213" customWidth="1"/>
    <col min="11925" max="11925" width="19.42578125" style="213" customWidth="1"/>
    <col min="11926" max="11928" width="16.28515625" style="213" customWidth="1"/>
    <col min="11929" max="11929" width="8.7109375" style="213" customWidth="1"/>
    <col min="11930" max="11930" width="8" style="213"/>
    <col min="11931" max="11932" width="15.42578125" style="213" customWidth="1"/>
    <col min="11933" max="12178" width="8" style="213"/>
    <col min="12179" max="12179" width="4.28515625" style="213" customWidth="1"/>
    <col min="12180" max="12180" width="4.140625" style="213" customWidth="1"/>
    <col min="12181" max="12181" width="19.42578125" style="213" customWidth="1"/>
    <col min="12182" max="12184" width="16.28515625" style="213" customWidth="1"/>
    <col min="12185" max="12185" width="8.7109375" style="213" customWidth="1"/>
    <col min="12186" max="12186" width="8" style="213"/>
    <col min="12187" max="12188" width="15.42578125" style="213" customWidth="1"/>
    <col min="12189" max="12434" width="8" style="213"/>
    <col min="12435" max="12435" width="4.28515625" style="213" customWidth="1"/>
    <col min="12436" max="12436" width="4.140625" style="213" customWidth="1"/>
    <col min="12437" max="12437" width="19.42578125" style="213" customWidth="1"/>
    <col min="12438" max="12440" width="16.28515625" style="213" customWidth="1"/>
    <col min="12441" max="12441" width="8.7109375" style="213" customWidth="1"/>
    <col min="12442" max="12442" width="8" style="213"/>
    <col min="12443" max="12444" width="15.42578125" style="213" customWidth="1"/>
    <col min="12445" max="12690" width="8" style="213"/>
    <col min="12691" max="12691" width="4.28515625" style="213" customWidth="1"/>
    <col min="12692" max="12692" width="4.140625" style="213" customWidth="1"/>
    <col min="12693" max="12693" width="19.42578125" style="213" customWidth="1"/>
    <col min="12694" max="12696" width="16.28515625" style="213" customWidth="1"/>
    <col min="12697" max="12697" width="8.7109375" style="213" customWidth="1"/>
    <col min="12698" max="12698" width="8" style="213"/>
    <col min="12699" max="12700" width="15.42578125" style="213" customWidth="1"/>
    <col min="12701" max="12946" width="8" style="213"/>
    <col min="12947" max="12947" width="4.28515625" style="213" customWidth="1"/>
    <col min="12948" max="12948" width="4.140625" style="213" customWidth="1"/>
    <col min="12949" max="12949" width="19.42578125" style="213" customWidth="1"/>
    <col min="12950" max="12952" width="16.28515625" style="213" customWidth="1"/>
    <col min="12953" max="12953" width="8.7109375" style="213" customWidth="1"/>
    <col min="12954" max="12954" width="8" style="213"/>
    <col min="12955" max="12956" width="15.42578125" style="213" customWidth="1"/>
    <col min="12957" max="13202" width="8" style="213"/>
    <col min="13203" max="13203" width="4.28515625" style="213" customWidth="1"/>
    <col min="13204" max="13204" width="4.140625" style="213" customWidth="1"/>
    <col min="13205" max="13205" width="19.42578125" style="213" customWidth="1"/>
    <col min="13206" max="13208" width="16.28515625" style="213" customWidth="1"/>
    <col min="13209" max="13209" width="8.7109375" style="213" customWidth="1"/>
    <col min="13210" max="13210" width="8" style="213"/>
    <col min="13211" max="13212" width="15.42578125" style="213" customWidth="1"/>
    <col min="13213" max="13458" width="8" style="213"/>
    <col min="13459" max="13459" width="4.28515625" style="213" customWidth="1"/>
    <col min="13460" max="13460" width="4.140625" style="213" customWidth="1"/>
    <col min="13461" max="13461" width="19.42578125" style="213" customWidth="1"/>
    <col min="13462" max="13464" width="16.28515625" style="213" customWidth="1"/>
    <col min="13465" max="13465" width="8.7109375" style="213" customWidth="1"/>
    <col min="13466" max="13466" width="8" style="213"/>
    <col min="13467" max="13468" width="15.42578125" style="213" customWidth="1"/>
    <col min="13469" max="13714" width="8" style="213"/>
    <col min="13715" max="13715" width="4.28515625" style="213" customWidth="1"/>
    <col min="13716" max="13716" width="4.140625" style="213" customWidth="1"/>
    <col min="13717" max="13717" width="19.42578125" style="213" customWidth="1"/>
    <col min="13718" max="13720" width="16.28515625" style="213" customWidth="1"/>
    <col min="13721" max="13721" width="8.7109375" style="213" customWidth="1"/>
    <col min="13722" max="13722" width="8" style="213"/>
    <col min="13723" max="13724" width="15.42578125" style="213" customWidth="1"/>
    <col min="13725" max="13970" width="8" style="213"/>
    <col min="13971" max="13971" width="4.28515625" style="213" customWidth="1"/>
    <col min="13972" max="13972" width="4.140625" style="213" customWidth="1"/>
    <col min="13973" max="13973" width="19.42578125" style="213" customWidth="1"/>
    <col min="13974" max="13976" width="16.28515625" style="213" customWidth="1"/>
    <col min="13977" max="13977" width="8.7109375" style="213" customWidth="1"/>
    <col min="13978" max="13978" width="8" style="213"/>
    <col min="13979" max="13980" width="15.42578125" style="213" customWidth="1"/>
    <col min="13981" max="14226" width="8" style="213"/>
    <col min="14227" max="14227" width="4.28515625" style="213" customWidth="1"/>
    <col min="14228" max="14228" width="4.140625" style="213" customWidth="1"/>
    <col min="14229" max="14229" width="19.42578125" style="213" customWidth="1"/>
    <col min="14230" max="14232" width="16.28515625" style="213" customWidth="1"/>
    <col min="14233" max="14233" width="8.7109375" style="213" customWidth="1"/>
    <col min="14234" max="14234" width="8" style="213"/>
    <col min="14235" max="14236" width="15.42578125" style="213" customWidth="1"/>
    <col min="14237" max="14482" width="8" style="213"/>
    <col min="14483" max="14483" width="4.28515625" style="213" customWidth="1"/>
    <col min="14484" max="14484" width="4.140625" style="213" customWidth="1"/>
    <col min="14485" max="14485" width="19.42578125" style="213" customWidth="1"/>
    <col min="14486" max="14488" width="16.28515625" style="213" customWidth="1"/>
    <col min="14489" max="14489" width="8.7109375" style="213" customWidth="1"/>
    <col min="14490" max="14490" width="8" style="213"/>
    <col min="14491" max="14492" width="15.42578125" style="213" customWidth="1"/>
    <col min="14493" max="14738" width="8" style="213"/>
    <col min="14739" max="14739" width="4.28515625" style="213" customWidth="1"/>
    <col min="14740" max="14740" width="4.140625" style="213" customWidth="1"/>
    <col min="14741" max="14741" width="19.42578125" style="213" customWidth="1"/>
    <col min="14742" max="14744" width="16.28515625" style="213" customWidth="1"/>
    <col min="14745" max="14745" width="8.7109375" style="213" customWidth="1"/>
    <col min="14746" max="14746" width="8" style="213"/>
    <col min="14747" max="14748" width="15.42578125" style="213" customWidth="1"/>
    <col min="14749" max="14994" width="8" style="213"/>
    <col min="14995" max="14995" width="4.28515625" style="213" customWidth="1"/>
    <col min="14996" max="14996" width="4.140625" style="213" customWidth="1"/>
    <col min="14997" max="14997" width="19.42578125" style="213" customWidth="1"/>
    <col min="14998" max="15000" width="16.28515625" style="213" customWidth="1"/>
    <col min="15001" max="15001" width="8.7109375" style="213" customWidth="1"/>
    <col min="15002" max="15002" width="8" style="213"/>
    <col min="15003" max="15004" width="15.42578125" style="213" customWidth="1"/>
    <col min="15005" max="15250" width="8" style="213"/>
    <col min="15251" max="15251" width="4.28515625" style="213" customWidth="1"/>
    <col min="15252" max="15252" width="4.140625" style="213" customWidth="1"/>
    <col min="15253" max="15253" width="19.42578125" style="213" customWidth="1"/>
    <col min="15254" max="15256" width="16.28515625" style="213" customWidth="1"/>
    <col min="15257" max="15257" width="8.7109375" style="213" customWidth="1"/>
    <col min="15258" max="15258" width="8" style="213"/>
    <col min="15259" max="15260" width="15.42578125" style="213" customWidth="1"/>
    <col min="15261" max="15506" width="8" style="213"/>
    <col min="15507" max="15507" width="4.28515625" style="213" customWidth="1"/>
    <col min="15508" max="15508" width="4.140625" style="213" customWidth="1"/>
    <col min="15509" max="15509" width="19.42578125" style="213" customWidth="1"/>
    <col min="15510" max="15512" width="16.28515625" style="213" customWidth="1"/>
    <col min="15513" max="15513" width="8.7109375" style="213" customWidth="1"/>
    <col min="15514" max="15514" width="8" style="213"/>
    <col min="15515" max="15516" width="15.42578125" style="213" customWidth="1"/>
    <col min="15517" max="15762" width="8" style="213"/>
    <col min="15763" max="15763" width="4.28515625" style="213" customWidth="1"/>
    <col min="15764" max="15764" width="4.140625" style="213" customWidth="1"/>
    <col min="15765" max="15765" width="19.42578125" style="213" customWidth="1"/>
    <col min="15766" max="15768" width="16.28515625" style="213" customWidth="1"/>
    <col min="15769" max="15769" width="8.7109375" style="213" customWidth="1"/>
    <col min="15770" max="15770" width="8" style="213"/>
    <col min="15771" max="15772" width="15.42578125" style="213" customWidth="1"/>
    <col min="15773" max="16018" width="8" style="213"/>
    <col min="16019" max="16019" width="4.28515625" style="213" customWidth="1"/>
    <col min="16020" max="16020" width="4.140625" style="213" customWidth="1"/>
    <col min="16021" max="16021" width="19.42578125" style="213" customWidth="1"/>
    <col min="16022" max="16024" width="16.28515625" style="213" customWidth="1"/>
    <col min="16025" max="16025" width="8.7109375" style="213" customWidth="1"/>
    <col min="16026" max="16026" width="8" style="213"/>
    <col min="16027" max="16028" width="15.42578125" style="213" customWidth="1"/>
    <col min="16029" max="16384" width="8" style="213"/>
  </cols>
  <sheetData>
    <row r="1" spans="1:7" ht="39.75" customHeight="1">
      <c r="A1" s="2419" t="s">
        <v>1018</v>
      </c>
      <c r="B1" s="2419"/>
      <c r="C1" s="2419"/>
      <c r="D1" s="2419"/>
      <c r="E1" s="2419"/>
      <c r="F1" s="2419"/>
      <c r="G1" s="2419"/>
    </row>
    <row r="2" spans="1:7" ht="27">
      <c r="A2" s="2420" t="s">
        <v>41</v>
      </c>
      <c r="B2" s="2422" t="s">
        <v>67</v>
      </c>
      <c r="C2" s="2424" t="s">
        <v>776</v>
      </c>
      <c r="D2" s="782" t="s">
        <v>871</v>
      </c>
      <c r="E2" s="781" t="s">
        <v>1010</v>
      </c>
      <c r="F2" s="788" t="s">
        <v>1017</v>
      </c>
      <c r="G2" s="782" t="s">
        <v>1019</v>
      </c>
    </row>
    <row r="3" spans="1:7">
      <c r="A3" s="2421"/>
      <c r="B3" s="2423"/>
      <c r="C3" s="2425"/>
      <c r="D3" s="2426" t="s">
        <v>4</v>
      </c>
      <c r="E3" s="2427"/>
      <c r="F3" s="2428"/>
      <c r="G3" s="794" t="s">
        <v>777</v>
      </c>
    </row>
    <row r="4" spans="1:7" s="214" customFormat="1" ht="11.25" customHeight="1">
      <c r="A4" s="774" t="s">
        <v>887</v>
      </c>
      <c r="B4" s="775" t="s">
        <v>888</v>
      </c>
      <c r="C4" s="776" t="s">
        <v>889</v>
      </c>
      <c r="D4" s="783" t="s">
        <v>890</v>
      </c>
      <c r="E4" s="777" t="s">
        <v>891</v>
      </c>
      <c r="F4" s="789" t="s">
        <v>892</v>
      </c>
      <c r="G4" s="795" t="s">
        <v>893</v>
      </c>
    </row>
    <row r="5" spans="1:7" s="215" customFormat="1" ht="15.75" customHeight="1">
      <c r="A5" s="772" t="s">
        <v>6</v>
      </c>
      <c r="B5" s="773" t="s">
        <v>128</v>
      </c>
      <c r="C5" s="729" t="s">
        <v>681</v>
      </c>
      <c r="D5" s="784">
        <v>1439461</v>
      </c>
      <c r="E5" s="778">
        <v>682806</v>
      </c>
      <c r="F5" s="790">
        <v>682806</v>
      </c>
      <c r="G5" s="833">
        <f t="shared" ref="G5:G25" si="0">F5/D5*100</f>
        <v>47.434838456894632</v>
      </c>
    </row>
    <row r="6" spans="1:7" s="211" customFormat="1" ht="15.75" customHeight="1">
      <c r="A6" s="769" t="s">
        <v>6</v>
      </c>
      <c r="B6" s="771" t="s">
        <v>132</v>
      </c>
      <c r="C6" s="730" t="s">
        <v>674</v>
      </c>
      <c r="D6" s="785">
        <v>9977152.0000000019</v>
      </c>
      <c r="E6" s="779">
        <v>8473957</v>
      </c>
      <c r="F6" s="791">
        <v>8473957</v>
      </c>
      <c r="G6" s="831">
        <f t="shared" si="0"/>
        <v>84.933626349483276</v>
      </c>
    </row>
    <row r="7" spans="1:7" s="211" customFormat="1" ht="15.75" customHeight="1">
      <c r="A7" s="769" t="s">
        <v>6</v>
      </c>
      <c r="B7" s="771" t="s">
        <v>11</v>
      </c>
      <c r="C7" s="730" t="s">
        <v>669</v>
      </c>
      <c r="D7" s="785">
        <v>4418419</v>
      </c>
      <c r="E7" s="779">
        <v>3329316</v>
      </c>
      <c r="F7" s="791">
        <v>3329316</v>
      </c>
      <c r="G7" s="831">
        <f t="shared" si="0"/>
        <v>75.350843819927448</v>
      </c>
    </row>
    <row r="8" spans="1:7" s="211" customFormat="1" ht="15.75" customHeight="1">
      <c r="A8" s="769" t="s">
        <v>6</v>
      </c>
      <c r="B8" s="771" t="s">
        <v>138</v>
      </c>
      <c r="C8" s="730" t="s">
        <v>664</v>
      </c>
      <c r="D8" s="785">
        <v>16832462</v>
      </c>
      <c r="E8" s="779">
        <v>19529638</v>
      </c>
      <c r="F8" s="791">
        <v>19529638</v>
      </c>
      <c r="G8" s="831">
        <f t="shared" si="0"/>
        <v>116.02365714534213</v>
      </c>
    </row>
    <row r="9" spans="1:7" s="212" customFormat="1" ht="15.75" customHeight="1">
      <c r="A9" s="769" t="s">
        <v>7</v>
      </c>
      <c r="B9" s="770" t="s">
        <v>128</v>
      </c>
      <c r="C9" s="730" t="s">
        <v>658</v>
      </c>
      <c r="D9" s="785">
        <v>949394</v>
      </c>
      <c r="E9" s="779">
        <v>1707041</v>
      </c>
      <c r="F9" s="791">
        <v>1707041</v>
      </c>
      <c r="G9" s="831">
        <f t="shared" si="0"/>
        <v>179.80322184467144</v>
      </c>
    </row>
    <row r="10" spans="1:7" s="212" customFormat="1" ht="15.75" customHeight="1">
      <c r="A10" s="769" t="s">
        <v>1</v>
      </c>
      <c r="B10" s="770" t="s">
        <v>127</v>
      </c>
      <c r="C10" s="730" t="s">
        <v>612</v>
      </c>
      <c r="D10" s="785">
        <v>3189114</v>
      </c>
      <c r="E10" s="779">
        <v>1278373</v>
      </c>
      <c r="F10" s="791">
        <v>1278373</v>
      </c>
      <c r="G10" s="831">
        <f t="shared" si="0"/>
        <v>40.08552218578577</v>
      </c>
    </row>
    <row r="11" spans="1:7" s="212" customFormat="1" ht="15.75" customHeight="1">
      <c r="A11" s="769" t="s">
        <v>1</v>
      </c>
      <c r="B11" s="770" t="s">
        <v>8</v>
      </c>
      <c r="C11" s="730" t="s">
        <v>607</v>
      </c>
      <c r="D11" s="785">
        <v>1021940</v>
      </c>
      <c r="E11" s="779">
        <v>944044</v>
      </c>
      <c r="F11" s="791">
        <v>944044</v>
      </c>
      <c r="G11" s="831">
        <f t="shared" si="0"/>
        <v>92.377634694796171</v>
      </c>
    </row>
    <row r="12" spans="1:7" s="212" customFormat="1" ht="15.75" customHeight="1">
      <c r="A12" s="769" t="s">
        <v>2</v>
      </c>
      <c r="B12" s="770" t="s">
        <v>8</v>
      </c>
      <c r="C12" s="730" t="s">
        <v>587</v>
      </c>
      <c r="D12" s="785">
        <v>2366818</v>
      </c>
      <c r="E12" s="779">
        <v>4849600</v>
      </c>
      <c r="F12" s="791">
        <v>4849600</v>
      </c>
      <c r="G12" s="831">
        <f t="shared" si="0"/>
        <v>204.89957402723826</v>
      </c>
    </row>
    <row r="13" spans="1:7" s="212" customFormat="1" ht="15.75" customHeight="1">
      <c r="A13" s="769" t="s">
        <v>10</v>
      </c>
      <c r="B13" s="770" t="s">
        <v>129</v>
      </c>
      <c r="C13" s="730" t="s">
        <v>425</v>
      </c>
      <c r="D13" s="742">
        <v>13659442</v>
      </c>
      <c r="E13" s="727">
        <v>12390188</v>
      </c>
      <c r="F13" s="792">
        <v>12390188</v>
      </c>
      <c r="G13" s="831">
        <f t="shared" si="0"/>
        <v>90.707863469093397</v>
      </c>
    </row>
    <row r="14" spans="1:7" s="212" customFormat="1" ht="15.75" customHeight="1">
      <c r="A14" s="769" t="s">
        <v>10</v>
      </c>
      <c r="B14" s="770" t="s">
        <v>9</v>
      </c>
      <c r="C14" s="730" t="s">
        <v>567</v>
      </c>
      <c r="D14" s="742">
        <v>11435411.000000002</v>
      </c>
      <c r="E14" s="727">
        <v>14165147</v>
      </c>
      <c r="F14" s="792">
        <v>14165147</v>
      </c>
      <c r="G14" s="831">
        <f t="shared" si="0"/>
        <v>123.87090415901972</v>
      </c>
    </row>
    <row r="15" spans="1:7" s="212" customFormat="1" ht="15.75" customHeight="1">
      <c r="A15" s="769" t="s">
        <v>10</v>
      </c>
      <c r="B15" s="771" t="s">
        <v>135</v>
      </c>
      <c r="C15" s="730" t="s">
        <v>560</v>
      </c>
      <c r="D15" s="742">
        <v>10839739</v>
      </c>
      <c r="E15" s="727">
        <v>10831261</v>
      </c>
      <c r="F15" s="792">
        <v>10831261</v>
      </c>
      <c r="G15" s="831">
        <f t="shared" si="0"/>
        <v>99.92178778474279</v>
      </c>
    </row>
    <row r="16" spans="1:7" s="212" customFormat="1" ht="15.75" customHeight="1">
      <c r="A16" s="769" t="s">
        <v>10</v>
      </c>
      <c r="B16" s="771" t="s">
        <v>12</v>
      </c>
      <c r="C16" s="730" t="s">
        <v>559</v>
      </c>
      <c r="D16" s="742">
        <v>54285944</v>
      </c>
      <c r="E16" s="727">
        <v>58360224</v>
      </c>
      <c r="F16" s="792">
        <v>58360224</v>
      </c>
      <c r="G16" s="831">
        <f t="shared" si="0"/>
        <v>107.50522087264432</v>
      </c>
    </row>
    <row r="17" spans="1:7" s="212" customFormat="1" ht="15.75" customHeight="1">
      <c r="A17" s="769" t="s">
        <v>10</v>
      </c>
      <c r="B17" s="771" t="s">
        <v>137</v>
      </c>
      <c r="C17" s="730" t="s">
        <v>556</v>
      </c>
      <c r="D17" s="742">
        <v>33790192</v>
      </c>
      <c r="E17" s="727">
        <v>36902151</v>
      </c>
      <c r="F17" s="792">
        <v>36902151</v>
      </c>
      <c r="G17" s="831">
        <f t="shared" si="0"/>
        <v>109.20965172379013</v>
      </c>
    </row>
    <row r="18" spans="1:7" s="212" customFormat="1" ht="15.75" customHeight="1">
      <c r="A18" s="769" t="s">
        <v>10</v>
      </c>
      <c r="B18" s="771" t="s">
        <v>19</v>
      </c>
      <c r="C18" s="730" t="s">
        <v>546</v>
      </c>
      <c r="D18" s="742">
        <v>29949308</v>
      </c>
      <c r="E18" s="727">
        <v>32749574</v>
      </c>
      <c r="F18" s="792">
        <v>32749574</v>
      </c>
      <c r="G18" s="831">
        <f t="shared" si="0"/>
        <v>109.35001903883723</v>
      </c>
    </row>
    <row r="19" spans="1:7" ht="15.75" customHeight="1">
      <c r="A19" s="769" t="s">
        <v>10</v>
      </c>
      <c r="B19" s="771" t="s">
        <v>141</v>
      </c>
      <c r="C19" s="730" t="s">
        <v>544</v>
      </c>
      <c r="D19" s="742">
        <v>5796559.0000000009</v>
      </c>
      <c r="E19" s="727">
        <v>8010700</v>
      </c>
      <c r="F19" s="792">
        <v>8010700</v>
      </c>
      <c r="G19" s="831">
        <f t="shared" si="0"/>
        <v>138.19750648617566</v>
      </c>
    </row>
    <row r="20" spans="1:7" ht="15.75" customHeight="1">
      <c r="A20" s="769" t="s">
        <v>15</v>
      </c>
      <c r="B20" s="770" t="s">
        <v>6</v>
      </c>
      <c r="C20" s="730" t="s">
        <v>477</v>
      </c>
      <c r="D20" s="785">
        <v>247500</v>
      </c>
      <c r="E20" s="779">
        <v>719470</v>
      </c>
      <c r="F20" s="791">
        <v>719470</v>
      </c>
      <c r="G20" s="831">
        <f t="shared" si="0"/>
        <v>290.69494949494947</v>
      </c>
    </row>
    <row r="21" spans="1:7" ht="15.75" customHeight="1">
      <c r="A21" s="769" t="s">
        <v>15</v>
      </c>
      <c r="B21" s="770" t="s">
        <v>9</v>
      </c>
      <c r="C21" s="730" t="s">
        <v>471</v>
      </c>
      <c r="D21" s="785">
        <v>3562332</v>
      </c>
      <c r="E21" s="779">
        <v>3664204</v>
      </c>
      <c r="F21" s="791">
        <v>3664204</v>
      </c>
      <c r="G21" s="831">
        <f t="shared" si="0"/>
        <v>102.85969976970142</v>
      </c>
    </row>
    <row r="22" spans="1:7" ht="15.75" customHeight="1">
      <c r="A22" s="769" t="s">
        <v>15</v>
      </c>
      <c r="B22" s="771" t="s">
        <v>10</v>
      </c>
      <c r="C22" s="730" t="s">
        <v>465</v>
      </c>
      <c r="D22" s="786">
        <v>1128508</v>
      </c>
      <c r="E22" s="780">
        <v>1030969</v>
      </c>
      <c r="F22" s="793">
        <v>1030969</v>
      </c>
      <c r="G22" s="831">
        <f t="shared" si="0"/>
        <v>91.356818028760102</v>
      </c>
    </row>
    <row r="23" spans="1:7" ht="15.75" customHeight="1">
      <c r="A23" s="769" t="s">
        <v>18</v>
      </c>
      <c r="B23" s="771" t="s">
        <v>9</v>
      </c>
      <c r="C23" s="730" t="s">
        <v>422</v>
      </c>
      <c r="D23" s="786">
        <v>1158867</v>
      </c>
      <c r="E23" s="780">
        <v>2261196</v>
      </c>
      <c r="F23" s="793">
        <v>2261196</v>
      </c>
      <c r="G23" s="831">
        <f t="shared" si="0"/>
        <v>195.12126930873001</v>
      </c>
    </row>
    <row r="24" spans="1:7" ht="15.75" customHeight="1">
      <c r="A24" s="769" t="s">
        <v>18</v>
      </c>
      <c r="B24" s="771" t="s">
        <v>137</v>
      </c>
      <c r="C24" s="730" t="s">
        <v>409</v>
      </c>
      <c r="D24" s="787">
        <v>38336393</v>
      </c>
      <c r="E24" s="734">
        <v>44645487</v>
      </c>
      <c r="F24" s="749">
        <v>44645487</v>
      </c>
      <c r="G24" s="831">
        <f t="shared" si="0"/>
        <v>116.45719251678163</v>
      </c>
    </row>
    <row r="25" spans="1:7" ht="15.75" customHeight="1">
      <c r="A25" s="796" t="s">
        <v>19</v>
      </c>
      <c r="B25" s="797" t="s">
        <v>132</v>
      </c>
      <c r="C25" s="761" t="s">
        <v>388</v>
      </c>
      <c r="D25" s="798">
        <v>5256199</v>
      </c>
      <c r="E25" s="799">
        <v>5316888</v>
      </c>
      <c r="F25" s="800">
        <v>5316888</v>
      </c>
      <c r="G25" s="832">
        <f t="shared" si="0"/>
        <v>101.15461762387612</v>
      </c>
    </row>
    <row r="26" spans="1:7" ht="18" customHeight="1">
      <c r="A26" s="2416" t="s">
        <v>20</v>
      </c>
      <c r="B26" s="2417"/>
      <c r="C26" s="2418"/>
      <c r="D26" s="801">
        <f>SUM(D5:D25)</f>
        <v>249641154</v>
      </c>
      <c r="E26" s="802">
        <f>SUM(E5:E25)</f>
        <v>271842234</v>
      </c>
      <c r="F26" s="803">
        <f>SUM(F5:F25)</f>
        <v>271842234</v>
      </c>
      <c r="G26" s="804"/>
    </row>
  </sheetData>
  <mergeCells count="6">
    <mergeCell ref="A26:C26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42"/>
  <sheetViews>
    <sheetView showGridLines="0" workbookViewId="0">
      <selection activeCell="I22" sqref="I22"/>
    </sheetView>
  </sheetViews>
  <sheetFormatPr defaultColWidth="8" defaultRowHeight="13.5"/>
  <cols>
    <col min="1" max="1" width="3.85546875" style="213" bestFit="1" customWidth="1"/>
    <col min="2" max="2" width="3.28515625" style="213" bestFit="1" customWidth="1"/>
    <col min="3" max="3" width="22.5703125" style="213" customWidth="1"/>
    <col min="4" max="5" width="14" style="218" customWidth="1"/>
    <col min="6" max="6" width="15.42578125" style="218" customWidth="1"/>
    <col min="7" max="7" width="10.85546875" style="213" customWidth="1"/>
    <col min="8" max="256" width="8" style="213"/>
    <col min="257" max="257" width="3.85546875" style="213" bestFit="1" customWidth="1"/>
    <col min="258" max="258" width="3.28515625" style="213" bestFit="1" customWidth="1"/>
    <col min="259" max="259" width="22.5703125" style="213" customWidth="1"/>
    <col min="260" max="261" width="14" style="213" customWidth="1"/>
    <col min="262" max="262" width="15.42578125" style="213" customWidth="1"/>
    <col min="263" max="263" width="10.85546875" style="213" customWidth="1"/>
    <col min="264" max="512" width="8" style="213"/>
    <col min="513" max="513" width="3.85546875" style="213" bestFit="1" customWidth="1"/>
    <col min="514" max="514" width="3.28515625" style="213" bestFit="1" customWidth="1"/>
    <col min="515" max="515" width="22.5703125" style="213" customWidth="1"/>
    <col min="516" max="517" width="14" style="213" customWidth="1"/>
    <col min="518" max="518" width="15.42578125" style="213" customWidth="1"/>
    <col min="519" max="519" width="10.85546875" style="213" customWidth="1"/>
    <col min="520" max="768" width="8" style="213"/>
    <col min="769" max="769" width="3.85546875" style="213" bestFit="1" customWidth="1"/>
    <col min="770" max="770" width="3.28515625" style="213" bestFit="1" customWidth="1"/>
    <col min="771" max="771" width="22.5703125" style="213" customWidth="1"/>
    <col min="772" max="773" width="14" style="213" customWidth="1"/>
    <col min="774" max="774" width="15.42578125" style="213" customWidth="1"/>
    <col min="775" max="775" width="10.85546875" style="213" customWidth="1"/>
    <col min="776" max="1024" width="8" style="213"/>
    <col min="1025" max="1025" width="3.85546875" style="213" bestFit="1" customWidth="1"/>
    <col min="1026" max="1026" width="3.28515625" style="213" bestFit="1" customWidth="1"/>
    <col min="1027" max="1027" width="22.5703125" style="213" customWidth="1"/>
    <col min="1028" max="1029" width="14" style="213" customWidth="1"/>
    <col min="1030" max="1030" width="15.42578125" style="213" customWidth="1"/>
    <col min="1031" max="1031" width="10.85546875" style="213" customWidth="1"/>
    <col min="1032" max="1280" width="8" style="213"/>
    <col min="1281" max="1281" width="3.85546875" style="213" bestFit="1" customWidth="1"/>
    <col min="1282" max="1282" width="3.28515625" style="213" bestFit="1" customWidth="1"/>
    <col min="1283" max="1283" width="22.5703125" style="213" customWidth="1"/>
    <col min="1284" max="1285" width="14" style="213" customWidth="1"/>
    <col min="1286" max="1286" width="15.42578125" style="213" customWidth="1"/>
    <col min="1287" max="1287" width="10.85546875" style="213" customWidth="1"/>
    <col min="1288" max="1536" width="8" style="213"/>
    <col min="1537" max="1537" width="3.85546875" style="213" bestFit="1" customWidth="1"/>
    <col min="1538" max="1538" width="3.28515625" style="213" bestFit="1" customWidth="1"/>
    <col min="1539" max="1539" width="22.5703125" style="213" customWidth="1"/>
    <col min="1540" max="1541" width="14" style="213" customWidth="1"/>
    <col min="1542" max="1542" width="15.42578125" style="213" customWidth="1"/>
    <col min="1543" max="1543" width="10.85546875" style="213" customWidth="1"/>
    <col min="1544" max="1792" width="8" style="213"/>
    <col min="1793" max="1793" width="3.85546875" style="213" bestFit="1" customWidth="1"/>
    <col min="1794" max="1794" width="3.28515625" style="213" bestFit="1" customWidth="1"/>
    <col min="1795" max="1795" width="22.5703125" style="213" customWidth="1"/>
    <col min="1796" max="1797" width="14" style="213" customWidth="1"/>
    <col min="1798" max="1798" width="15.42578125" style="213" customWidth="1"/>
    <col min="1799" max="1799" width="10.85546875" style="213" customWidth="1"/>
    <col min="1800" max="2048" width="8" style="213"/>
    <col min="2049" max="2049" width="3.85546875" style="213" bestFit="1" customWidth="1"/>
    <col min="2050" max="2050" width="3.28515625" style="213" bestFit="1" customWidth="1"/>
    <col min="2051" max="2051" width="22.5703125" style="213" customWidth="1"/>
    <col min="2052" max="2053" width="14" style="213" customWidth="1"/>
    <col min="2054" max="2054" width="15.42578125" style="213" customWidth="1"/>
    <col min="2055" max="2055" width="10.85546875" style="213" customWidth="1"/>
    <col min="2056" max="2304" width="8" style="213"/>
    <col min="2305" max="2305" width="3.85546875" style="213" bestFit="1" customWidth="1"/>
    <col min="2306" max="2306" width="3.28515625" style="213" bestFit="1" customWidth="1"/>
    <col min="2307" max="2307" width="22.5703125" style="213" customWidth="1"/>
    <col min="2308" max="2309" width="14" style="213" customWidth="1"/>
    <col min="2310" max="2310" width="15.42578125" style="213" customWidth="1"/>
    <col min="2311" max="2311" width="10.85546875" style="213" customWidth="1"/>
    <col min="2312" max="2560" width="8" style="213"/>
    <col min="2561" max="2561" width="3.85546875" style="213" bestFit="1" customWidth="1"/>
    <col min="2562" max="2562" width="3.28515625" style="213" bestFit="1" customWidth="1"/>
    <col min="2563" max="2563" width="22.5703125" style="213" customWidth="1"/>
    <col min="2564" max="2565" width="14" style="213" customWidth="1"/>
    <col min="2566" max="2566" width="15.42578125" style="213" customWidth="1"/>
    <col min="2567" max="2567" width="10.85546875" style="213" customWidth="1"/>
    <col min="2568" max="2816" width="8" style="213"/>
    <col min="2817" max="2817" width="3.85546875" style="213" bestFit="1" customWidth="1"/>
    <col min="2818" max="2818" width="3.28515625" style="213" bestFit="1" customWidth="1"/>
    <col min="2819" max="2819" width="22.5703125" style="213" customWidth="1"/>
    <col min="2820" max="2821" width="14" style="213" customWidth="1"/>
    <col min="2822" max="2822" width="15.42578125" style="213" customWidth="1"/>
    <col min="2823" max="2823" width="10.85546875" style="213" customWidth="1"/>
    <col min="2824" max="3072" width="8" style="213"/>
    <col min="3073" max="3073" width="3.85546875" style="213" bestFit="1" customWidth="1"/>
    <col min="3074" max="3074" width="3.28515625" style="213" bestFit="1" customWidth="1"/>
    <col min="3075" max="3075" width="22.5703125" style="213" customWidth="1"/>
    <col min="3076" max="3077" width="14" style="213" customWidth="1"/>
    <col min="3078" max="3078" width="15.42578125" style="213" customWidth="1"/>
    <col min="3079" max="3079" width="10.85546875" style="213" customWidth="1"/>
    <col min="3080" max="3328" width="8" style="213"/>
    <col min="3329" max="3329" width="3.85546875" style="213" bestFit="1" customWidth="1"/>
    <col min="3330" max="3330" width="3.28515625" style="213" bestFit="1" customWidth="1"/>
    <col min="3331" max="3331" width="22.5703125" style="213" customWidth="1"/>
    <col min="3332" max="3333" width="14" style="213" customWidth="1"/>
    <col min="3334" max="3334" width="15.42578125" style="213" customWidth="1"/>
    <col min="3335" max="3335" width="10.85546875" style="213" customWidth="1"/>
    <col min="3336" max="3584" width="8" style="213"/>
    <col min="3585" max="3585" width="3.85546875" style="213" bestFit="1" customWidth="1"/>
    <col min="3586" max="3586" width="3.28515625" style="213" bestFit="1" customWidth="1"/>
    <col min="3587" max="3587" width="22.5703125" style="213" customWidth="1"/>
    <col min="3588" max="3589" width="14" style="213" customWidth="1"/>
    <col min="3590" max="3590" width="15.42578125" style="213" customWidth="1"/>
    <col min="3591" max="3591" width="10.85546875" style="213" customWidth="1"/>
    <col min="3592" max="3840" width="8" style="213"/>
    <col min="3841" max="3841" width="3.85546875" style="213" bestFit="1" customWidth="1"/>
    <col min="3842" max="3842" width="3.28515625" style="213" bestFit="1" customWidth="1"/>
    <col min="3843" max="3843" width="22.5703125" style="213" customWidth="1"/>
    <col min="3844" max="3845" width="14" style="213" customWidth="1"/>
    <col min="3846" max="3846" width="15.42578125" style="213" customWidth="1"/>
    <col min="3847" max="3847" width="10.85546875" style="213" customWidth="1"/>
    <col min="3848" max="4096" width="8" style="213"/>
    <col min="4097" max="4097" width="3.85546875" style="213" bestFit="1" customWidth="1"/>
    <col min="4098" max="4098" width="3.28515625" style="213" bestFit="1" customWidth="1"/>
    <col min="4099" max="4099" width="22.5703125" style="213" customWidth="1"/>
    <col min="4100" max="4101" width="14" style="213" customWidth="1"/>
    <col min="4102" max="4102" width="15.42578125" style="213" customWidth="1"/>
    <col min="4103" max="4103" width="10.85546875" style="213" customWidth="1"/>
    <col min="4104" max="4352" width="8" style="213"/>
    <col min="4353" max="4353" width="3.85546875" style="213" bestFit="1" customWidth="1"/>
    <col min="4354" max="4354" width="3.28515625" style="213" bestFit="1" customWidth="1"/>
    <col min="4355" max="4355" width="22.5703125" style="213" customWidth="1"/>
    <col min="4356" max="4357" width="14" style="213" customWidth="1"/>
    <col min="4358" max="4358" width="15.42578125" style="213" customWidth="1"/>
    <col min="4359" max="4359" width="10.85546875" style="213" customWidth="1"/>
    <col min="4360" max="4608" width="8" style="213"/>
    <col min="4609" max="4609" width="3.85546875" style="213" bestFit="1" customWidth="1"/>
    <col min="4610" max="4610" width="3.28515625" style="213" bestFit="1" customWidth="1"/>
    <col min="4611" max="4611" width="22.5703125" style="213" customWidth="1"/>
    <col min="4612" max="4613" width="14" style="213" customWidth="1"/>
    <col min="4614" max="4614" width="15.42578125" style="213" customWidth="1"/>
    <col min="4615" max="4615" width="10.85546875" style="213" customWidth="1"/>
    <col min="4616" max="4864" width="8" style="213"/>
    <col min="4865" max="4865" width="3.85546875" style="213" bestFit="1" customWidth="1"/>
    <col min="4866" max="4866" width="3.28515625" style="213" bestFit="1" customWidth="1"/>
    <col min="4867" max="4867" width="22.5703125" style="213" customWidth="1"/>
    <col min="4868" max="4869" width="14" style="213" customWidth="1"/>
    <col min="4870" max="4870" width="15.42578125" style="213" customWidth="1"/>
    <col min="4871" max="4871" width="10.85546875" style="213" customWidth="1"/>
    <col min="4872" max="5120" width="8" style="213"/>
    <col min="5121" max="5121" width="3.85546875" style="213" bestFit="1" customWidth="1"/>
    <col min="5122" max="5122" width="3.28515625" style="213" bestFit="1" customWidth="1"/>
    <col min="5123" max="5123" width="22.5703125" style="213" customWidth="1"/>
    <col min="5124" max="5125" width="14" style="213" customWidth="1"/>
    <col min="5126" max="5126" width="15.42578125" style="213" customWidth="1"/>
    <col min="5127" max="5127" width="10.85546875" style="213" customWidth="1"/>
    <col min="5128" max="5376" width="8" style="213"/>
    <col min="5377" max="5377" width="3.85546875" style="213" bestFit="1" customWidth="1"/>
    <col min="5378" max="5378" width="3.28515625" style="213" bestFit="1" customWidth="1"/>
    <col min="5379" max="5379" width="22.5703125" style="213" customWidth="1"/>
    <col min="5380" max="5381" width="14" style="213" customWidth="1"/>
    <col min="5382" max="5382" width="15.42578125" style="213" customWidth="1"/>
    <col min="5383" max="5383" width="10.85546875" style="213" customWidth="1"/>
    <col min="5384" max="5632" width="8" style="213"/>
    <col min="5633" max="5633" width="3.85546875" style="213" bestFit="1" customWidth="1"/>
    <col min="5634" max="5634" width="3.28515625" style="213" bestFit="1" customWidth="1"/>
    <col min="5635" max="5635" width="22.5703125" style="213" customWidth="1"/>
    <col min="5636" max="5637" width="14" style="213" customWidth="1"/>
    <col min="5638" max="5638" width="15.42578125" style="213" customWidth="1"/>
    <col min="5639" max="5639" width="10.85546875" style="213" customWidth="1"/>
    <col min="5640" max="5888" width="8" style="213"/>
    <col min="5889" max="5889" width="3.85546875" style="213" bestFit="1" customWidth="1"/>
    <col min="5890" max="5890" width="3.28515625" style="213" bestFit="1" customWidth="1"/>
    <col min="5891" max="5891" width="22.5703125" style="213" customWidth="1"/>
    <col min="5892" max="5893" width="14" style="213" customWidth="1"/>
    <col min="5894" max="5894" width="15.42578125" style="213" customWidth="1"/>
    <col min="5895" max="5895" width="10.85546875" style="213" customWidth="1"/>
    <col min="5896" max="6144" width="8" style="213"/>
    <col min="6145" max="6145" width="3.85546875" style="213" bestFit="1" customWidth="1"/>
    <col min="6146" max="6146" width="3.28515625" style="213" bestFit="1" customWidth="1"/>
    <col min="6147" max="6147" width="22.5703125" style="213" customWidth="1"/>
    <col min="6148" max="6149" width="14" style="213" customWidth="1"/>
    <col min="6150" max="6150" width="15.42578125" style="213" customWidth="1"/>
    <col min="6151" max="6151" width="10.85546875" style="213" customWidth="1"/>
    <col min="6152" max="6400" width="8" style="213"/>
    <col min="6401" max="6401" width="3.85546875" style="213" bestFit="1" customWidth="1"/>
    <col min="6402" max="6402" width="3.28515625" style="213" bestFit="1" customWidth="1"/>
    <col min="6403" max="6403" width="22.5703125" style="213" customWidth="1"/>
    <col min="6404" max="6405" width="14" style="213" customWidth="1"/>
    <col min="6406" max="6406" width="15.42578125" style="213" customWidth="1"/>
    <col min="6407" max="6407" width="10.85546875" style="213" customWidth="1"/>
    <col min="6408" max="6656" width="8" style="213"/>
    <col min="6657" max="6657" width="3.85546875" style="213" bestFit="1" customWidth="1"/>
    <col min="6658" max="6658" width="3.28515625" style="213" bestFit="1" customWidth="1"/>
    <col min="6659" max="6659" width="22.5703125" style="213" customWidth="1"/>
    <col min="6660" max="6661" width="14" style="213" customWidth="1"/>
    <col min="6662" max="6662" width="15.42578125" style="213" customWidth="1"/>
    <col min="6663" max="6663" width="10.85546875" style="213" customWidth="1"/>
    <col min="6664" max="6912" width="8" style="213"/>
    <col min="6913" max="6913" width="3.85546875" style="213" bestFit="1" customWidth="1"/>
    <col min="6914" max="6914" width="3.28515625" style="213" bestFit="1" customWidth="1"/>
    <col min="6915" max="6915" width="22.5703125" style="213" customWidth="1"/>
    <col min="6916" max="6917" width="14" style="213" customWidth="1"/>
    <col min="6918" max="6918" width="15.42578125" style="213" customWidth="1"/>
    <col min="6919" max="6919" width="10.85546875" style="213" customWidth="1"/>
    <col min="6920" max="7168" width="8" style="213"/>
    <col min="7169" max="7169" width="3.85546875" style="213" bestFit="1" customWidth="1"/>
    <col min="7170" max="7170" width="3.28515625" style="213" bestFit="1" customWidth="1"/>
    <col min="7171" max="7171" width="22.5703125" style="213" customWidth="1"/>
    <col min="7172" max="7173" width="14" style="213" customWidth="1"/>
    <col min="7174" max="7174" width="15.42578125" style="213" customWidth="1"/>
    <col min="7175" max="7175" width="10.85546875" style="213" customWidth="1"/>
    <col min="7176" max="7424" width="8" style="213"/>
    <col min="7425" max="7425" width="3.85546875" style="213" bestFit="1" customWidth="1"/>
    <col min="7426" max="7426" width="3.28515625" style="213" bestFit="1" customWidth="1"/>
    <col min="7427" max="7427" width="22.5703125" style="213" customWidth="1"/>
    <col min="7428" max="7429" width="14" style="213" customWidth="1"/>
    <col min="7430" max="7430" width="15.42578125" style="213" customWidth="1"/>
    <col min="7431" max="7431" width="10.85546875" style="213" customWidth="1"/>
    <col min="7432" max="7680" width="8" style="213"/>
    <col min="7681" max="7681" width="3.85546875" style="213" bestFit="1" customWidth="1"/>
    <col min="7682" max="7682" width="3.28515625" style="213" bestFit="1" customWidth="1"/>
    <col min="7683" max="7683" width="22.5703125" style="213" customWidth="1"/>
    <col min="7684" max="7685" width="14" style="213" customWidth="1"/>
    <col min="7686" max="7686" width="15.42578125" style="213" customWidth="1"/>
    <col min="7687" max="7687" width="10.85546875" style="213" customWidth="1"/>
    <col min="7688" max="7936" width="8" style="213"/>
    <col min="7937" max="7937" width="3.85546875" style="213" bestFit="1" customWidth="1"/>
    <col min="7938" max="7938" width="3.28515625" style="213" bestFit="1" customWidth="1"/>
    <col min="7939" max="7939" width="22.5703125" style="213" customWidth="1"/>
    <col min="7940" max="7941" width="14" style="213" customWidth="1"/>
    <col min="7942" max="7942" width="15.42578125" style="213" customWidth="1"/>
    <col min="7943" max="7943" width="10.85546875" style="213" customWidth="1"/>
    <col min="7944" max="8192" width="8" style="213"/>
    <col min="8193" max="8193" width="3.85546875" style="213" bestFit="1" customWidth="1"/>
    <col min="8194" max="8194" width="3.28515625" style="213" bestFit="1" customWidth="1"/>
    <col min="8195" max="8195" width="22.5703125" style="213" customWidth="1"/>
    <col min="8196" max="8197" width="14" style="213" customWidth="1"/>
    <col min="8198" max="8198" width="15.42578125" style="213" customWidth="1"/>
    <col min="8199" max="8199" width="10.85546875" style="213" customWidth="1"/>
    <col min="8200" max="8448" width="8" style="213"/>
    <col min="8449" max="8449" width="3.85546875" style="213" bestFit="1" customWidth="1"/>
    <col min="8450" max="8450" width="3.28515625" style="213" bestFit="1" customWidth="1"/>
    <col min="8451" max="8451" width="22.5703125" style="213" customWidth="1"/>
    <col min="8452" max="8453" width="14" style="213" customWidth="1"/>
    <col min="8454" max="8454" width="15.42578125" style="213" customWidth="1"/>
    <col min="8455" max="8455" width="10.85546875" style="213" customWidth="1"/>
    <col min="8456" max="8704" width="8" style="213"/>
    <col min="8705" max="8705" width="3.85546875" style="213" bestFit="1" customWidth="1"/>
    <col min="8706" max="8706" width="3.28515625" style="213" bestFit="1" customWidth="1"/>
    <col min="8707" max="8707" width="22.5703125" style="213" customWidth="1"/>
    <col min="8708" max="8709" width="14" style="213" customWidth="1"/>
    <col min="8710" max="8710" width="15.42578125" style="213" customWidth="1"/>
    <col min="8711" max="8711" width="10.85546875" style="213" customWidth="1"/>
    <col min="8712" max="8960" width="8" style="213"/>
    <col min="8961" max="8961" width="3.85546875" style="213" bestFit="1" customWidth="1"/>
    <col min="8962" max="8962" width="3.28515625" style="213" bestFit="1" customWidth="1"/>
    <col min="8963" max="8963" width="22.5703125" style="213" customWidth="1"/>
    <col min="8964" max="8965" width="14" style="213" customWidth="1"/>
    <col min="8966" max="8966" width="15.42578125" style="213" customWidth="1"/>
    <col min="8967" max="8967" width="10.85546875" style="213" customWidth="1"/>
    <col min="8968" max="9216" width="8" style="213"/>
    <col min="9217" max="9217" width="3.85546875" style="213" bestFit="1" customWidth="1"/>
    <col min="9218" max="9218" width="3.28515625" style="213" bestFit="1" customWidth="1"/>
    <col min="9219" max="9219" width="22.5703125" style="213" customWidth="1"/>
    <col min="9220" max="9221" width="14" style="213" customWidth="1"/>
    <col min="9222" max="9222" width="15.42578125" style="213" customWidth="1"/>
    <col min="9223" max="9223" width="10.85546875" style="213" customWidth="1"/>
    <col min="9224" max="9472" width="8" style="213"/>
    <col min="9473" max="9473" width="3.85546875" style="213" bestFit="1" customWidth="1"/>
    <col min="9474" max="9474" width="3.28515625" style="213" bestFit="1" customWidth="1"/>
    <col min="9475" max="9475" width="22.5703125" style="213" customWidth="1"/>
    <col min="9476" max="9477" width="14" style="213" customWidth="1"/>
    <col min="9478" max="9478" width="15.42578125" style="213" customWidth="1"/>
    <col min="9479" max="9479" width="10.85546875" style="213" customWidth="1"/>
    <col min="9480" max="9728" width="8" style="213"/>
    <col min="9729" max="9729" width="3.85546875" style="213" bestFit="1" customWidth="1"/>
    <col min="9730" max="9730" width="3.28515625" style="213" bestFit="1" customWidth="1"/>
    <col min="9731" max="9731" width="22.5703125" style="213" customWidth="1"/>
    <col min="9732" max="9733" width="14" style="213" customWidth="1"/>
    <col min="9734" max="9734" width="15.42578125" style="213" customWidth="1"/>
    <col min="9735" max="9735" width="10.85546875" style="213" customWidth="1"/>
    <col min="9736" max="9984" width="8" style="213"/>
    <col min="9985" max="9985" width="3.85546875" style="213" bestFit="1" customWidth="1"/>
    <col min="9986" max="9986" width="3.28515625" style="213" bestFit="1" customWidth="1"/>
    <col min="9987" max="9987" width="22.5703125" style="213" customWidth="1"/>
    <col min="9988" max="9989" width="14" style="213" customWidth="1"/>
    <col min="9990" max="9990" width="15.42578125" style="213" customWidth="1"/>
    <col min="9991" max="9991" width="10.85546875" style="213" customWidth="1"/>
    <col min="9992" max="10240" width="8" style="213"/>
    <col min="10241" max="10241" width="3.85546875" style="213" bestFit="1" customWidth="1"/>
    <col min="10242" max="10242" width="3.28515625" style="213" bestFit="1" customWidth="1"/>
    <col min="10243" max="10243" width="22.5703125" style="213" customWidth="1"/>
    <col min="10244" max="10245" width="14" style="213" customWidth="1"/>
    <col min="10246" max="10246" width="15.42578125" style="213" customWidth="1"/>
    <col min="10247" max="10247" width="10.85546875" style="213" customWidth="1"/>
    <col min="10248" max="10496" width="8" style="213"/>
    <col min="10497" max="10497" width="3.85546875" style="213" bestFit="1" customWidth="1"/>
    <col min="10498" max="10498" width="3.28515625" style="213" bestFit="1" customWidth="1"/>
    <col min="10499" max="10499" width="22.5703125" style="213" customWidth="1"/>
    <col min="10500" max="10501" width="14" style="213" customWidth="1"/>
    <col min="10502" max="10502" width="15.42578125" style="213" customWidth="1"/>
    <col min="10503" max="10503" width="10.85546875" style="213" customWidth="1"/>
    <col min="10504" max="10752" width="8" style="213"/>
    <col min="10753" max="10753" width="3.85546875" style="213" bestFit="1" customWidth="1"/>
    <col min="10754" max="10754" width="3.28515625" style="213" bestFit="1" customWidth="1"/>
    <col min="10755" max="10755" width="22.5703125" style="213" customWidth="1"/>
    <col min="10756" max="10757" width="14" style="213" customWidth="1"/>
    <col min="10758" max="10758" width="15.42578125" style="213" customWidth="1"/>
    <col min="10759" max="10759" width="10.85546875" style="213" customWidth="1"/>
    <col min="10760" max="11008" width="8" style="213"/>
    <col min="11009" max="11009" width="3.85546875" style="213" bestFit="1" customWidth="1"/>
    <col min="11010" max="11010" width="3.28515625" style="213" bestFit="1" customWidth="1"/>
    <col min="11011" max="11011" width="22.5703125" style="213" customWidth="1"/>
    <col min="11012" max="11013" width="14" style="213" customWidth="1"/>
    <col min="11014" max="11014" width="15.42578125" style="213" customWidth="1"/>
    <col min="11015" max="11015" width="10.85546875" style="213" customWidth="1"/>
    <col min="11016" max="11264" width="8" style="213"/>
    <col min="11265" max="11265" width="3.85546875" style="213" bestFit="1" customWidth="1"/>
    <col min="11266" max="11266" width="3.28515625" style="213" bestFit="1" customWidth="1"/>
    <col min="11267" max="11267" width="22.5703125" style="213" customWidth="1"/>
    <col min="11268" max="11269" width="14" style="213" customWidth="1"/>
    <col min="11270" max="11270" width="15.42578125" style="213" customWidth="1"/>
    <col min="11271" max="11271" width="10.85546875" style="213" customWidth="1"/>
    <col min="11272" max="11520" width="8" style="213"/>
    <col min="11521" max="11521" width="3.85546875" style="213" bestFit="1" customWidth="1"/>
    <col min="11522" max="11522" width="3.28515625" style="213" bestFit="1" customWidth="1"/>
    <col min="11523" max="11523" width="22.5703125" style="213" customWidth="1"/>
    <col min="11524" max="11525" width="14" style="213" customWidth="1"/>
    <col min="11526" max="11526" width="15.42578125" style="213" customWidth="1"/>
    <col min="11527" max="11527" width="10.85546875" style="213" customWidth="1"/>
    <col min="11528" max="11776" width="8" style="213"/>
    <col min="11777" max="11777" width="3.85546875" style="213" bestFit="1" customWidth="1"/>
    <col min="11778" max="11778" width="3.28515625" style="213" bestFit="1" customWidth="1"/>
    <col min="11779" max="11779" width="22.5703125" style="213" customWidth="1"/>
    <col min="11780" max="11781" width="14" style="213" customWidth="1"/>
    <col min="11782" max="11782" width="15.42578125" style="213" customWidth="1"/>
    <col min="11783" max="11783" width="10.85546875" style="213" customWidth="1"/>
    <col min="11784" max="12032" width="8" style="213"/>
    <col min="12033" max="12033" width="3.85546875" style="213" bestFit="1" customWidth="1"/>
    <col min="12034" max="12034" width="3.28515625" style="213" bestFit="1" customWidth="1"/>
    <col min="12035" max="12035" width="22.5703125" style="213" customWidth="1"/>
    <col min="12036" max="12037" width="14" style="213" customWidth="1"/>
    <col min="12038" max="12038" width="15.42578125" style="213" customWidth="1"/>
    <col min="12039" max="12039" width="10.85546875" style="213" customWidth="1"/>
    <col min="12040" max="12288" width="8" style="213"/>
    <col min="12289" max="12289" width="3.85546875" style="213" bestFit="1" customWidth="1"/>
    <col min="12290" max="12290" width="3.28515625" style="213" bestFit="1" customWidth="1"/>
    <col min="12291" max="12291" width="22.5703125" style="213" customWidth="1"/>
    <col min="12292" max="12293" width="14" style="213" customWidth="1"/>
    <col min="12294" max="12294" width="15.42578125" style="213" customWidth="1"/>
    <col min="12295" max="12295" width="10.85546875" style="213" customWidth="1"/>
    <col min="12296" max="12544" width="8" style="213"/>
    <col min="12545" max="12545" width="3.85546875" style="213" bestFit="1" customWidth="1"/>
    <col min="12546" max="12546" width="3.28515625" style="213" bestFit="1" customWidth="1"/>
    <col min="12547" max="12547" width="22.5703125" style="213" customWidth="1"/>
    <col min="12548" max="12549" width="14" style="213" customWidth="1"/>
    <col min="12550" max="12550" width="15.42578125" style="213" customWidth="1"/>
    <col min="12551" max="12551" width="10.85546875" style="213" customWidth="1"/>
    <col min="12552" max="12800" width="8" style="213"/>
    <col min="12801" max="12801" width="3.85546875" style="213" bestFit="1" customWidth="1"/>
    <col min="12802" max="12802" width="3.28515625" style="213" bestFit="1" customWidth="1"/>
    <col min="12803" max="12803" width="22.5703125" style="213" customWidth="1"/>
    <col min="12804" max="12805" width="14" style="213" customWidth="1"/>
    <col min="12806" max="12806" width="15.42578125" style="213" customWidth="1"/>
    <col min="12807" max="12807" width="10.85546875" style="213" customWidth="1"/>
    <col min="12808" max="13056" width="8" style="213"/>
    <col min="13057" max="13057" width="3.85546875" style="213" bestFit="1" customWidth="1"/>
    <col min="13058" max="13058" width="3.28515625" style="213" bestFit="1" customWidth="1"/>
    <col min="13059" max="13059" width="22.5703125" style="213" customWidth="1"/>
    <col min="13060" max="13061" width="14" style="213" customWidth="1"/>
    <col min="13062" max="13062" width="15.42578125" style="213" customWidth="1"/>
    <col min="13063" max="13063" width="10.85546875" style="213" customWidth="1"/>
    <col min="13064" max="13312" width="8" style="213"/>
    <col min="13313" max="13313" width="3.85546875" style="213" bestFit="1" customWidth="1"/>
    <col min="13314" max="13314" width="3.28515625" style="213" bestFit="1" customWidth="1"/>
    <col min="13315" max="13315" width="22.5703125" style="213" customWidth="1"/>
    <col min="13316" max="13317" width="14" style="213" customWidth="1"/>
    <col min="13318" max="13318" width="15.42578125" style="213" customWidth="1"/>
    <col min="13319" max="13319" width="10.85546875" style="213" customWidth="1"/>
    <col min="13320" max="13568" width="8" style="213"/>
    <col min="13569" max="13569" width="3.85546875" style="213" bestFit="1" customWidth="1"/>
    <col min="13570" max="13570" width="3.28515625" style="213" bestFit="1" customWidth="1"/>
    <col min="13571" max="13571" width="22.5703125" style="213" customWidth="1"/>
    <col min="13572" max="13573" width="14" style="213" customWidth="1"/>
    <col min="13574" max="13574" width="15.42578125" style="213" customWidth="1"/>
    <col min="13575" max="13575" width="10.85546875" style="213" customWidth="1"/>
    <col min="13576" max="13824" width="8" style="213"/>
    <col min="13825" max="13825" width="3.85546875" style="213" bestFit="1" customWidth="1"/>
    <col min="13826" max="13826" width="3.28515625" style="213" bestFit="1" customWidth="1"/>
    <col min="13827" max="13827" width="22.5703125" style="213" customWidth="1"/>
    <col min="13828" max="13829" width="14" style="213" customWidth="1"/>
    <col min="13830" max="13830" width="15.42578125" style="213" customWidth="1"/>
    <col min="13831" max="13831" width="10.85546875" style="213" customWidth="1"/>
    <col min="13832" max="14080" width="8" style="213"/>
    <col min="14081" max="14081" width="3.85546875" style="213" bestFit="1" customWidth="1"/>
    <col min="14082" max="14082" width="3.28515625" style="213" bestFit="1" customWidth="1"/>
    <col min="14083" max="14083" width="22.5703125" style="213" customWidth="1"/>
    <col min="14084" max="14085" width="14" style="213" customWidth="1"/>
    <col min="14086" max="14086" width="15.42578125" style="213" customWidth="1"/>
    <col min="14087" max="14087" width="10.85546875" style="213" customWidth="1"/>
    <col min="14088" max="14336" width="8" style="213"/>
    <col min="14337" max="14337" width="3.85546875" style="213" bestFit="1" customWidth="1"/>
    <col min="14338" max="14338" width="3.28515625" style="213" bestFit="1" customWidth="1"/>
    <col min="14339" max="14339" width="22.5703125" style="213" customWidth="1"/>
    <col min="14340" max="14341" width="14" style="213" customWidth="1"/>
    <col min="14342" max="14342" width="15.42578125" style="213" customWidth="1"/>
    <col min="14343" max="14343" width="10.85546875" style="213" customWidth="1"/>
    <col min="14344" max="14592" width="8" style="213"/>
    <col min="14593" max="14593" width="3.85546875" style="213" bestFit="1" customWidth="1"/>
    <col min="14594" max="14594" width="3.28515625" style="213" bestFit="1" customWidth="1"/>
    <col min="14595" max="14595" width="22.5703125" style="213" customWidth="1"/>
    <col min="14596" max="14597" width="14" style="213" customWidth="1"/>
    <col min="14598" max="14598" width="15.42578125" style="213" customWidth="1"/>
    <col min="14599" max="14599" width="10.85546875" style="213" customWidth="1"/>
    <col min="14600" max="14848" width="8" style="213"/>
    <col min="14849" max="14849" width="3.85546875" style="213" bestFit="1" customWidth="1"/>
    <col min="14850" max="14850" width="3.28515625" style="213" bestFit="1" customWidth="1"/>
    <col min="14851" max="14851" width="22.5703125" style="213" customWidth="1"/>
    <col min="14852" max="14853" width="14" style="213" customWidth="1"/>
    <col min="14854" max="14854" width="15.42578125" style="213" customWidth="1"/>
    <col min="14855" max="14855" width="10.85546875" style="213" customWidth="1"/>
    <col min="14856" max="15104" width="8" style="213"/>
    <col min="15105" max="15105" width="3.85546875" style="213" bestFit="1" customWidth="1"/>
    <col min="15106" max="15106" width="3.28515625" style="213" bestFit="1" customWidth="1"/>
    <col min="15107" max="15107" width="22.5703125" style="213" customWidth="1"/>
    <col min="15108" max="15109" width="14" style="213" customWidth="1"/>
    <col min="15110" max="15110" width="15.42578125" style="213" customWidth="1"/>
    <col min="15111" max="15111" width="10.85546875" style="213" customWidth="1"/>
    <col min="15112" max="15360" width="8" style="213"/>
    <col min="15361" max="15361" width="3.85546875" style="213" bestFit="1" customWidth="1"/>
    <col min="15362" max="15362" width="3.28515625" style="213" bestFit="1" customWidth="1"/>
    <col min="15363" max="15363" width="22.5703125" style="213" customWidth="1"/>
    <col min="15364" max="15365" width="14" style="213" customWidth="1"/>
    <col min="15366" max="15366" width="15.42578125" style="213" customWidth="1"/>
    <col min="15367" max="15367" width="10.85546875" style="213" customWidth="1"/>
    <col min="15368" max="15616" width="8" style="213"/>
    <col min="15617" max="15617" width="3.85546875" style="213" bestFit="1" customWidth="1"/>
    <col min="15618" max="15618" width="3.28515625" style="213" bestFit="1" customWidth="1"/>
    <col min="15619" max="15619" width="22.5703125" style="213" customWidth="1"/>
    <col min="15620" max="15621" width="14" style="213" customWidth="1"/>
    <col min="15622" max="15622" width="15.42578125" style="213" customWidth="1"/>
    <col min="15623" max="15623" width="10.85546875" style="213" customWidth="1"/>
    <col min="15624" max="15872" width="8" style="213"/>
    <col min="15873" max="15873" width="3.85546875" style="213" bestFit="1" customWidth="1"/>
    <col min="15874" max="15874" width="3.28515625" style="213" bestFit="1" customWidth="1"/>
    <col min="15875" max="15875" width="22.5703125" style="213" customWidth="1"/>
    <col min="15876" max="15877" width="14" style="213" customWidth="1"/>
    <col min="15878" max="15878" width="15.42578125" style="213" customWidth="1"/>
    <col min="15879" max="15879" width="10.85546875" style="213" customWidth="1"/>
    <col min="15880" max="16128" width="8" style="213"/>
    <col min="16129" max="16129" width="3.85546875" style="213" bestFit="1" customWidth="1"/>
    <col min="16130" max="16130" width="3.28515625" style="213" bestFit="1" customWidth="1"/>
    <col min="16131" max="16131" width="22.5703125" style="213" customWidth="1"/>
    <col min="16132" max="16133" width="14" style="213" customWidth="1"/>
    <col min="16134" max="16134" width="15.42578125" style="213" customWidth="1"/>
    <col min="16135" max="16135" width="10.85546875" style="213" customWidth="1"/>
    <col min="16136" max="16384" width="8" style="213"/>
  </cols>
  <sheetData>
    <row r="1" spans="1:7" s="212" customFormat="1" ht="39.75" customHeight="1">
      <c r="A1" s="2429" t="s">
        <v>1020</v>
      </c>
      <c r="B1" s="2429"/>
      <c r="C1" s="2429"/>
      <c r="D1" s="2429"/>
      <c r="E1" s="2429"/>
      <c r="F1" s="2429"/>
      <c r="G1" s="2429"/>
    </row>
    <row r="2" spans="1:7" s="212" customFormat="1" ht="27">
      <c r="A2" s="2407" t="s">
        <v>41</v>
      </c>
      <c r="B2" s="2409" t="s">
        <v>67</v>
      </c>
      <c r="C2" s="2411" t="s">
        <v>776</v>
      </c>
      <c r="D2" s="816" t="s">
        <v>871</v>
      </c>
      <c r="E2" s="812" t="s">
        <v>1010</v>
      </c>
      <c r="F2" s="821" t="s">
        <v>1017</v>
      </c>
      <c r="G2" s="816" t="s">
        <v>1019</v>
      </c>
    </row>
    <row r="3" spans="1:7" s="212" customFormat="1">
      <c r="A3" s="2430"/>
      <c r="B3" s="2431"/>
      <c r="C3" s="2432"/>
      <c r="D3" s="2433" t="s">
        <v>4</v>
      </c>
      <c r="E3" s="2434"/>
      <c r="F3" s="2435"/>
      <c r="G3" s="826" t="s">
        <v>777</v>
      </c>
    </row>
    <row r="4" spans="1:7" s="219" customFormat="1" ht="11.25" customHeight="1">
      <c r="A4" s="809" t="s">
        <v>887</v>
      </c>
      <c r="B4" s="810" t="s">
        <v>888</v>
      </c>
      <c r="C4" s="811" t="s">
        <v>889</v>
      </c>
      <c r="D4" s="818" t="s">
        <v>890</v>
      </c>
      <c r="E4" s="813" t="s">
        <v>891</v>
      </c>
      <c r="F4" s="822" t="s">
        <v>892</v>
      </c>
      <c r="G4" s="827" t="s">
        <v>893</v>
      </c>
    </row>
    <row r="5" spans="1:7" s="211" customFormat="1" ht="15.75" customHeight="1">
      <c r="A5" s="807" t="s">
        <v>6</v>
      </c>
      <c r="B5" s="808" t="s">
        <v>146</v>
      </c>
      <c r="C5" s="729" t="s">
        <v>147</v>
      </c>
      <c r="D5" s="819">
        <v>93086202</v>
      </c>
      <c r="E5" s="814">
        <v>104707433</v>
      </c>
      <c r="F5" s="823">
        <v>104707433</v>
      </c>
      <c r="G5" s="751">
        <f t="shared" ref="G5:G19" si="0">F5/D5*100</f>
        <v>112.48437550390121</v>
      </c>
    </row>
    <row r="6" spans="1:7" s="211" customFormat="1" ht="15.75" customHeight="1">
      <c r="A6" s="805" t="s">
        <v>7</v>
      </c>
      <c r="B6" s="806" t="s">
        <v>152</v>
      </c>
      <c r="C6" s="730" t="s">
        <v>153</v>
      </c>
      <c r="D6" s="820">
        <v>1528488</v>
      </c>
      <c r="E6" s="815">
        <v>472031</v>
      </c>
      <c r="F6" s="824">
        <v>472031</v>
      </c>
      <c r="G6" s="739">
        <f t="shared" si="0"/>
        <v>30.882218244435023</v>
      </c>
    </row>
    <row r="7" spans="1:7" s="211" customFormat="1" ht="15.75" customHeight="1">
      <c r="A7" s="805" t="s">
        <v>8</v>
      </c>
      <c r="B7" s="806" t="s">
        <v>152</v>
      </c>
      <c r="C7" s="730" t="s">
        <v>157</v>
      </c>
      <c r="D7" s="820">
        <v>3400896</v>
      </c>
      <c r="E7" s="815">
        <v>3248063</v>
      </c>
      <c r="F7" s="824">
        <v>3248062.9999999995</v>
      </c>
      <c r="G7" s="739">
        <f t="shared" si="0"/>
        <v>95.506096040572814</v>
      </c>
    </row>
    <row r="8" spans="1:7" s="211" customFormat="1" ht="15.75" customHeight="1">
      <c r="A8" s="805" t="s">
        <v>9</v>
      </c>
      <c r="B8" s="806" t="s">
        <v>144</v>
      </c>
      <c r="C8" s="730" t="s">
        <v>160</v>
      </c>
      <c r="D8" s="820">
        <v>5812487</v>
      </c>
      <c r="E8" s="815">
        <v>5737853</v>
      </c>
      <c r="F8" s="824">
        <v>5737853</v>
      </c>
      <c r="G8" s="739">
        <f t="shared" si="0"/>
        <v>98.715971321742316</v>
      </c>
    </row>
    <row r="9" spans="1:7" s="211" customFormat="1" ht="15.75" customHeight="1">
      <c r="A9" s="805" t="s">
        <v>1</v>
      </c>
      <c r="B9" s="806" t="s">
        <v>142</v>
      </c>
      <c r="C9" s="730" t="s">
        <v>161</v>
      </c>
      <c r="D9" s="820">
        <v>26027313</v>
      </c>
      <c r="E9" s="815">
        <v>27559386</v>
      </c>
      <c r="F9" s="824">
        <v>27559386</v>
      </c>
      <c r="G9" s="739">
        <f t="shared" si="0"/>
        <v>105.88640479330309</v>
      </c>
    </row>
    <row r="10" spans="1:7" s="211" customFormat="1" ht="15.75" customHeight="1">
      <c r="A10" s="805" t="s">
        <v>1</v>
      </c>
      <c r="B10" s="806" t="s">
        <v>152</v>
      </c>
      <c r="C10" s="730" t="s">
        <v>163</v>
      </c>
      <c r="D10" s="785">
        <v>1095953</v>
      </c>
      <c r="E10" s="779">
        <v>1222249</v>
      </c>
      <c r="F10" s="791">
        <v>1222249</v>
      </c>
      <c r="G10" s="739">
        <f t="shared" si="0"/>
        <v>111.52385184401157</v>
      </c>
    </row>
    <row r="11" spans="1:7" s="211" customFormat="1" ht="15.75" customHeight="1">
      <c r="A11" s="805" t="s">
        <v>2</v>
      </c>
      <c r="B11" s="806" t="s">
        <v>142</v>
      </c>
      <c r="C11" s="730" t="s">
        <v>164</v>
      </c>
      <c r="D11" s="785">
        <v>116562713.00000001</v>
      </c>
      <c r="E11" s="779">
        <v>127616252</v>
      </c>
      <c r="F11" s="791">
        <v>127616251.99999997</v>
      </c>
      <c r="G11" s="739">
        <f t="shared" si="0"/>
        <v>109.48291157224519</v>
      </c>
    </row>
    <row r="12" spans="1:7" s="211" customFormat="1" ht="15.75" customHeight="1">
      <c r="A12" s="805" t="s">
        <v>10</v>
      </c>
      <c r="B12" s="806" t="s">
        <v>144</v>
      </c>
      <c r="C12" s="730" t="s">
        <v>872</v>
      </c>
      <c r="D12" s="785">
        <f>9993105+18956400</f>
        <v>28949505</v>
      </c>
      <c r="E12" s="779">
        <f>15980071+24971529</f>
        <v>40951600</v>
      </c>
      <c r="F12" s="791">
        <f>15980071+24971529</f>
        <v>40951600</v>
      </c>
      <c r="G12" s="739">
        <f t="shared" si="0"/>
        <v>141.45872269664025</v>
      </c>
    </row>
    <row r="13" spans="1:7" s="211" customFormat="1" ht="15.75" customHeight="1">
      <c r="A13" s="805" t="s">
        <v>10</v>
      </c>
      <c r="B13" s="806" t="s">
        <v>146</v>
      </c>
      <c r="C13" s="730" t="s">
        <v>170</v>
      </c>
      <c r="D13" s="785">
        <v>468166.00000000012</v>
      </c>
      <c r="E13" s="779">
        <v>465295</v>
      </c>
      <c r="F13" s="791">
        <v>465295.00000000012</v>
      </c>
      <c r="G13" s="739">
        <f t="shared" si="0"/>
        <v>99.386755979716597</v>
      </c>
    </row>
    <row r="14" spans="1:7" s="211" customFormat="1" ht="15.75" customHeight="1">
      <c r="A14" s="805" t="s">
        <v>10</v>
      </c>
      <c r="B14" s="806" t="s">
        <v>148</v>
      </c>
      <c r="C14" s="730" t="s">
        <v>873</v>
      </c>
      <c r="D14" s="785">
        <f>789374541+419405815</f>
        <v>1208780356</v>
      </c>
      <c r="E14" s="779">
        <f>853046237+441128598</f>
        <v>1294174835</v>
      </c>
      <c r="F14" s="791">
        <f>853046237+441128598</f>
        <v>1294174835</v>
      </c>
      <c r="G14" s="739">
        <f t="shared" si="0"/>
        <v>107.0645157804004</v>
      </c>
    </row>
    <row r="15" spans="1:7" s="211" customFormat="1" ht="15.75" customHeight="1">
      <c r="A15" s="805" t="s">
        <v>11</v>
      </c>
      <c r="B15" s="806" t="s">
        <v>142</v>
      </c>
      <c r="C15" s="730" t="s">
        <v>874</v>
      </c>
      <c r="D15" s="785">
        <v>7666984</v>
      </c>
      <c r="E15" s="779">
        <v>7688966</v>
      </c>
      <c r="F15" s="791">
        <v>7688966</v>
      </c>
      <c r="G15" s="739">
        <f t="shared" si="0"/>
        <v>100.28670987183487</v>
      </c>
    </row>
    <row r="16" spans="1:7" s="211" customFormat="1" ht="15.75" customHeight="1">
      <c r="A16" s="805" t="s">
        <v>12</v>
      </c>
      <c r="B16" s="806" t="s">
        <v>152</v>
      </c>
      <c r="C16" s="730" t="s">
        <v>174</v>
      </c>
      <c r="D16" s="785">
        <v>3033608</v>
      </c>
      <c r="E16" s="779">
        <v>2764021</v>
      </c>
      <c r="F16" s="791">
        <v>2764021</v>
      </c>
      <c r="G16" s="739">
        <f t="shared" si="0"/>
        <v>91.113321167401978</v>
      </c>
    </row>
    <row r="17" spans="1:7" s="211" customFormat="1" ht="15.75" customHeight="1">
      <c r="A17" s="805" t="s">
        <v>14</v>
      </c>
      <c r="B17" s="806" t="s">
        <v>142</v>
      </c>
      <c r="C17" s="730" t="s">
        <v>179</v>
      </c>
      <c r="D17" s="785">
        <v>49075151</v>
      </c>
      <c r="E17" s="779">
        <v>58913303</v>
      </c>
      <c r="F17" s="791">
        <v>58913303</v>
      </c>
      <c r="G17" s="739">
        <f t="shared" si="0"/>
        <v>120.04711508681858</v>
      </c>
    </row>
    <row r="18" spans="1:7" s="211" customFormat="1" ht="15.75" customHeight="1">
      <c r="A18" s="805" t="s">
        <v>14</v>
      </c>
      <c r="B18" s="806" t="s">
        <v>144</v>
      </c>
      <c r="C18" s="730" t="s">
        <v>180</v>
      </c>
      <c r="D18" s="785">
        <v>23478191.999999996</v>
      </c>
      <c r="E18" s="779">
        <v>19692523</v>
      </c>
      <c r="F18" s="791">
        <v>19692522.999999996</v>
      </c>
      <c r="G18" s="739">
        <f t="shared" si="0"/>
        <v>83.875806961626338</v>
      </c>
    </row>
    <row r="19" spans="1:7" s="211" customFormat="1" ht="15.75" customHeight="1">
      <c r="A19" s="805" t="s">
        <v>14</v>
      </c>
      <c r="B19" s="806" t="s">
        <v>146</v>
      </c>
      <c r="C19" s="730" t="s">
        <v>875</v>
      </c>
      <c r="D19" s="785">
        <f>8907409+1083687</f>
        <v>9991096</v>
      </c>
      <c r="E19" s="779">
        <f>11349870+2892167</f>
        <v>14242037</v>
      </c>
      <c r="F19" s="791">
        <f>11349870+2892167</f>
        <v>14242037</v>
      </c>
      <c r="G19" s="739">
        <f t="shared" si="0"/>
        <v>142.54729411067615</v>
      </c>
    </row>
    <row r="20" spans="1:7" s="211" customFormat="1" ht="15.75" customHeight="1">
      <c r="A20" s="805" t="s">
        <v>15</v>
      </c>
      <c r="B20" s="806" t="s">
        <v>142</v>
      </c>
      <c r="C20" s="730" t="s">
        <v>183</v>
      </c>
      <c r="D20" s="786">
        <v>13056696</v>
      </c>
      <c r="E20" s="780">
        <v>12349589</v>
      </c>
      <c r="F20" s="793">
        <v>12349589.000000002</v>
      </c>
      <c r="G20" s="831">
        <f>F20/D20*100</f>
        <v>94.584334352274126</v>
      </c>
    </row>
    <row r="21" spans="1:7" s="211" customFormat="1" ht="15.75" customHeight="1">
      <c r="A21" s="805" t="s">
        <v>15</v>
      </c>
      <c r="B21" s="806" t="s">
        <v>148</v>
      </c>
      <c r="C21" s="730" t="s">
        <v>876</v>
      </c>
      <c r="D21" s="737">
        <f>3141586+1235300</f>
        <v>4376886</v>
      </c>
      <c r="E21" s="724">
        <v>2498143</v>
      </c>
      <c r="F21" s="745">
        <v>2498143</v>
      </c>
      <c r="G21" s="831">
        <f t="shared" ref="G21:G33" si="1">F21/D21*100</f>
        <v>57.075806863601194</v>
      </c>
    </row>
    <row r="22" spans="1:7" ht="15.75" customHeight="1">
      <c r="A22" s="805" t="s">
        <v>15</v>
      </c>
      <c r="B22" s="806" t="s">
        <v>188</v>
      </c>
      <c r="C22" s="730" t="s">
        <v>189</v>
      </c>
      <c r="D22" s="787">
        <v>11706571</v>
      </c>
      <c r="E22" s="734">
        <v>11819701</v>
      </c>
      <c r="F22" s="749">
        <v>11819701</v>
      </c>
      <c r="G22" s="831">
        <f t="shared" si="1"/>
        <v>100.96638033460013</v>
      </c>
    </row>
    <row r="23" spans="1:7" ht="15.75" customHeight="1">
      <c r="A23" s="805" t="s">
        <v>15</v>
      </c>
      <c r="B23" s="806" t="s">
        <v>190</v>
      </c>
      <c r="C23" s="730" t="s">
        <v>191</v>
      </c>
      <c r="D23" s="787">
        <v>1582575</v>
      </c>
      <c r="E23" s="734">
        <v>1008023</v>
      </c>
      <c r="F23" s="749">
        <v>1008023</v>
      </c>
      <c r="G23" s="831">
        <f t="shared" si="1"/>
        <v>63.695117135048896</v>
      </c>
    </row>
    <row r="24" spans="1:7" ht="15.75" customHeight="1">
      <c r="A24" s="805" t="s">
        <v>15</v>
      </c>
      <c r="B24" s="806" t="s">
        <v>192</v>
      </c>
      <c r="C24" s="730" t="s">
        <v>877</v>
      </c>
      <c r="D24" s="787">
        <v>36768830</v>
      </c>
      <c r="E24" s="734">
        <v>39829802</v>
      </c>
      <c r="F24" s="749">
        <v>39829802</v>
      </c>
      <c r="G24" s="831">
        <f t="shared" si="1"/>
        <v>108.32490998489754</v>
      </c>
    </row>
    <row r="25" spans="1:7" ht="15.75" customHeight="1">
      <c r="A25" s="805" t="s">
        <v>15</v>
      </c>
      <c r="B25" s="806" t="s">
        <v>194</v>
      </c>
      <c r="C25" s="730" t="s">
        <v>195</v>
      </c>
      <c r="D25" s="787">
        <v>1354780</v>
      </c>
      <c r="E25" s="734">
        <v>807606</v>
      </c>
      <c r="F25" s="749">
        <v>807606</v>
      </c>
      <c r="G25" s="831">
        <f t="shared" si="1"/>
        <v>59.611597454937339</v>
      </c>
    </row>
    <row r="26" spans="1:7" ht="15.75" customHeight="1">
      <c r="A26" s="805" t="s">
        <v>15</v>
      </c>
      <c r="B26" s="806" t="s">
        <v>202</v>
      </c>
      <c r="C26" s="730" t="s">
        <v>203</v>
      </c>
      <c r="D26" s="742">
        <v>9156979</v>
      </c>
      <c r="E26" s="727">
        <v>9371514</v>
      </c>
      <c r="F26" s="792">
        <v>9371514</v>
      </c>
      <c r="G26" s="831">
        <f t="shared" si="1"/>
        <v>102.34285783553725</v>
      </c>
    </row>
    <row r="27" spans="1:7" ht="15.75" customHeight="1">
      <c r="A27" s="805" t="s">
        <v>16</v>
      </c>
      <c r="B27" s="806" t="s">
        <v>142</v>
      </c>
      <c r="C27" s="730" t="s">
        <v>206</v>
      </c>
      <c r="D27" s="787">
        <v>1299156</v>
      </c>
      <c r="E27" s="734">
        <v>638959</v>
      </c>
      <c r="F27" s="749">
        <v>638959</v>
      </c>
      <c r="G27" s="831">
        <f t="shared" si="1"/>
        <v>49.182623179972232</v>
      </c>
    </row>
    <row r="28" spans="1:7" ht="15.75" customHeight="1">
      <c r="A28" s="805" t="s">
        <v>17</v>
      </c>
      <c r="B28" s="806" t="s">
        <v>144</v>
      </c>
      <c r="C28" s="730" t="s">
        <v>208</v>
      </c>
      <c r="D28" s="787">
        <v>4055678</v>
      </c>
      <c r="E28" s="734">
        <v>3414677</v>
      </c>
      <c r="F28" s="749">
        <v>3414677</v>
      </c>
      <c r="G28" s="831">
        <f t="shared" si="1"/>
        <v>84.19497307231984</v>
      </c>
    </row>
    <row r="29" spans="1:7" ht="15.75" customHeight="1">
      <c r="A29" s="805" t="s">
        <v>18</v>
      </c>
      <c r="B29" s="806" t="s">
        <v>142</v>
      </c>
      <c r="C29" s="730" t="s">
        <v>209</v>
      </c>
      <c r="D29" s="787">
        <v>2408557</v>
      </c>
      <c r="E29" s="734">
        <v>4170256</v>
      </c>
      <c r="F29" s="749">
        <v>4170256</v>
      </c>
      <c r="G29" s="831">
        <f t="shared" si="1"/>
        <v>173.14333852177882</v>
      </c>
    </row>
    <row r="30" spans="1:7" ht="15.75" customHeight="1">
      <c r="A30" s="805" t="s">
        <v>18</v>
      </c>
      <c r="B30" s="806" t="s">
        <v>152</v>
      </c>
      <c r="C30" s="730" t="s">
        <v>211</v>
      </c>
      <c r="D30" s="787">
        <v>1535167.9999999998</v>
      </c>
      <c r="E30" s="734">
        <v>1670778</v>
      </c>
      <c r="F30" s="749">
        <v>1670778</v>
      </c>
      <c r="G30" s="831">
        <f t="shared" si="1"/>
        <v>108.83356088714721</v>
      </c>
    </row>
    <row r="31" spans="1:7" ht="15.75" customHeight="1">
      <c r="A31" s="805" t="s">
        <v>18</v>
      </c>
      <c r="B31" s="806" t="s">
        <v>146</v>
      </c>
      <c r="C31" s="730" t="s">
        <v>878</v>
      </c>
      <c r="D31" s="787">
        <f>87680617+7385678</f>
        <v>95066295</v>
      </c>
      <c r="E31" s="734">
        <f>96851118+10044858</f>
        <v>106895976</v>
      </c>
      <c r="F31" s="749">
        <f>96851118+10044858</f>
        <v>106895976</v>
      </c>
      <c r="G31" s="831">
        <f t="shared" si="1"/>
        <v>112.44361211299967</v>
      </c>
    </row>
    <row r="32" spans="1:7" ht="15.75" customHeight="1">
      <c r="A32" s="805" t="s">
        <v>19</v>
      </c>
      <c r="B32" s="806" t="s">
        <v>142</v>
      </c>
      <c r="C32" s="730" t="s">
        <v>213</v>
      </c>
      <c r="D32" s="787">
        <v>29621</v>
      </c>
      <c r="E32" s="817" t="s">
        <v>76</v>
      </c>
      <c r="F32" s="825" t="s">
        <v>76</v>
      </c>
      <c r="G32" s="831" t="s">
        <v>76</v>
      </c>
    </row>
    <row r="33" spans="1:7" ht="15.75" customHeight="1">
      <c r="A33" s="805" t="s">
        <v>19</v>
      </c>
      <c r="B33" s="806" t="s">
        <v>144</v>
      </c>
      <c r="C33" s="730" t="s">
        <v>214</v>
      </c>
      <c r="D33" s="787">
        <v>2709394</v>
      </c>
      <c r="E33" s="734">
        <v>1607306</v>
      </c>
      <c r="F33" s="749">
        <v>1607306</v>
      </c>
      <c r="G33" s="831">
        <f t="shared" si="1"/>
        <v>59.32345018849233</v>
      </c>
    </row>
    <row r="34" spans="1:7" ht="15.75" customHeight="1">
      <c r="A34" s="828" t="s">
        <v>19</v>
      </c>
      <c r="B34" s="829" t="s">
        <v>152</v>
      </c>
      <c r="C34" s="830" t="s">
        <v>879</v>
      </c>
      <c r="D34" s="762">
        <v>8172693</v>
      </c>
      <c r="E34" s="763" t="s">
        <v>76</v>
      </c>
      <c r="F34" s="764" t="s">
        <v>76</v>
      </c>
      <c r="G34" s="832" t="s">
        <v>76</v>
      </c>
    </row>
    <row r="35" spans="1:7" ht="18.75" customHeight="1">
      <c r="A35" s="2416" t="s">
        <v>20</v>
      </c>
      <c r="B35" s="2417"/>
      <c r="C35" s="2418"/>
      <c r="D35" s="801">
        <f>SUM(D5:D34)</f>
        <v>1772236989</v>
      </c>
      <c r="E35" s="802">
        <f>SUM(E5:E34)</f>
        <v>1905538177</v>
      </c>
      <c r="F35" s="803">
        <f>SUM(F5:F34)</f>
        <v>1905538177</v>
      </c>
      <c r="G35" s="804"/>
    </row>
    <row r="36" spans="1:7" ht="14.25" customHeight="1"/>
    <row r="37" spans="1:7" ht="17.25" customHeight="1">
      <c r="A37" s="217"/>
      <c r="B37" s="217"/>
      <c r="C37" s="217"/>
      <c r="D37" s="217"/>
      <c r="E37" s="217"/>
      <c r="F37" s="217"/>
      <c r="G37" s="217"/>
    </row>
    <row r="38" spans="1:7" ht="14.25" customHeight="1"/>
    <row r="39" spans="1:7" ht="14.25" customHeight="1">
      <c r="A39" s="217"/>
      <c r="B39" s="217"/>
      <c r="C39" s="217"/>
      <c r="D39" s="217"/>
      <c r="E39" s="217"/>
      <c r="F39" s="217"/>
      <c r="G39" s="217"/>
    </row>
    <row r="40" spans="1:7" ht="14.25" customHeight="1"/>
    <row r="41" spans="1:7" ht="14.25" customHeight="1"/>
    <row r="42" spans="1:7" ht="15" customHeight="1"/>
    <row r="43" spans="1:7" ht="14.25" customHeight="1"/>
    <row r="44" spans="1:7" ht="14.25" customHeight="1"/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</sheetData>
  <mergeCells count="6">
    <mergeCell ref="A35:C35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55118110236220474" bottom="0.39370078740157483" header="0.43307086614173229" footer="0.35433070866141736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7"/>
  <sheetViews>
    <sheetView showGridLines="0" zoomScaleNormal="100" workbookViewId="0">
      <selection activeCell="L4" sqref="L4"/>
    </sheetView>
  </sheetViews>
  <sheetFormatPr defaultColWidth="8" defaultRowHeight="13.5"/>
  <cols>
    <col min="1" max="1" width="4" style="213" customWidth="1"/>
    <col min="2" max="2" width="18.5703125" style="213" customWidth="1"/>
    <col min="3" max="3" width="16.7109375" style="213" customWidth="1"/>
    <col min="4" max="4" width="16.28515625" style="213" customWidth="1"/>
    <col min="5" max="5" width="19.28515625" style="213" customWidth="1"/>
    <col min="6" max="6" width="10.28515625" style="213" customWidth="1"/>
    <col min="7" max="7" width="8" style="213" customWidth="1"/>
    <col min="8" max="8" width="14.5703125" style="213" customWidth="1"/>
    <col min="9" max="10" width="8" style="213"/>
    <col min="11" max="11" width="16.42578125" style="213" customWidth="1"/>
    <col min="12" max="12" width="14" style="213" customWidth="1"/>
    <col min="13" max="13" width="8" style="213"/>
    <col min="14" max="14" width="17.42578125" style="213" customWidth="1"/>
    <col min="15" max="17" width="8" style="213"/>
    <col min="18" max="18" width="25.140625" style="213" customWidth="1"/>
    <col min="19" max="19" width="8" style="213"/>
    <col min="20" max="20" width="19.42578125" style="213" customWidth="1"/>
    <col min="21" max="21" width="13" style="213" customWidth="1"/>
    <col min="22" max="256" width="8" style="213"/>
    <col min="257" max="257" width="4" style="213" customWidth="1"/>
    <col min="258" max="258" width="18.5703125" style="213" customWidth="1"/>
    <col min="259" max="259" width="16.7109375" style="213" customWidth="1"/>
    <col min="260" max="260" width="16.28515625" style="213" customWidth="1"/>
    <col min="261" max="261" width="19.28515625" style="213" customWidth="1"/>
    <col min="262" max="262" width="10.28515625" style="213" customWidth="1"/>
    <col min="263" max="263" width="8" style="213" customWidth="1"/>
    <col min="264" max="264" width="14.5703125" style="213" customWidth="1"/>
    <col min="265" max="266" width="8" style="213"/>
    <col min="267" max="267" width="16.42578125" style="213" customWidth="1"/>
    <col min="268" max="268" width="14" style="213" customWidth="1"/>
    <col min="269" max="269" width="8" style="213"/>
    <col min="270" max="270" width="17.42578125" style="213" customWidth="1"/>
    <col min="271" max="273" width="8" style="213"/>
    <col min="274" max="274" width="25.140625" style="213" customWidth="1"/>
    <col min="275" max="275" width="8" style="213"/>
    <col min="276" max="276" width="19.42578125" style="213" customWidth="1"/>
    <col min="277" max="277" width="13" style="213" customWidth="1"/>
    <col min="278" max="512" width="8" style="213"/>
    <col min="513" max="513" width="4" style="213" customWidth="1"/>
    <col min="514" max="514" width="18.5703125" style="213" customWidth="1"/>
    <col min="515" max="515" width="16.7109375" style="213" customWidth="1"/>
    <col min="516" max="516" width="16.28515625" style="213" customWidth="1"/>
    <col min="517" max="517" width="19.28515625" style="213" customWidth="1"/>
    <col min="518" max="518" width="10.28515625" style="213" customWidth="1"/>
    <col min="519" max="519" width="8" style="213" customWidth="1"/>
    <col min="520" max="520" width="14.5703125" style="213" customWidth="1"/>
    <col min="521" max="522" width="8" style="213"/>
    <col min="523" max="523" width="16.42578125" style="213" customWidth="1"/>
    <col min="524" max="524" width="14" style="213" customWidth="1"/>
    <col min="525" max="525" width="8" style="213"/>
    <col min="526" max="526" width="17.42578125" style="213" customWidth="1"/>
    <col min="527" max="529" width="8" style="213"/>
    <col min="530" max="530" width="25.140625" style="213" customWidth="1"/>
    <col min="531" max="531" width="8" style="213"/>
    <col min="532" max="532" width="19.42578125" style="213" customWidth="1"/>
    <col min="533" max="533" width="13" style="213" customWidth="1"/>
    <col min="534" max="768" width="8" style="213"/>
    <col min="769" max="769" width="4" style="213" customWidth="1"/>
    <col min="770" max="770" width="18.5703125" style="213" customWidth="1"/>
    <col min="771" max="771" width="16.7109375" style="213" customWidth="1"/>
    <col min="772" max="772" width="16.28515625" style="213" customWidth="1"/>
    <col min="773" max="773" width="19.28515625" style="213" customWidth="1"/>
    <col min="774" max="774" width="10.28515625" style="213" customWidth="1"/>
    <col min="775" max="775" width="8" style="213" customWidth="1"/>
    <col min="776" max="776" width="14.5703125" style="213" customWidth="1"/>
    <col min="777" max="778" width="8" style="213"/>
    <col min="779" max="779" width="16.42578125" style="213" customWidth="1"/>
    <col min="780" max="780" width="14" style="213" customWidth="1"/>
    <col min="781" max="781" width="8" style="213"/>
    <col min="782" max="782" width="17.42578125" style="213" customWidth="1"/>
    <col min="783" max="785" width="8" style="213"/>
    <col min="786" max="786" width="25.140625" style="213" customWidth="1"/>
    <col min="787" max="787" width="8" style="213"/>
    <col min="788" max="788" width="19.42578125" style="213" customWidth="1"/>
    <col min="789" max="789" width="13" style="213" customWidth="1"/>
    <col min="790" max="1024" width="8" style="213"/>
    <col min="1025" max="1025" width="4" style="213" customWidth="1"/>
    <col min="1026" max="1026" width="18.5703125" style="213" customWidth="1"/>
    <col min="1027" max="1027" width="16.7109375" style="213" customWidth="1"/>
    <col min="1028" max="1028" width="16.28515625" style="213" customWidth="1"/>
    <col min="1029" max="1029" width="19.28515625" style="213" customWidth="1"/>
    <col min="1030" max="1030" width="10.28515625" style="213" customWidth="1"/>
    <col min="1031" max="1031" width="8" style="213" customWidth="1"/>
    <col min="1032" max="1032" width="14.5703125" style="213" customWidth="1"/>
    <col min="1033" max="1034" width="8" style="213"/>
    <col min="1035" max="1035" width="16.42578125" style="213" customWidth="1"/>
    <col min="1036" max="1036" width="14" style="213" customWidth="1"/>
    <col min="1037" max="1037" width="8" style="213"/>
    <col min="1038" max="1038" width="17.42578125" style="213" customWidth="1"/>
    <col min="1039" max="1041" width="8" style="213"/>
    <col min="1042" max="1042" width="25.140625" style="213" customWidth="1"/>
    <col min="1043" max="1043" width="8" style="213"/>
    <col min="1044" max="1044" width="19.42578125" style="213" customWidth="1"/>
    <col min="1045" max="1045" width="13" style="213" customWidth="1"/>
    <col min="1046" max="1280" width="8" style="213"/>
    <col min="1281" max="1281" width="4" style="213" customWidth="1"/>
    <col min="1282" max="1282" width="18.5703125" style="213" customWidth="1"/>
    <col min="1283" max="1283" width="16.7109375" style="213" customWidth="1"/>
    <col min="1284" max="1284" width="16.28515625" style="213" customWidth="1"/>
    <col min="1285" max="1285" width="19.28515625" style="213" customWidth="1"/>
    <col min="1286" max="1286" width="10.28515625" style="213" customWidth="1"/>
    <col min="1287" max="1287" width="8" style="213" customWidth="1"/>
    <col min="1288" max="1288" width="14.5703125" style="213" customWidth="1"/>
    <col min="1289" max="1290" width="8" style="213"/>
    <col min="1291" max="1291" width="16.42578125" style="213" customWidth="1"/>
    <col min="1292" max="1292" width="14" style="213" customWidth="1"/>
    <col min="1293" max="1293" width="8" style="213"/>
    <col min="1294" max="1294" width="17.42578125" style="213" customWidth="1"/>
    <col min="1295" max="1297" width="8" style="213"/>
    <col min="1298" max="1298" width="25.140625" style="213" customWidth="1"/>
    <col min="1299" max="1299" width="8" style="213"/>
    <col min="1300" max="1300" width="19.42578125" style="213" customWidth="1"/>
    <col min="1301" max="1301" width="13" style="213" customWidth="1"/>
    <col min="1302" max="1536" width="8" style="213"/>
    <col min="1537" max="1537" width="4" style="213" customWidth="1"/>
    <col min="1538" max="1538" width="18.5703125" style="213" customWidth="1"/>
    <col min="1539" max="1539" width="16.7109375" style="213" customWidth="1"/>
    <col min="1540" max="1540" width="16.28515625" style="213" customWidth="1"/>
    <col min="1541" max="1541" width="19.28515625" style="213" customWidth="1"/>
    <col min="1542" max="1542" width="10.28515625" style="213" customWidth="1"/>
    <col min="1543" max="1543" width="8" style="213" customWidth="1"/>
    <col min="1544" max="1544" width="14.5703125" style="213" customWidth="1"/>
    <col min="1545" max="1546" width="8" style="213"/>
    <col min="1547" max="1547" width="16.42578125" style="213" customWidth="1"/>
    <col min="1548" max="1548" width="14" style="213" customWidth="1"/>
    <col min="1549" max="1549" width="8" style="213"/>
    <col min="1550" max="1550" width="17.42578125" style="213" customWidth="1"/>
    <col min="1551" max="1553" width="8" style="213"/>
    <col min="1554" max="1554" width="25.140625" style="213" customWidth="1"/>
    <col min="1555" max="1555" width="8" style="213"/>
    <col min="1556" max="1556" width="19.42578125" style="213" customWidth="1"/>
    <col min="1557" max="1557" width="13" style="213" customWidth="1"/>
    <col min="1558" max="1792" width="8" style="213"/>
    <col min="1793" max="1793" width="4" style="213" customWidth="1"/>
    <col min="1794" max="1794" width="18.5703125" style="213" customWidth="1"/>
    <col min="1795" max="1795" width="16.7109375" style="213" customWidth="1"/>
    <col min="1796" max="1796" width="16.28515625" style="213" customWidth="1"/>
    <col min="1797" max="1797" width="19.28515625" style="213" customWidth="1"/>
    <col min="1798" max="1798" width="10.28515625" style="213" customWidth="1"/>
    <col min="1799" max="1799" width="8" style="213" customWidth="1"/>
    <col min="1800" max="1800" width="14.5703125" style="213" customWidth="1"/>
    <col min="1801" max="1802" width="8" style="213"/>
    <col min="1803" max="1803" width="16.42578125" style="213" customWidth="1"/>
    <col min="1804" max="1804" width="14" style="213" customWidth="1"/>
    <col min="1805" max="1805" width="8" style="213"/>
    <col min="1806" max="1806" width="17.42578125" style="213" customWidth="1"/>
    <col min="1807" max="1809" width="8" style="213"/>
    <col min="1810" max="1810" width="25.140625" style="213" customWidth="1"/>
    <col min="1811" max="1811" width="8" style="213"/>
    <col min="1812" max="1812" width="19.42578125" style="213" customWidth="1"/>
    <col min="1813" max="1813" width="13" style="213" customWidth="1"/>
    <col min="1814" max="2048" width="8" style="213"/>
    <col min="2049" max="2049" width="4" style="213" customWidth="1"/>
    <col min="2050" max="2050" width="18.5703125" style="213" customWidth="1"/>
    <col min="2051" max="2051" width="16.7109375" style="213" customWidth="1"/>
    <col min="2052" max="2052" width="16.28515625" style="213" customWidth="1"/>
    <col min="2053" max="2053" width="19.28515625" style="213" customWidth="1"/>
    <col min="2054" max="2054" width="10.28515625" style="213" customWidth="1"/>
    <col min="2055" max="2055" width="8" style="213" customWidth="1"/>
    <col min="2056" max="2056" width="14.5703125" style="213" customWidth="1"/>
    <col min="2057" max="2058" width="8" style="213"/>
    <col min="2059" max="2059" width="16.42578125" style="213" customWidth="1"/>
    <col min="2060" max="2060" width="14" style="213" customWidth="1"/>
    <col min="2061" max="2061" width="8" style="213"/>
    <col min="2062" max="2062" width="17.42578125" style="213" customWidth="1"/>
    <col min="2063" max="2065" width="8" style="213"/>
    <col min="2066" max="2066" width="25.140625" style="213" customWidth="1"/>
    <col min="2067" max="2067" width="8" style="213"/>
    <col min="2068" max="2068" width="19.42578125" style="213" customWidth="1"/>
    <col min="2069" max="2069" width="13" style="213" customWidth="1"/>
    <col min="2070" max="2304" width="8" style="213"/>
    <col min="2305" max="2305" width="4" style="213" customWidth="1"/>
    <col min="2306" max="2306" width="18.5703125" style="213" customWidth="1"/>
    <col min="2307" max="2307" width="16.7109375" style="213" customWidth="1"/>
    <col min="2308" max="2308" width="16.28515625" style="213" customWidth="1"/>
    <col min="2309" max="2309" width="19.28515625" style="213" customWidth="1"/>
    <col min="2310" max="2310" width="10.28515625" style="213" customWidth="1"/>
    <col min="2311" max="2311" width="8" style="213" customWidth="1"/>
    <col min="2312" max="2312" width="14.5703125" style="213" customWidth="1"/>
    <col min="2313" max="2314" width="8" style="213"/>
    <col min="2315" max="2315" width="16.42578125" style="213" customWidth="1"/>
    <col min="2316" max="2316" width="14" style="213" customWidth="1"/>
    <col min="2317" max="2317" width="8" style="213"/>
    <col min="2318" max="2318" width="17.42578125" style="213" customWidth="1"/>
    <col min="2319" max="2321" width="8" style="213"/>
    <col min="2322" max="2322" width="25.140625" style="213" customWidth="1"/>
    <col min="2323" max="2323" width="8" style="213"/>
    <col min="2324" max="2324" width="19.42578125" style="213" customWidth="1"/>
    <col min="2325" max="2325" width="13" style="213" customWidth="1"/>
    <col min="2326" max="2560" width="8" style="213"/>
    <col min="2561" max="2561" width="4" style="213" customWidth="1"/>
    <col min="2562" max="2562" width="18.5703125" style="213" customWidth="1"/>
    <col min="2563" max="2563" width="16.7109375" style="213" customWidth="1"/>
    <col min="2564" max="2564" width="16.28515625" style="213" customWidth="1"/>
    <col min="2565" max="2565" width="19.28515625" style="213" customWidth="1"/>
    <col min="2566" max="2566" width="10.28515625" style="213" customWidth="1"/>
    <col min="2567" max="2567" width="8" style="213" customWidth="1"/>
    <col min="2568" max="2568" width="14.5703125" style="213" customWidth="1"/>
    <col min="2569" max="2570" width="8" style="213"/>
    <col min="2571" max="2571" width="16.42578125" style="213" customWidth="1"/>
    <col min="2572" max="2572" width="14" style="213" customWidth="1"/>
    <col min="2573" max="2573" width="8" style="213"/>
    <col min="2574" max="2574" width="17.42578125" style="213" customWidth="1"/>
    <col min="2575" max="2577" width="8" style="213"/>
    <col min="2578" max="2578" width="25.140625" style="213" customWidth="1"/>
    <col min="2579" max="2579" width="8" style="213"/>
    <col min="2580" max="2580" width="19.42578125" style="213" customWidth="1"/>
    <col min="2581" max="2581" width="13" style="213" customWidth="1"/>
    <col min="2582" max="2816" width="8" style="213"/>
    <col min="2817" max="2817" width="4" style="213" customWidth="1"/>
    <col min="2818" max="2818" width="18.5703125" style="213" customWidth="1"/>
    <col min="2819" max="2819" width="16.7109375" style="213" customWidth="1"/>
    <col min="2820" max="2820" width="16.28515625" style="213" customWidth="1"/>
    <col min="2821" max="2821" width="19.28515625" style="213" customWidth="1"/>
    <col min="2822" max="2822" width="10.28515625" style="213" customWidth="1"/>
    <col min="2823" max="2823" width="8" style="213" customWidth="1"/>
    <col min="2824" max="2824" width="14.5703125" style="213" customWidth="1"/>
    <col min="2825" max="2826" width="8" style="213"/>
    <col min="2827" max="2827" width="16.42578125" style="213" customWidth="1"/>
    <col min="2828" max="2828" width="14" style="213" customWidth="1"/>
    <col min="2829" max="2829" width="8" style="213"/>
    <col min="2830" max="2830" width="17.42578125" style="213" customWidth="1"/>
    <col min="2831" max="2833" width="8" style="213"/>
    <col min="2834" max="2834" width="25.140625" style="213" customWidth="1"/>
    <col min="2835" max="2835" width="8" style="213"/>
    <col min="2836" max="2836" width="19.42578125" style="213" customWidth="1"/>
    <col min="2837" max="2837" width="13" style="213" customWidth="1"/>
    <col min="2838" max="3072" width="8" style="213"/>
    <col min="3073" max="3073" width="4" style="213" customWidth="1"/>
    <col min="3074" max="3074" width="18.5703125" style="213" customWidth="1"/>
    <col min="3075" max="3075" width="16.7109375" style="213" customWidth="1"/>
    <col min="3076" max="3076" width="16.28515625" style="213" customWidth="1"/>
    <col min="3077" max="3077" width="19.28515625" style="213" customWidth="1"/>
    <col min="3078" max="3078" width="10.28515625" style="213" customWidth="1"/>
    <col min="3079" max="3079" width="8" style="213" customWidth="1"/>
    <col min="3080" max="3080" width="14.5703125" style="213" customWidth="1"/>
    <col min="3081" max="3082" width="8" style="213"/>
    <col min="3083" max="3083" width="16.42578125" style="213" customWidth="1"/>
    <col min="3084" max="3084" width="14" style="213" customWidth="1"/>
    <col min="3085" max="3085" width="8" style="213"/>
    <col min="3086" max="3086" width="17.42578125" style="213" customWidth="1"/>
    <col min="3087" max="3089" width="8" style="213"/>
    <col min="3090" max="3090" width="25.140625" style="213" customWidth="1"/>
    <col min="3091" max="3091" width="8" style="213"/>
    <col min="3092" max="3092" width="19.42578125" style="213" customWidth="1"/>
    <col min="3093" max="3093" width="13" style="213" customWidth="1"/>
    <col min="3094" max="3328" width="8" style="213"/>
    <col min="3329" max="3329" width="4" style="213" customWidth="1"/>
    <col min="3330" max="3330" width="18.5703125" style="213" customWidth="1"/>
    <col min="3331" max="3331" width="16.7109375" style="213" customWidth="1"/>
    <col min="3332" max="3332" width="16.28515625" style="213" customWidth="1"/>
    <col min="3333" max="3333" width="19.28515625" style="213" customWidth="1"/>
    <col min="3334" max="3334" width="10.28515625" style="213" customWidth="1"/>
    <col min="3335" max="3335" width="8" style="213" customWidth="1"/>
    <col min="3336" max="3336" width="14.5703125" style="213" customWidth="1"/>
    <col min="3337" max="3338" width="8" style="213"/>
    <col min="3339" max="3339" width="16.42578125" style="213" customWidth="1"/>
    <col min="3340" max="3340" width="14" style="213" customWidth="1"/>
    <col min="3341" max="3341" width="8" style="213"/>
    <col min="3342" max="3342" width="17.42578125" style="213" customWidth="1"/>
    <col min="3343" max="3345" width="8" style="213"/>
    <col min="3346" max="3346" width="25.140625" style="213" customWidth="1"/>
    <col min="3347" max="3347" width="8" style="213"/>
    <col min="3348" max="3348" width="19.42578125" style="213" customWidth="1"/>
    <col min="3349" max="3349" width="13" style="213" customWidth="1"/>
    <col min="3350" max="3584" width="8" style="213"/>
    <col min="3585" max="3585" width="4" style="213" customWidth="1"/>
    <col min="3586" max="3586" width="18.5703125" style="213" customWidth="1"/>
    <col min="3587" max="3587" width="16.7109375" style="213" customWidth="1"/>
    <col min="3588" max="3588" width="16.28515625" style="213" customWidth="1"/>
    <col min="3589" max="3589" width="19.28515625" style="213" customWidth="1"/>
    <col min="3590" max="3590" width="10.28515625" style="213" customWidth="1"/>
    <col min="3591" max="3591" width="8" style="213" customWidth="1"/>
    <col min="3592" max="3592" width="14.5703125" style="213" customWidth="1"/>
    <col min="3593" max="3594" width="8" style="213"/>
    <col min="3595" max="3595" width="16.42578125" style="213" customWidth="1"/>
    <col min="3596" max="3596" width="14" style="213" customWidth="1"/>
    <col min="3597" max="3597" width="8" style="213"/>
    <col min="3598" max="3598" width="17.42578125" style="213" customWidth="1"/>
    <col min="3599" max="3601" width="8" style="213"/>
    <col min="3602" max="3602" width="25.140625" style="213" customWidth="1"/>
    <col min="3603" max="3603" width="8" style="213"/>
    <col min="3604" max="3604" width="19.42578125" style="213" customWidth="1"/>
    <col min="3605" max="3605" width="13" style="213" customWidth="1"/>
    <col min="3606" max="3840" width="8" style="213"/>
    <col min="3841" max="3841" width="4" style="213" customWidth="1"/>
    <col min="3842" max="3842" width="18.5703125" style="213" customWidth="1"/>
    <col min="3843" max="3843" width="16.7109375" style="213" customWidth="1"/>
    <col min="3844" max="3844" width="16.28515625" style="213" customWidth="1"/>
    <col min="3845" max="3845" width="19.28515625" style="213" customWidth="1"/>
    <col min="3846" max="3846" width="10.28515625" style="213" customWidth="1"/>
    <col min="3847" max="3847" width="8" style="213" customWidth="1"/>
    <col min="3848" max="3848" width="14.5703125" style="213" customWidth="1"/>
    <col min="3849" max="3850" width="8" style="213"/>
    <col min="3851" max="3851" width="16.42578125" style="213" customWidth="1"/>
    <col min="3852" max="3852" width="14" style="213" customWidth="1"/>
    <col min="3853" max="3853" width="8" style="213"/>
    <col min="3854" max="3854" width="17.42578125" style="213" customWidth="1"/>
    <col min="3855" max="3857" width="8" style="213"/>
    <col min="3858" max="3858" width="25.140625" style="213" customWidth="1"/>
    <col min="3859" max="3859" width="8" style="213"/>
    <col min="3860" max="3860" width="19.42578125" style="213" customWidth="1"/>
    <col min="3861" max="3861" width="13" style="213" customWidth="1"/>
    <col min="3862" max="4096" width="8" style="213"/>
    <col min="4097" max="4097" width="4" style="213" customWidth="1"/>
    <col min="4098" max="4098" width="18.5703125" style="213" customWidth="1"/>
    <col min="4099" max="4099" width="16.7109375" style="213" customWidth="1"/>
    <col min="4100" max="4100" width="16.28515625" style="213" customWidth="1"/>
    <col min="4101" max="4101" width="19.28515625" style="213" customWidth="1"/>
    <col min="4102" max="4102" width="10.28515625" style="213" customWidth="1"/>
    <col min="4103" max="4103" width="8" style="213" customWidth="1"/>
    <col min="4104" max="4104" width="14.5703125" style="213" customWidth="1"/>
    <col min="4105" max="4106" width="8" style="213"/>
    <col min="4107" max="4107" width="16.42578125" style="213" customWidth="1"/>
    <col min="4108" max="4108" width="14" style="213" customWidth="1"/>
    <col min="4109" max="4109" width="8" style="213"/>
    <col min="4110" max="4110" width="17.42578125" style="213" customWidth="1"/>
    <col min="4111" max="4113" width="8" style="213"/>
    <col min="4114" max="4114" width="25.140625" style="213" customWidth="1"/>
    <col min="4115" max="4115" width="8" style="213"/>
    <col min="4116" max="4116" width="19.42578125" style="213" customWidth="1"/>
    <col min="4117" max="4117" width="13" style="213" customWidth="1"/>
    <col min="4118" max="4352" width="8" style="213"/>
    <col min="4353" max="4353" width="4" style="213" customWidth="1"/>
    <col min="4354" max="4354" width="18.5703125" style="213" customWidth="1"/>
    <col min="4355" max="4355" width="16.7109375" style="213" customWidth="1"/>
    <col min="4356" max="4356" width="16.28515625" style="213" customWidth="1"/>
    <col min="4357" max="4357" width="19.28515625" style="213" customWidth="1"/>
    <col min="4358" max="4358" width="10.28515625" style="213" customWidth="1"/>
    <col min="4359" max="4359" width="8" style="213" customWidth="1"/>
    <col min="4360" max="4360" width="14.5703125" style="213" customWidth="1"/>
    <col min="4361" max="4362" width="8" style="213"/>
    <col min="4363" max="4363" width="16.42578125" style="213" customWidth="1"/>
    <col min="4364" max="4364" width="14" style="213" customWidth="1"/>
    <col min="4365" max="4365" width="8" style="213"/>
    <col min="4366" max="4366" width="17.42578125" style="213" customWidth="1"/>
    <col min="4367" max="4369" width="8" style="213"/>
    <col min="4370" max="4370" width="25.140625" style="213" customWidth="1"/>
    <col min="4371" max="4371" width="8" style="213"/>
    <col min="4372" max="4372" width="19.42578125" style="213" customWidth="1"/>
    <col min="4373" max="4373" width="13" style="213" customWidth="1"/>
    <col min="4374" max="4608" width="8" style="213"/>
    <col min="4609" max="4609" width="4" style="213" customWidth="1"/>
    <col min="4610" max="4610" width="18.5703125" style="213" customWidth="1"/>
    <col min="4611" max="4611" width="16.7109375" style="213" customWidth="1"/>
    <col min="4612" max="4612" width="16.28515625" style="213" customWidth="1"/>
    <col min="4613" max="4613" width="19.28515625" style="213" customWidth="1"/>
    <col min="4614" max="4614" width="10.28515625" style="213" customWidth="1"/>
    <col min="4615" max="4615" width="8" style="213" customWidth="1"/>
    <col min="4616" max="4616" width="14.5703125" style="213" customWidth="1"/>
    <col min="4617" max="4618" width="8" style="213"/>
    <col min="4619" max="4619" width="16.42578125" style="213" customWidth="1"/>
    <col min="4620" max="4620" width="14" style="213" customWidth="1"/>
    <col min="4621" max="4621" width="8" style="213"/>
    <col min="4622" max="4622" width="17.42578125" style="213" customWidth="1"/>
    <col min="4623" max="4625" width="8" style="213"/>
    <col min="4626" max="4626" width="25.140625" style="213" customWidth="1"/>
    <col min="4627" max="4627" width="8" style="213"/>
    <col min="4628" max="4628" width="19.42578125" style="213" customWidth="1"/>
    <col min="4629" max="4629" width="13" style="213" customWidth="1"/>
    <col min="4630" max="4864" width="8" style="213"/>
    <col min="4865" max="4865" width="4" style="213" customWidth="1"/>
    <col min="4866" max="4866" width="18.5703125" style="213" customWidth="1"/>
    <col min="4867" max="4867" width="16.7109375" style="213" customWidth="1"/>
    <col min="4868" max="4868" width="16.28515625" style="213" customWidth="1"/>
    <col min="4869" max="4869" width="19.28515625" style="213" customWidth="1"/>
    <col min="4870" max="4870" width="10.28515625" style="213" customWidth="1"/>
    <col min="4871" max="4871" width="8" style="213" customWidth="1"/>
    <col min="4872" max="4872" width="14.5703125" style="213" customWidth="1"/>
    <col min="4873" max="4874" width="8" style="213"/>
    <col min="4875" max="4875" width="16.42578125" style="213" customWidth="1"/>
    <col min="4876" max="4876" width="14" style="213" customWidth="1"/>
    <col min="4877" max="4877" width="8" style="213"/>
    <col min="4878" max="4878" width="17.42578125" style="213" customWidth="1"/>
    <col min="4879" max="4881" width="8" style="213"/>
    <col min="4882" max="4882" width="25.140625" style="213" customWidth="1"/>
    <col min="4883" max="4883" width="8" style="213"/>
    <col min="4884" max="4884" width="19.42578125" style="213" customWidth="1"/>
    <col min="4885" max="4885" width="13" style="213" customWidth="1"/>
    <col min="4886" max="5120" width="8" style="213"/>
    <col min="5121" max="5121" width="4" style="213" customWidth="1"/>
    <col min="5122" max="5122" width="18.5703125" style="213" customWidth="1"/>
    <col min="5123" max="5123" width="16.7109375" style="213" customWidth="1"/>
    <col min="5124" max="5124" width="16.28515625" style="213" customWidth="1"/>
    <col min="5125" max="5125" width="19.28515625" style="213" customWidth="1"/>
    <col min="5126" max="5126" width="10.28515625" style="213" customWidth="1"/>
    <col min="5127" max="5127" width="8" style="213" customWidth="1"/>
    <col min="5128" max="5128" width="14.5703125" style="213" customWidth="1"/>
    <col min="5129" max="5130" width="8" style="213"/>
    <col min="5131" max="5131" width="16.42578125" style="213" customWidth="1"/>
    <col min="5132" max="5132" width="14" style="213" customWidth="1"/>
    <col min="5133" max="5133" width="8" style="213"/>
    <col min="5134" max="5134" width="17.42578125" style="213" customWidth="1"/>
    <col min="5135" max="5137" width="8" style="213"/>
    <col min="5138" max="5138" width="25.140625" style="213" customWidth="1"/>
    <col min="5139" max="5139" width="8" style="213"/>
    <col min="5140" max="5140" width="19.42578125" style="213" customWidth="1"/>
    <col min="5141" max="5141" width="13" style="213" customWidth="1"/>
    <col min="5142" max="5376" width="8" style="213"/>
    <col min="5377" max="5377" width="4" style="213" customWidth="1"/>
    <col min="5378" max="5378" width="18.5703125" style="213" customWidth="1"/>
    <col min="5379" max="5379" width="16.7109375" style="213" customWidth="1"/>
    <col min="5380" max="5380" width="16.28515625" style="213" customWidth="1"/>
    <col min="5381" max="5381" width="19.28515625" style="213" customWidth="1"/>
    <col min="5382" max="5382" width="10.28515625" style="213" customWidth="1"/>
    <col min="5383" max="5383" width="8" style="213" customWidth="1"/>
    <col min="5384" max="5384" width="14.5703125" style="213" customWidth="1"/>
    <col min="5385" max="5386" width="8" style="213"/>
    <col min="5387" max="5387" width="16.42578125" style="213" customWidth="1"/>
    <col min="5388" max="5388" width="14" style="213" customWidth="1"/>
    <col min="5389" max="5389" width="8" style="213"/>
    <col min="5390" max="5390" width="17.42578125" style="213" customWidth="1"/>
    <col min="5391" max="5393" width="8" style="213"/>
    <col min="5394" max="5394" width="25.140625" style="213" customWidth="1"/>
    <col min="5395" max="5395" width="8" style="213"/>
    <col min="5396" max="5396" width="19.42578125" style="213" customWidth="1"/>
    <col min="5397" max="5397" width="13" style="213" customWidth="1"/>
    <col min="5398" max="5632" width="8" style="213"/>
    <col min="5633" max="5633" width="4" style="213" customWidth="1"/>
    <col min="5634" max="5634" width="18.5703125" style="213" customWidth="1"/>
    <col min="5635" max="5635" width="16.7109375" style="213" customWidth="1"/>
    <col min="5636" max="5636" width="16.28515625" style="213" customWidth="1"/>
    <col min="5637" max="5637" width="19.28515625" style="213" customWidth="1"/>
    <col min="5638" max="5638" width="10.28515625" style="213" customWidth="1"/>
    <col min="5639" max="5639" width="8" style="213" customWidth="1"/>
    <col min="5640" max="5640" width="14.5703125" style="213" customWidth="1"/>
    <col min="5641" max="5642" width="8" style="213"/>
    <col min="5643" max="5643" width="16.42578125" style="213" customWidth="1"/>
    <col min="5644" max="5644" width="14" style="213" customWidth="1"/>
    <col min="5645" max="5645" width="8" style="213"/>
    <col min="5646" max="5646" width="17.42578125" style="213" customWidth="1"/>
    <col min="5647" max="5649" width="8" style="213"/>
    <col min="5650" max="5650" width="25.140625" style="213" customWidth="1"/>
    <col min="5651" max="5651" width="8" style="213"/>
    <col min="5652" max="5652" width="19.42578125" style="213" customWidth="1"/>
    <col min="5653" max="5653" width="13" style="213" customWidth="1"/>
    <col min="5654" max="5888" width="8" style="213"/>
    <col min="5889" max="5889" width="4" style="213" customWidth="1"/>
    <col min="5890" max="5890" width="18.5703125" style="213" customWidth="1"/>
    <col min="5891" max="5891" width="16.7109375" style="213" customWidth="1"/>
    <col min="5892" max="5892" width="16.28515625" style="213" customWidth="1"/>
    <col min="5893" max="5893" width="19.28515625" style="213" customWidth="1"/>
    <col min="5894" max="5894" width="10.28515625" style="213" customWidth="1"/>
    <col min="5895" max="5895" width="8" style="213" customWidth="1"/>
    <col min="5896" max="5896" width="14.5703125" style="213" customWidth="1"/>
    <col min="5897" max="5898" width="8" style="213"/>
    <col min="5899" max="5899" width="16.42578125" style="213" customWidth="1"/>
    <col min="5900" max="5900" width="14" style="213" customWidth="1"/>
    <col min="5901" max="5901" width="8" style="213"/>
    <col min="5902" max="5902" width="17.42578125" style="213" customWidth="1"/>
    <col min="5903" max="5905" width="8" style="213"/>
    <col min="5906" max="5906" width="25.140625" style="213" customWidth="1"/>
    <col min="5907" max="5907" width="8" style="213"/>
    <col min="5908" max="5908" width="19.42578125" style="213" customWidth="1"/>
    <col min="5909" max="5909" width="13" style="213" customWidth="1"/>
    <col min="5910" max="6144" width="8" style="213"/>
    <col min="6145" max="6145" width="4" style="213" customWidth="1"/>
    <col min="6146" max="6146" width="18.5703125" style="213" customWidth="1"/>
    <col min="6147" max="6147" width="16.7109375" style="213" customWidth="1"/>
    <col min="6148" max="6148" width="16.28515625" style="213" customWidth="1"/>
    <col min="6149" max="6149" width="19.28515625" style="213" customWidth="1"/>
    <col min="6150" max="6150" width="10.28515625" style="213" customWidth="1"/>
    <col min="6151" max="6151" width="8" style="213" customWidth="1"/>
    <col min="6152" max="6152" width="14.5703125" style="213" customWidth="1"/>
    <col min="6153" max="6154" width="8" style="213"/>
    <col min="6155" max="6155" width="16.42578125" style="213" customWidth="1"/>
    <col min="6156" max="6156" width="14" style="213" customWidth="1"/>
    <col min="6157" max="6157" width="8" style="213"/>
    <col min="6158" max="6158" width="17.42578125" style="213" customWidth="1"/>
    <col min="6159" max="6161" width="8" style="213"/>
    <col min="6162" max="6162" width="25.140625" style="213" customWidth="1"/>
    <col min="6163" max="6163" width="8" style="213"/>
    <col min="6164" max="6164" width="19.42578125" style="213" customWidth="1"/>
    <col min="6165" max="6165" width="13" style="213" customWidth="1"/>
    <col min="6166" max="6400" width="8" style="213"/>
    <col min="6401" max="6401" width="4" style="213" customWidth="1"/>
    <col min="6402" max="6402" width="18.5703125" style="213" customWidth="1"/>
    <col min="6403" max="6403" width="16.7109375" style="213" customWidth="1"/>
    <col min="6404" max="6404" width="16.28515625" style="213" customWidth="1"/>
    <col min="6405" max="6405" width="19.28515625" style="213" customWidth="1"/>
    <col min="6406" max="6406" width="10.28515625" style="213" customWidth="1"/>
    <col min="6407" max="6407" width="8" style="213" customWidth="1"/>
    <col min="6408" max="6408" width="14.5703125" style="213" customWidth="1"/>
    <col min="6409" max="6410" width="8" style="213"/>
    <col min="6411" max="6411" width="16.42578125" style="213" customWidth="1"/>
    <col min="6412" max="6412" width="14" style="213" customWidth="1"/>
    <col min="6413" max="6413" width="8" style="213"/>
    <col min="6414" max="6414" width="17.42578125" style="213" customWidth="1"/>
    <col min="6415" max="6417" width="8" style="213"/>
    <col min="6418" max="6418" width="25.140625" style="213" customWidth="1"/>
    <col min="6419" max="6419" width="8" style="213"/>
    <col min="6420" max="6420" width="19.42578125" style="213" customWidth="1"/>
    <col min="6421" max="6421" width="13" style="213" customWidth="1"/>
    <col min="6422" max="6656" width="8" style="213"/>
    <col min="6657" max="6657" width="4" style="213" customWidth="1"/>
    <col min="6658" max="6658" width="18.5703125" style="213" customWidth="1"/>
    <col min="6659" max="6659" width="16.7109375" style="213" customWidth="1"/>
    <col min="6660" max="6660" width="16.28515625" style="213" customWidth="1"/>
    <col min="6661" max="6661" width="19.28515625" style="213" customWidth="1"/>
    <col min="6662" max="6662" width="10.28515625" style="213" customWidth="1"/>
    <col min="6663" max="6663" width="8" style="213" customWidth="1"/>
    <col min="6664" max="6664" width="14.5703125" style="213" customWidth="1"/>
    <col min="6665" max="6666" width="8" style="213"/>
    <col min="6667" max="6667" width="16.42578125" style="213" customWidth="1"/>
    <col min="6668" max="6668" width="14" style="213" customWidth="1"/>
    <col min="6669" max="6669" width="8" style="213"/>
    <col min="6670" max="6670" width="17.42578125" style="213" customWidth="1"/>
    <col min="6671" max="6673" width="8" style="213"/>
    <col min="6674" max="6674" width="25.140625" style="213" customWidth="1"/>
    <col min="6675" max="6675" width="8" style="213"/>
    <col min="6676" max="6676" width="19.42578125" style="213" customWidth="1"/>
    <col min="6677" max="6677" width="13" style="213" customWidth="1"/>
    <col min="6678" max="6912" width="8" style="213"/>
    <col min="6913" max="6913" width="4" style="213" customWidth="1"/>
    <col min="6914" max="6914" width="18.5703125" style="213" customWidth="1"/>
    <col min="6915" max="6915" width="16.7109375" style="213" customWidth="1"/>
    <col min="6916" max="6916" width="16.28515625" style="213" customWidth="1"/>
    <col min="6917" max="6917" width="19.28515625" style="213" customWidth="1"/>
    <col min="6918" max="6918" width="10.28515625" style="213" customWidth="1"/>
    <col min="6919" max="6919" width="8" style="213" customWidth="1"/>
    <col min="6920" max="6920" width="14.5703125" style="213" customWidth="1"/>
    <col min="6921" max="6922" width="8" style="213"/>
    <col min="6923" max="6923" width="16.42578125" style="213" customWidth="1"/>
    <col min="6924" max="6924" width="14" style="213" customWidth="1"/>
    <col min="6925" max="6925" width="8" style="213"/>
    <col min="6926" max="6926" width="17.42578125" style="213" customWidth="1"/>
    <col min="6927" max="6929" width="8" style="213"/>
    <col min="6930" max="6930" width="25.140625" style="213" customWidth="1"/>
    <col min="6931" max="6931" width="8" style="213"/>
    <col min="6932" max="6932" width="19.42578125" style="213" customWidth="1"/>
    <col min="6933" max="6933" width="13" style="213" customWidth="1"/>
    <col min="6934" max="7168" width="8" style="213"/>
    <col min="7169" max="7169" width="4" style="213" customWidth="1"/>
    <col min="7170" max="7170" width="18.5703125" style="213" customWidth="1"/>
    <col min="7171" max="7171" width="16.7109375" style="213" customWidth="1"/>
    <col min="7172" max="7172" width="16.28515625" style="213" customWidth="1"/>
    <col min="7173" max="7173" width="19.28515625" style="213" customWidth="1"/>
    <col min="7174" max="7174" width="10.28515625" style="213" customWidth="1"/>
    <col min="7175" max="7175" width="8" style="213" customWidth="1"/>
    <col min="7176" max="7176" width="14.5703125" style="213" customWidth="1"/>
    <col min="7177" max="7178" width="8" style="213"/>
    <col min="7179" max="7179" width="16.42578125" style="213" customWidth="1"/>
    <col min="7180" max="7180" width="14" style="213" customWidth="1"/>
    <col min="7181" max="7181" width="8" style="213"/>
    <col min="7182" max="7182" width="17.42578125" style="213" customWidth="1"/>
    <col min="7183" max="7185" width="8" style="213"/>
    <col min="7186" max="7186" width="25.140625" style="213" customWidth="1"/>
    <col min="7187" max="7187" width="8" style="213"/>
    <col min="7188" max="7188" width="19.42578125" style="213" customWidth="1"/>
    <col min="7189" max="7189" width="13" style="213" customWidth="1"/>
    <col min="7190" max="7424" width="8" style="213"/>
    <col min="7425" max="7425" width="4" style="213" customWidth="1"/>
    <col min="7426" max="7426" width="18.5703125" style="213" customWidth="1"/>
    <col min="7427" max="7427" width="16.7109375" style="213" customWidth="1"/>
    <col min="7428" max="7428" width="16.28515625" style="213" customWidth="1"/>
    <col min="7429" max="7429" width="19.28515625" style="213" customWidth="1"/>
    <col min="7430" max="7430" width="10.28515625" style="213" customWidth="1"/>
    <col min="7431" max="7431" width="8" style="213" customWidth="1"/>
    <col min="7432" max="7432" width="14.5703125" style="213" customWidth="1"/>
    <col min="7433" max="7434" width="8" style="213"/>
    <col min="7435" max="7435" width="16.42578125" style="213" customWidth="1"/>
    <col min="7436" max="7436" width="14" style="213" customWidth="1"/>
    <col min="7437" max="7437" width="8" style="213"/>
    <col min="7438" max="7438" width="17.42578125" style="213" customWidth="1"/>
    <col min="7439" max="7441" width="8" style="213"/>
    <col min="7442" max="7442" width="25.140625" style="213" customWidth="1"/>
    <col min="7443" max="7443" width="8" style="213"/>
    <col min="7444" max="7444" width="19.42578125" style="213" customWidth="1"/>
    <col min="7445" max="7445" width="13" style="213" customWidth="1"/>
    <col min="7446" max="7680" width="8" style="213"/>
    <col min="7681" max="7681" width="4" style="213" customWidth="1"/>
    <col min="7682" max="7682" width="18.5703125" style="213" customWidth="1"/>
    <col min="7683" max="7683" width="16.7109375" style="213" customWidth="1"/>
    <col min="7684" max="7684" width="16.28515625" style="213" customWidth="1"/>
    <col min="7685" max="7685" width="19.28515625" style="213" customWidth="1"/>
    <col min="7686" max="7686" width="10.28515625" style="213" customWidth="1"/>
    <col min="7687" max="7687" width="8" style="213" customWidth="1"/>
    <col min="7688" max="7688" width="14.5703125" style="213" customWidth="1"/>
    <col min="7689" max="7690" width="8" style="213"/>
    <col min="7691" max="7691" width="16.42578125" style="213" customWidth="1"/>
    <col min="7692" max="7692" width="14" style="213" customWidth="1"/>
    <col min="7693" max="7693" width="8" style="213"/>
    <col min="7694" max="7694" width="17.42578125" style="213" customWidth="1"/>
    <col min="7695" max="7697" width="8" style="213"/>
    <col min="7698" max="7698" width="25.140625" style="213" customWidth="1"/>
    <col min="7699" max="7699" width="8" style="213"/>
    <col min="7700" max="7700" width="19.42578125" style="213" customWidth="1"/>
    <col min="7701" max="7701" width="13" style="213" customWidth="1"/>
    <col min="7702" max="7936" width="8" style="213"/>
    <col min="7937" max="7937" width="4" style="213" customWidth="1"/>
    <col min="7938" max="7938" width="18.5703125" style="213" customWidth="1"/>
    <col min="7939" max="7939" width="16.7109375" style="213" customWidth="1"/>
    <col min="7940" max="7940" width="16.28515625" style="213" customWidth="1"/>
    <col min="7941" max="7941" width="19.28515625" style="213" customWidth="1"/>
    <col min="7942" max="7942" width="10.28515625" style="213" customWidth="1"/>
    <col min="7943" max="7943" width="8" style="213" customWidth="1"/>
    <col min="7944" max="7944" width="14.5703125" style="213" customWidth="1"/>
    <col min="7945" max="7946" width="8" style="213"/>
    <col min="7947" max="7947" width="16.42578125" style="213" customWidth="1"/>
    <col min="7948" max="7948" width="14" style="213" customWidth="1"/>
    <col min="7949" max="7949" width="8" style="213"/>
    <col min="7950" max="7950" width="17.42578125" style="213" customWidth="1"/>
    <col min="7951" max="7953" width="8" style="213"/>
    <col min="7954" max="7954" width="25.140625" style="213" customWidth="1"/>
    <col min="7955" max="7955" width="8" style="213"/>
    <col min="7956" max="7956" width="19.42578125" style="213" customWidth="1"/>
    <col min="7957" max="7957" width="13" style="213" customWidth="1"/>
    <col min="7958" max="8192" width="8" style="213"/>
    <col min="8193" max="8193" width="4" style="213" customWidth="1"/>
    <col min="8194" max="8194" width="18.5703125" style="213" customWidth="1"/>
    <col min="8195" max="8195" width="16.7109375" style="213" customWidth="1"/>
    <col min="8196" max="8196" width="16.28515625" style="213" customWidth="1"/>
    <col min="8197" max="8197" width="19.28515625" style="213" customWidth="1"/>
    <col min="8198" max="8198" width="10.28515625" style="213" customWidth="1"/>
    <col min="8199" max="8199" width="8" style="213" customWidth="1"/>
    <col min="8200" max="8200" width="14.5703125" style="213" customWidth="1"/>
    <col min="8201" max="8202" width="8" style="213"/>
    <col min="8203" max="8203" width="16.42578125" style="213" customWidth="1"/>
    <col min="8204" max="8204" width="14" style="213" customWidth="1"/>
    <col min="8205" max="8205" width="8" style="213"/>
    <col min="8206" max="8206" width="17.42578125" style="213" customWidth="1"/>
    <col min="8207" max="8209" width="8" style="213"/>
    <col min="8210" max="8210" width="25.140625" style="213" customWidth="1"/>
    <col min="8211" max="8211" width="8" style="213"/>
    <col min="8212" max="8212" width="19.42578125" style="213" customWidth="1"/>
    <col min="8213" max="8213" width="13" style="213" customWidth="1"/>
    <col min="8214" max="8448" width="8" style="213"/>
    <col min="8449" max="8449" width="4" style="213" customWidth="1"/>
    <col min="8450" max="8450" width="18.5703125" style="213" customWidth="1"/>
    <col min="8451" max="8451" width="16.7109375" style="213" customWidth="1"/>
    <col min="8452" max="8452" width="16.28515625" style="213" customWidth="1"/>
    <col min="8453" max="8453" width="19.28515625" style="213" customWidth="1"/>
    <col min="8454" max="8454" width="10.28515625" style="213" customWidth="1"/>
    <col min="8455" max="8455" width="8" style="213" customWidth="1"/>
    <col min="8456" max="8456" width="14.5703125" style="213" customWidth="1"/>
    <col min="8457" max="8458" width="8" style="213"/>
    <col min="8459" max="8459" width="16.42578125" style="213" customWidth="1"/>
    <col min="8460" max="8460" width="14" style="213" customWidth="1"/>
    <col min="8461" max="8461" width="8" style="213"/>
    <col min="8462" max="8462" width="17.42578125" style="213" customWidth="1"/>
    <col min="8463" max="8465" width="8" style="213"/>
    <col min="8466" max="8466" width="25.140625" style="213" customWidth="1"/>
    <col min="8467" max="8467" width="8" style="213"/>
    <col min="8468" max="8468" width="19.42578125" style="213" customWidth="1"/>
    <col min="8469" max="8469" width="13" style="213" customWidth="1"/>
    <col min="8470" max="8704" width="8" style="213"/>
    <col min="8705" max="8705" width="4" style="213" customWidth="1"/>
    <col min="8706" max="8706" width="18.5703125" style="213" customWidth="1"/>
    <col min="8707" max="8707" width="16.7109375" style="213" customWidth="1"/>
    <col min="8708" max="8708" width="16.28515625" style="213" customWidth="1"/>
    <col min="8709" max="8709" width="19.28515625" style="213" customWidth="1"/>
    <col min="8710" max="8710" width="10.28515625" style="213" customWidth="1"/>
    <col min="8711" max="8711" width="8" style="213" customWidth="1"/>
    <col min="8712" max="8712" width="14.5703125" style="213" customWidth="1"/>
    <col min="8713" max="8714" width="8" style="213"/>
    <col min="8715" max="8715" width="16.42578125" style="213" customWidth="1"/>
    <col min="8716" max="8716" width="14" style="213" customWidth="1"/>
    <col min="8717" max="8717" width="8" style="213"/>
    <col min="8718" max="8718" width="17.42578125" style="213" customWidth="1"/>
    <col min="8719" max="8721" width="8" style="213"/>
    <col min="8722" max="8722" width="25.140625" style="213" customWidth="1"/>
    <col min="8723" max="8723" width="8" style="213"/>
    <col min="8724" max="8724" width="19.42578125" style="213" customWidth="1"/>
    <col min="8725" max="8725" width="13" style="213" customWidth="1"/>
    <col min="8726" max="8960" width="8" style="213"/>
    <col min="8961" max="8961" width="4" style="213" customWidth="1"/>
    <col min="8962" max="8962" width="18.5703125" style="213" customWidth="1"/>
    <col min="8963" max="8963" width="16.7109375" style="213" customWidth="1"/>
    <col min="8964" max="8964" width="16.28515625" style="213" customWidth="1"/>
    <col min="8965" max="8965" width="19.28515625" style="213" customWidth="1"/>
    <col min="8966" max="8966" width="10.28515625" style="213" customWidth="1"/>
    <col min="8967" max="8967" width="8" style="213" customWidth="1"/>
    <col min="8968" max="8968" width="14.5703125" style="213" customWidth="1"/>
    <col min="8969" max="8970" width="8" style="213"/>
    <col min="8971" max="8971" width="16.42578125" style="213" customWidth="1"/>
    <col min="8972" max="8972" width="14" style="213" customWidth="1"/>
    <col min="8973" max="8973" width="8" style="213"/>
    <col min="8974" max="8974" width="17.42578125" style="213" customWidth="1"/>
    <col min="8975" max="8977" width="8" style="213"/>
    <col min="8978" max="8978" width="25.140625" style="213" customWidth="1"/>
    <col min="8979" max="8979" width="8" style="213"/>
    <col min="8980" max="8980" width="19.42578125" style="213" customWidth="1"/>
    <col min="8981" max="8981" width="13" style="213" customWidth="1"/>
    <col min="8982" max="9216" width="8" style="213"/>
    <col min="9217" max="9217" width="4" style="213" customWidth="1"/>
    <col min="9218" max="9218" width="18.5703125" style="213" customWidth="1"/>
    <col min="9219" max="9219" width="16.7109375" style="213" customWidth="1"/>
    <col min="9220" max="9220" width="16.28515625" style="213" customWidth="1"/>
    <col min="9221" max="9221" width="19.28515625" style="213" customWidth="1"/>
    <col min="9222" max="9222" width="10.28515625" style="213" customWidth="1"/>
    <col min="9223" max="9223" width="8" style="213" customWidth="1"/>
    <col min="9224" max="9224" width="14.5703125" style="213" customWidth="1"/>
    <col min="9225" max="9226" width="8" style="213"/>
    <col min="9227" max="9227" width="16.42578125" style="213" customWidth="1"/>
    <col min="9228" max="9228" width="14" style="213" customWidth="1"/>
    <col min="9229" max="9229" width="8" style="213"/>
    <col min="9230" max="9230" width="17.42578125" style="213" customWidth="1"/>
    <col min="9231" max="9233" width="8" style="213"/>
    <col min="9234" max="9234" width="25.140625" style="213" customWidth="1"/>
    <col min="9235" max="9235" width="8" style="213"/>
    <col min="9236" max="9236" width="19.42578125" style="213" customWidth="1"/>
    <col min="9237" max="9237" width="13" style="213" customWidth="1"/>
    <col min="9238" max="9472" width="8" style="213"/>
    <col min="9473" max="9473" width="4" style="213" customWidth="1"/>
    <col min="9474" max="9474" width="18.5703125" style="213" customWidth="1"/>
    <col min="9475" max="9475" width="16.7109375" style="213" customWidth="1"/>
    <col min="9476" max="9476" width="16.28515625" style="213" customWidth="1"/>
    <col min="9477" max="9477" width="19.28515625" style="213" customWidth="1"/>
    <col min="9478" max="9478" width="10.28515625" style="213" customWidth="1"/>
    <col min="9479" max="9479" width="8" style="213" customWidth="1"/>
    <col min="9480" max="9480" width="14.5703125" style="213" customWidth="1"/>
    <col min="9481" max="9482" width="8" style="213"/>
    <col min="9483" max="9483" width="16.42578125" style="213" customWidth="1"/>
    <col min="9484" max="9484" width="14" style="213" customWidth="1"/>
    <col min="9485" max="9485" width="8" style="213"/>
    <col min="9486" max="9486" width="17.42578125" style="213" customWidth="1"/>
    <col min="9487" max="9489" width="8" style="213"/>
    <col min="9490" max="9490" width="25.140625" style="213" customWidth="1"/>
    <col min="9491" max="9491" width="8" style="213"/>
    <col min="9492" max="9492" width="19.42578125" style="213" customWidth="1"/>
    <col min="9493" max="9493" width="13" style="213" customWidth="1"/>
    <col min="9494" max="9728" width="8" style="213"/>
    <col min="9729" max="9729" width="4" style="213" customWidth="1"/>
    <col min="9730" max="9730" width="18.5703125" style="213" customWidth="1"/>
    <col min="9731" max="9731" width="16.7109375" style="213" customWidth="1"/>
    <col min="9732" max="9732" width="16.28515625" style="213" customWidth="1"/>
    <col min="9733" max="9733" width="19.28515625" style="213" customWidth="1"/>
    <col min="9734" max="9734" width="10.28515625" style="213" customWidth="1"/>
    <col min="9735" max="9735" width="8" style="213" customWidth="1"/>
    <col min="9736" max="9736" width="14.5703125" style="213" customWidth="1"/>
    <col min="9737" max="9738" width="8" style="213"/>
    <col min="9739" max="9739" width="16.42578125" style="213" customWidth="1"/>
    <col min="9740" max="9740" width="14" style="213" customWidth="1"/>
    <col min="9741" max="9741" width="8" style="213"/>
    <col min="9742" max="9742" width="17.42578125" style="213" customWidth="1"/>
    <col min="9743" max="9745" width="8" style="213"/>
    <col min="9746" max="9746" width="25.140625" style="213" customWidth="1"/>
    <col min="9747" max="9747" width="8" style="213"/>
    <col min="9748" max="9748" width="19.42578125" style="213" customWidth="1"/>
    <col min="9749" max="9749" width="13" style="213" customWidth="1"/>
    <col min="9750" max="9984" width="8" style="213"/>
    <col min="9985" max="9985" width="4" style="213" customWidth="1"/>
    <col min="9986" max="9986" width="18.5703125" style="213" customWidth="1"/>
    <col min="9987" max="9987" width="16.7109375" style="213" customWidth="1"/>
    <col min="9988" max="9988" width="16.28515625" style="213" customWidth="1"/>
    <col min="9989" max="9989" width="19.28515625" style="213" customWidth="1"/>
    <col min="9990" max="9990" width="10.28515625" style="213" customWidth="1"/>
    <col min="9991" max="9991" width="8" style="213" customWidth="1"/>
    <col min="9992" max="9992" width="14.5703125" style="213" customWidth="1"/>
    <col min="9993" max="9994" width="8" style="213"/>
    <col min="9995" max="9995" width="16.42578125" style="213" customWidth="1"/>
    <col min="9996" max="9996" width="14" style="213" customWidth="1"/>
    <col min="9997" max="9997" width="8" style="213"/>
    <col min="9998" max="9998" width="17.42578125" style="213" customWidth="1"/>
    <col min="9999" max="10001" width="8" style="213"/>
    <col min="10002" max="10002" width="25.140625" style="213" customWidth="1"/>
    <col min="10003" max="10003" width="8" style="213"/>
    <col min="10004" max="10004" width="19.42578125" style="213" customWidth="1"/>
    <col min="10005" max="10005" width="13" style="213" customWidth="1"/>
    <col min="10006" max="10240" width="8" style="213"/>
    <col min="10241" max="10241" width="4" style="213" customWidth="1"/>
    <col min="10242" max="10242" width="18.5703125" style="213" customWidth="1"/>
    <col min="10243" max="10243" width="16.7109375" style="213" customWidth="1"/>
    <col min="10244" max="10244" width="16.28515625" style="213" customWidth="1"/>
    <col min="10245" max="10245" width="19.28515625" style="213" customWidth="1"/>
    <col min="10246" max="10246" width="10.28515625" style="213" customWidth="1"/>
    <col min="10247" max="10247" width="8" style="213" customWidth="1"/>
    <col min="10248" max="10248" width="14.5703125" style="213" customWidth="1"/>
    <col min="10249" max="10250" width="8" style="213"/>
    <col min="10251" max="10251" width="16.42578125" style="213" customWidth="1"/>
    <col min="10252" max="10252" width="14" style="213" customWidth="1"/>
    <col min="10253" max="10253" width="8" style="213"/>
    <col min="10254" max="10254" width="17.42578125" style="213" customWidth="1"/>
    <col min="10255" max="10257" width="8" style="213"/>
    <col min="10258" max="10258" width="25.140625" style="213" customWidth="1"/>
    <col min="10259" max="10259" width="8" style="213"/>
    <col min="10260" max="10260" width="19.42578125" style="213" customWidth="1"/>
    <col min="10261" max="10261" width="13" style="213" customWidth="1"/>
    <col min="10262" max="10496" width="8" style="213"/>
    <col min="10497" max="10497" width="4" style="213" customWidth="1"/>
    <col min="10498" max="10498" width="18.5703125" style="213" customWidth="1"/>
    <col min="10499" max="10499" width="16.7109375" style="213" customWidth="1"/>
    <col min="10500" max="10500" width="16.28515625" style="213" customWidth="1"/>
    <col min="10501" max="10501" width="19.28515625" style="213" customWidth="1"/>
    <col min="10502" max="10502" width="10.28515625" style="213" customWidth="1"/>
    <col min="10503" max="10503" width="8" style="213" customWidth="1"/>
    <col min="10504" max="10504" width="14.5703125" style="213" customWidth="1"/>
    <col min="10505" max="10506" width="8" style="213"/>
    <col min="10507" max="10507" width="16.42578125" style="213" customWidth="1"/>
    <col min="10508" max="10508" width="14" style="213" customWidth="1"/>
    <col min="10509" max="10509" width="8" style="213"/>
    <col min="10510" max="10510" width="17.42578125" style="213" customWidth="1"/>
    <col min="10511" max="10513" width="8" style="213"/>
    <col min="10514" max="10514" width="25.140625" style="213" customWidth="1"/>
    <col min="10515" max="10515" width="8" style="213"/>
    <col min="10516" max="10516" width="19.42578125" style="213" customWidth="1"/>
    <col min="10517" max="10517" width="13" style="213" customWidth="1"/>
    <col min="10518" max="10752" width="8" style="213"/>
    <col min="10753" max="10753" width="4" style="213" customWidth="1"/>
    <col min="10754" max="10754" width="18.5703125" style="213" customWidth="1"/>
    <col min="10755" max="10755" width="16.7109375" style="213" customWidth="1"/>
    <col min="10756" max="10756" width="16.28515625" style="213" customWidth="1"/>
    <col min="10757" max="10757" width="19.28515625" style="213" customWidth="1"/>
    <col min="10758" max="10758" width="10.28515625" style="213" customWidth="1"/>
    <col min="10759" max="10759" width="8" style="213" customWidth="1"/>
    <col min="10760" max="10760" width="14.5703125" style="213" customWidth="1"/>
    <col min="10761" max="10762" width="8" style="213"/>
    <col min="10763" max="10763" width="16.42578125" style="213" customWidth="1"/>
    <col min="10764" max="10764" width="14" style="213" customWidth="1"/>
    <col min="10765" max="10765" width="8" style="213"/>
    <col min="10766" max="10766" width="17.42578125" style="213" customWidth="1"/>
    <col min="10767" max="10769" width="8" style="213"/>
    <col min="10770" max="10770" width="25.140625" style="213" customWidth="1"/>
    <col min="10771" max="10771" width="8" style="213"/>
    <col min="10772" max="10772" width="19.42578125" style="213" customWidth="1"/>
    <col min="10773" max="10773" width="13" style="213" customWidth="1"/>
    <col min="10774" max="11008" width="8" style="213"/>
    <col min="11009" max="11009" width="4" style="213" customWidth="1"/>
    <col min="11010" max="11010" width="18.5703125" style="213" customWidth="1"/>
    <col min="11011" max="11011" width="16.7109375" style="213" customWidth="1"/>
    <col min="11012" max="11012" width="16.28515625" style="213" customWidth="1"/>
    <col min="11013" max="11013" width="19.28515625" style="213" customWidth="1"/>
    <col min="11014" max="11014" width="10.28515625" style="213" customWidth="1"/>
    <col min="11015" max="11015" width="8" style="213" customWidth="1"/>
    <col min="11016" max="11016" width="14.5703125" style="213" customWidth="1"/>
    <col min="11017" max="11018" width="8" style="213"/>
    <col min="11019" max="11019" width="16.42578125" style="213" customWidth="1"/>
    <col min="11020" max="11020" width="14" style="213" customWidth="1"/>
    <col min="11021" max="11021" width="8" style="213"/>
    <col min="11022" max="11022" width="17.42578125" style="213" customWidth="1"/>
    <col min="11023" max="11025" width="8" style="213"/>
    <col min="11026" max="11026" width="25.140625" style="213" customWidth="1"/>
    <col min="11027" max="11027" width="8" style="213"/>
    <col min="11028" max="11028" width="19.42578125" style="213" customWidth="1"/>
    <col min="11029" max="11029" width="13" style="213" customWidth="1"/>
    <col min="11030" max="11264" width="8" style="213"/>
    <col min="11265" max="11265" width="4" style="213" customWidth="1"/>
    <col min="11266" max="11266" width="18.5703125" style="213" customWidth="1"/>
    <col min="11267" max="11267" width="16.7109375" style="213" customWidth="1"/>
    <col min="11268" max="11268" width="16.28515625" style="213" customWidth="1"/>
    <col min="11269" max="11269" width="19.28515625" style="213" customWidth="1"/>
    <col min="11270" max="11270" width="10.28515625" style="213" customWidth="1"/>
    <col min="11271" max="11271" width="8" style="213" customWidth="1"/>
    <col min="11272" max="11272" width="14.5703125" style="213" customWidth="1"/>
    <col min="11273" max="11274" width="8" style="213"/>
    <col min="11275" max="11275" width="16.42578125" style="213" customWidth="1"/>
    <col min="11276" max="11276" width="14" style="213" customWidth="1"/>
    <col min="11277" max="11277" width="8" style="213"/>
    <col min="11278" max="11278" width="17.42578125" style="213" customWidth="1"/>
    <col min="11279" max="11281" width="8" style="213"/>
    <col min="11282" max="11282" width="25.140625" style="213" customWidth="1"/>
    <col min="11283" max="11283" width="8" style="213"/>
    <col min="11284" max="11284" width="19.42578125" style="213" customWidth="1"/>
    <col min="11285" max="11285" width="13" style="213" customWidth="1"/>
    <col min="11286" max="11520" width="8" style="213"/>
    <col min="11521" max="11521" width="4" style="213" customWidth="1"/>
    <col min="11522" max="11522" width="18.5703125" style="213" customWidth="1"/>
    <col min="11523" max="11523" width="16.7109375" style="213" customWidth="1"/>
    <col min="11524" max="11524" width="16.28515625" style="213" customWidth="1"/>
    <col min="11525" max="11525" width="19.28515625" style="213" customWidth="1"/>
    <col min="11526" max="11526" width="10.28515625" style="213" customWidth="1"/>
    <col min="11527" max="11527" width="8" style="213" customWidth="1"/>
    <col min="11528" max="11528" width="14.5703125" style="213" customWidth="1"/>
    <col min="11529" max="11530" width="8" style="213"/>
    <col min="11531" max="11531" width="16.42578125" style="213" customWidth="1"/>
    <col min="11532" max="11532" width="14" style="213" customWidth="1"/>
    <col min="11533" max="11533" width="8" style="213"/>
    <col min="11534" max="11534" width="17.42578125" style="213" customWidth="1"/>
    <col min="11535" max="11537" width="8" style="213"/>
    <col min="11538" max="11538" width="25.140625" style="213" customWidth="1"/>
    <col min="11539" max="11539" width="8" style="213"/>
    <col min="11540" max="11540" width="19.42578125" style="213" customWidth="1"/>
    <col min="11541" max="11541" width="13" style="213" customWidth="1"/>
    <col min="11542" max="11776" width="8" style="213"/>
    <col min="11777" max="11777" width="4" style="213" customWidth="1"/>
    <col min="11778" max="11778" width="18.5703125" style="213" customWidth="1"/>
    <col min="11779" max="11779" width="16.7109375" style="213" customWidth="1"/>
    <col min="11780" max="11780" width="16.28515625" style="213" customWidth="1"/>
    <col min="11781" max="11781" width="19.28515625" style="213" customWidth="1"/>
    <col min="11782" max="11782" width="10.28515625" style="213" customWidth="1"/>
    <col min="11783" max="11783" width="8" style="213" customWidth="1"/>
    <col min="11784" max="11784" width="14.5703125" style="213" customWidth="1"/>
    <col min="11785" max="11786" width="8" style="213"/>
    <col min="11787" max="11787" width="16.42578125" style="213" customWidth="1"/>
    <col min="11788" max="11788" width="14" style="213" customWidth="1"/>
    <col min="11789" max="11789" width="8" style="213"/>
    <col min="11790" max="11790" width="17.42578125" style="213" customWidth="1"/>
    <col min="11791" max="11793" width="8" style="213"/>
    <col min="11794" max="11794" width="25.140625" style="213" customWidth="1"/>
    <col min="11795" max="11795" width="8" style="213"/>
    <col min="11796" max="11796" width="19.42578125" style="213" customWidth="1"/>
    <col min="11797" max="11797" width="13" style="213" customWidth="1"/>
    <col min="11798" max="12032" width="8" style="213"/>
    <col min="12033" max="12033" width="4" style="213" customWidth="1"/>
    <col min="12034" max="12034" width="18.5703125" style="213" customWidth="1"/>
    <col min="12035" max="12035" width="16.7109375" style="213" customWidth="1"/>
    <col min="12036" max="12036" width="16.28515625" style="213" customWidth="1"/>
    <col min="12037" max="12037" width="19.28515625" style="213" customWidth="1"/>
    <col min="12038" max="12038" width="10.28515625" style="213" customWidth="1"/>
    <col min="12039" max="12039" width="8" style="213" customWidth="1"/>
    <col min="12040" max="12040" width="14.5703125" style="213" customWidth="1"/>
    <col min="12041" max="12042" width="8" style="213"/>
    <col min="12043" max="12043" width="16.42578125" style="213" customWidth="1"/>
    <col min="12044" max="12044" width="14" style="213" customWidth="1"/>
    <col min="12045" max="12045" width="8" style="213"/>
    <col min="12046" max="12046" width="17.42578125" style="213" customWidth="1"/>
    <col min="12047" max="12049" width="8" style="213"/>
    <col min="12050" max="12050" width="25.140625" style="213" customWidth="1"/>
    <col min="12051" max="12051" width="8" style="213"/>
    <col min="12052" max="12052" width="19.42578125" style="213" customWidth="1"/>
    <col min="12053" max="12053" width="13" style="213" customWidth="1"/>
    <col min="12054" max="12288" width="8" style="213"/>
    <col min="12289" max="12289" width="4" style="213" customWidth="1"/>
    <col min="12290" max="12290" width="18.5703125" style="213" customWidth="1"/>
    <col min="12291" max="12291" width="16.7109375" style="213" customWidth="1"/>
    <col min="12292" max="12292" width="16.28515625" style="213" customWidth="1"/>
    <col min="12293" max="12293" width="19.28515625" style="213" customWidth="1"/>
    <col min="12294" max="12294" width="10.28515625" style="213" customWidth="1"/>
    <col min="12295" max="12295" width="8" style="213" customWidth="1"/>
    <col min="12296" max="12296" width="14.5703125" style="213" customWidth="1"/>
    <col min="12297" max="12298" width="8" style="213"/>
    <col min="12299" max="12299" width="16.42578125" style="213" customWidth="1"/>
    <col min="12300" max="12300" width="14" style="213" customWidth="1"/>
    <col min="12301" max="12301" width="8" style="213"/>
    <col min="12302" max="12302" width="17.42578125" style="213" customWidth="1"/>
    <col min="12303" max="12305" width="8" style="213"/>
    <col min="12306" max="12306" width="25.140625" style="213" customWidth="1"/>
    <col min="12307" max="12307" width="8" style="213"/>
    <col min="12308" max="12308" width="19.42578125" style="213" customWidth="1"/>
    <col min="12309" max="12309" width="13" style="213" customWidth="1"/>
    <col min="12310" max="12544" width="8" style="213"/>
    <col min="12545" max="12545" width="4" style="213" customWidth="1"/>
    <col min="12546" max="12546" width="18.5703125" style="213" customWidth="1"/>
    <col min="12547" max="12547" width="16.7109375" style="213" customWidth="1"/>
    <col min="12548" max="12548" width="16.28515625" style="213" customWidth="1"/>
    <col min="12549" max="12549" width="19.28515625" style="213" customWidth="1"/>
    <col min="12550" max="12550" width="10.28515625" style="213" customWidth="1"/>
    <col min="12551" max="12551" width="8" style="213" customWidth="1"/>
    <col min="12552" max="12552" width="14.5703125" style="213" customWidth="1"/>
    <col min="12553" max="12554" width="8" style="213"/>
    <col min="12555" max="12555" width="16.42578125" style="213" customWidth="1"/>
    <col min="12556" max="12556" width="14" style="213" customWidth="1"/>
    <col min="12557" max="12557" width="8" style="213"/>
    <col min="12558" max="12558" width="17.42578125" style="213" customWidth="1"/>
    <col min="12559" max="12561" width="8" style="213"/>
    <col min="12562" max="12562" width="25.140625" style="213" customWidth="1"/>
    <col min="12563" max="12563" width="8" style="213"/>
    <col min="12564" max="12564" width="19.42578125" style="213" customWidth="1"/>
    <col min="12565" max="12565" width="13" style="213" customWidth="1"/>
    <col min="12566" max="12800" width="8" style="213"/>
    <col min="12801" max="12801" width="4" style="213" customWidth="1"/>
    <col min="12802" max="12802" width="18.5703125" style="213" customWidth="1"/>
    <col min="12803" max="12803" width="16.7109375" style="213" customWidth="1"/>
    <col min="12804" max="12804" width="16.28515625" style="213" customWidth="1"/>
    <col min="12805" max="12805" width="19.28515625" style="213" customWidth="1"/>
    <col min="12806" max="12806" width="10.28515625" style="213" customWidth="1"/>
    <col min="12807" max="12807" width="8" style="213" customWidth="1"/>
    <col min="12808" max="12808" width="14.5703125" style="213" customWidth="1"/>
    <col min="12809" max="12810" width="8" style="213"/>
    <col min="12811" max="12811" width="16.42578125" style="213" customWidth="1"/>
    <col min="12812" max="12812" width="14" style="213" customWidth="1"/>
    <col min="12813" max="12813" width="8" style="213"/>
    <col min="12814" max="12814" width="17.42578125" style="213" customWidth="1"/>
    <col min="12815" max="12817" width="8" style="213"/>
    <col min="12818" max="12818" width="25.140625" style="213" customWidth="1"/>
    <col min="12819" max="12819" width="8" style="213"/>
    <col min="12820" max="12820" width="19.42578125" style="213" customWidth="1"/>
    <col min="12821" max="12821" width="13" style="213" customWidth="1"/>
    <col min="12822" max="13056" width="8" style="213"/>
    <col min="13057" max="13057" width="4" style="213" customWidth="1"/>
    <col min="13058" max="13058" width="18.5703125" style="213" customWidth="1"/>
    <col min="13059" max="13059" width="16.7109375" style="213" customWidth="1"/>
    <col min="13060" max="13060" width="16.28515625" style="213" customWidth="1"/>
    <col min="13061" max="13061" width="19.28515625" style="213" customWidth="1"/>
    <col min="13062" max="13062" width="10.28515625" style="213" customWidth="1"/>
    <col min="13063" max="13063" width="8" style="213" customWidth="1"/>
    <col min="13064" max="13064" width="14.5703125" style="213" customWidth="1"/>
    <col min="13065" max="13066" width="8" style="213"/>
    <col min="13067" max="13067" width="16.42578125" style="213" customWidth="1"/>
    <col min="13068" max="13068" width="14" style="213" customWidth="1"/>
    <col min="13069" max="13069" width="8" style="213"/>
    <col min="13070" max="13070" width="17.42578125" style="213" customWidth="1"/>
    <col min="13071" max="13073" width="8" style="213"/>
    <col min="13074" max="13074" width="25.140625" style="213" customWidth="1"/>
    <col min="13075" max="13075" width="8" style="213"/>
    <col min="13076" max="13076" width="19.42578125" style="213" customWidth="1"/>
    <col min="13077" max="13077" width="13" style="213" customWidth="1"/>
    <col min="13078" max="13312" width="8" style="213"/>
    <col min="13313" max="13313" width="4" style="213" customWidth="1"/>
    <col min="13314" max="13314" width="18.5703125" style="213" customWidth="1"/>
    <col min="13315" max="13315" width="16.7109375" style="213" customWidth="1"/>
    <col min="13316" max="13316" width="16.28515625" style="213" customWidth="1"/>
    <col min="13317" max="13317" width="19.28515625" style="213" customWidth="1"/>
    <col min="13318" max="13318" width="10.28515625" style="213" customWidth="1"/>
    <col min="13319" max="13319" width="8" style="213" customWidth="1"/>
    <col min="13320" max="13320" width="14.5703125" style="213" customWidth="1"/>
    <col min="13321" max="13322" width="8" style="213"/>
    <col min="13323" max="13323" width="16.42578125" style="213" customWidth="1"/>
    <col min="13324" max="13324" width="14" style="213" customWidth="1"/>
    <col min="13325" max="13325" width="8" style="213"/>
    <col min="13326" max="13326" width="17.42578125" style="213" customWidth="1"/>
    <col min="13327" max="13329" width="8" style="213"/>
    <col min="13330" max="13330" width="25.140625" style="213" customWidth="1"/>
    <col min="13331" max="13331" width="8" style="213"/>
    <col min="13332" max="13332" width="19.42578125" style="213" customWidth="1"/>
    <col min="13333" max="13333" width="13" style="213" customWidth="1"/>
    <col min="13334" max="13568" width="8" style="213"/>
    <col min="13569" max="13569" width="4" style="213" customWidth="1"/>
    <col min="13570" max="13570" width="18.5703125" style="213" customWidth="1"/>
    <col min="13571" max="13571" width="16.7109375" style="213" customWidth="1"/>
    <col min="13572" max="13572" width="16.28515625" style="213" customWidth="1"/>
    <col min="13573" max="13573" width="19.28515625" style="213" customWidth="1"/>
    <col min="13574" max="13574" width="10.28515625" style="213" customWidth="1"/>
    <col min="13575" max="13575" width="8" style="213" customWidth="1"/>
    <col min="13576" max="13576" width="14.5703125" style="213" customWidth="1"/>
    <col min="13577" max="13578" width="8" style="213"/>
    <col min="13579" max="13579" width="16.42578125" style="213" customWidth="1"/>
    <col min="13580" max="13580" width="14" style="213" customWidth="1"/>
    <col min="13581" max="13581" width="8" style="213"/>
    <col min="13582" max="13582" width="17.42578125" style="213" customWidth="1"/>
    <col min="13583" max="13585" width="8" style="213"/>
    <col min="13586" max="13586" width="25.140625" style="213" customWidth="1"/>
    <col min="13587" max="13587" width="8" style="213"/>
    <col min="13588" max="13588" width="19.42578125" style="213" customWidth="1"/>
    <col min="13589" max="13589" width="13" style="213" customWidth="1"/>
    <col min="13590" max="13824" width="8" style="213"/>
    <col min="13825" max="13825" width="4" style="213" customWidth="1"/>
    <col min="13826" max="13826" width="18.5703125" style="213" customWidth="1"/>
    <col min="13827" max="13827" width="16.7109375" style="213" customWidth="1"/>
    <col min="13828" max="13828" width="16.28515625" style="213" customWidth="1"/>
    <col min="13829" max="13829" width="19.28515625" style="213" customWidth="1"/>
    <col min="13830" max="13830" width="10.28515625" style="213" customWidth="1"/>
    <col min="13831" max="13831" width="8" style="213" customWidth="1"/>
    <col min="13832" max="13832" width="14.5703125" style="213" customWidth="1"/>
    <col min="13833" max="13834" width="8" style="213"/>
    <col min="13835" max="13835" width="16.42578125" style="213" customWidth="1"/>
    <col min="13836" max="13836" width="14" style="213" customWidth="1"/>
    <col min="13837" max="13837" width="8" style="213"/>
    <col min="13838" max="13838" width="17.42578125" style="213" customWidth="1"/>
    <col min="13839" max="13841" width="8" style="213"/>
    <col min="13842" max="13842" width="25.140625" style="213" customWidth="1"/>
    <col min="13843" max="13843" width="8" style="213"/>
    <col min="13844" max="13844" width="19.42578125" style="213" customWidth="1"/>
    <col min="13845" max="13845" width="13" style="213" customWidth="1"/>
    <col min="13846" max="14080" width="8" style="213"/>
    <col min="14081" max="14081" width="4" style="213" customWidth="1"/>
    <col min="14082" max="14082" width="18.5703125" style="213" customWidth="1"/>
    <col min="14083" max="14083" width="16.7109375" style="213" customWidth="1"/>
    <col min="14084" max="14084" width="16.28515625" style="213" customWidth="1"/>
    <col min="14085" max="14085" width="19.28515625" style="213" customWidth="1"/>
    <col min="14086" max="14086" width="10.28515625" style="213" customWidth="1"/>
    <col min="14087" max="14087" width="8" style="213" customWidth="1"/>
    <col min="14088" max="14088" width="14.5703125" style="213" customWidth="1"/>
    <col min="14089" max="14090" width="8" style="213"/>
    <col min="14091" max="14091" width="16.42578125" style="213" customWidth="1"/>
    <col min="14092" max="14092" width="14" style="213" customWidth="1"/>
    <col min="14093" max="14093" width="8" style="213"/>
    <col min="14094" max="14094" width="17.42578125" style="213" customWidth="1"/>
    <col min="14095" max="14097" width="8" style="213"/>
    <col min="14098" max="14098" width="25.140625" style="213" customWidth="1"/>
    <col min="14099" max="14099" width="8" style="213"/>
    <col min="14100" max="14100" width="19.42578125" style="213" customWidth="1"/>
    <col min="14101" max="14101" width="13" style="213" customWidth="1"/>
    <col min="14102" max="14336" width="8" style="213"/>
    <col min="14337" max="14337" width="4" style="213" customWidth="1"/>
    <col min="14338" max="14338" width="18.5703125" style="213" customWidth="1"/>
    <col min="14339" max="14339" width="16.7109375" style="213" customWidth="1"/>
    <col min="14340" max="14340" width="16.28515625" style="213" customWidth="1"/>
    <col min="14341" max="14341" width="19.28515625" style="213" customWidth="1"/>
    <col min="14342" max="14342" width="10.28515625" style="213" customWidth="1"/>
    <col min="14343" max="14343" width="8" style="213" customWidth="1"/>
    <col min="14344" max="14344" width="14.5703125" style="213" customWidth="1"/>
    <col min="14345" max="14346" width="8" style="213"/>
    <col min="14347" max="14347" width="16.42578125" style="213" customWidth="1"/>
    <col min="14348" max="14348" width="14" style="213" customWidth="1"/>
    <col min="14349" max="14349" width="8" style="213"/>
    <col min="14350" max="14350" width="17.42578125" style="213" customWidth="1"/>
    <col min="14351" max="14353" width="8" style="213"/>
    <col min="14354" max="14354" width="25.140625" style="213" customWidth="1"/>
    <col min="14355" max="14355" width="8" style="213"/>
    <col min="14356" max="14356" width="19.42578125" style="213" customWidth="1"/>
    <col min="14357" max="14357" width="13" style="213" customWidth="1"/>
    <col min="14358" max="14592" width="8" style="213"/>
    <col min="14593" max="14593" width="4" style="213" customWidth="1"/>
    <col min="14594" max="14594" width="18.5703125" style="213" customWidth="1"/>
    <col min="14595" max="14595" width="16.7109375" style="213" customWidth="1"/>
    <col min="14596" max="14596" width="16.28515625" style="213" customWidth="1"/>
    <col min="14597" max="14597" width="19.28515625" style="213" customWidth="1"/>
    <col min="14598" max="14598" width="10.28515625" style="213" customWidth="1"/>
    <col min="14599" max="14599" width="8" style="213" customWidth="1"/>
    <col min="14600" max="14600" width="14.5703125" style="213" customWidth="1"/>
    <col min="14601" max="14602" width="8" style="213"/>
    <col min="14603" max="14603" width="16.42578125" style="213" customWidth="1"/>
    <col min="14604" max="14604" width="14" style="213" customWidth="1"/>
    <col min="14605" max="14605" width="8" style="213"/>
    <col min="14606" max="14606" width="17.42578125" style="213" customWidth="1"/>
    <col min="14607" max="14609" width="8" style="213"/>
    <col min="14610" max="14610" width="25.140625" style="213" customWidth="1"/>
    <col min="14611" max="14611" width="8" style="213"/>
    <col min="14612" max="14612" width="19.42578125" style="213" customWidth="1"/>
    <col min="14613" max="14613" width="13" style="213" customWidth="1"/>
    <col min="14614" max="14848" width="8" style="213"/>
    <col min="14849" max="14849" width="4" style="213" customWidth="1"/>
    <col min="14850" max="14850" width="18.5703125" style="213" customWidth="1"/>
    <col min="14851" max="14851" width="16.7109375" style="213" customWidth="1"/>
    <col min="14852" max="14852" width="16.28515625" style="213" customWidth="1"/>
    <col min="14853" max="14853" width="19.28515625" style="213" customWidth="1"/>
    <col min="14854" max="14854" width="10.28515625" style="213" customWidth="1"/>
    <col min="14855" max="14855" width="8" style="213" customWidth="1"/>
    <col min="14856" max="14856" width="14.5703125" style="213" customWidth="1"/>
    <col min="14857" max="14858" width="8" style="213"/>
    <col min="14859" max="14859" width="16.42578125" style="213" customWidth="1"/>
    <col min="14860" max="14860" width="14" style="213" customWidth="1"/>
    <col min="14861" max="14861" width="8" style="213"/>
    <col min="14862" max="14862" width="17.42578125" style="213" customWidth="1"/>
    <col min="14863" max="14865" width="8" style="213"/>
    <col min="14866" max="14866" width="25.140625" style="213" customWidth="1"/>
    <col min="14867" max="14867" width="8" style="213"/>
    <col min="14868" max="14868" width="19.42578125" style="213" customWidth="1"/>
    <col min="14869" max="14869" width="13" style="213" customWidth="1"/>
    <col min="14870" max="15104" width="8" style="213"/>
    <col min="15105" max="15105" width="4" style="213" customWidth="1"/>
    <col min="15106" max="15106" width="18.5703125" style="213" customWidth="1"/>
    <col min="15107" max="15107" width="16.7109375" style="213" customWidth="1"/>
    <col min="15108" max="15108" width="16.28515625" style="213" customWidth="1"/>
    <col min="15109" max="15109" width="19.28515625" style="213" customWidth="1"/>
    <col min="15110" max="15110" width="10.28515625" style="213" customWidth="1"/>
    <col min="15111" max="15111" width="8" style="213" customWidth="1"/>
    <col min="15112" max="15112" width="14.5703125" style="213" customWidth="1"/>
    <col min="15113" max="15114" width="8" style="213"/>
    <col min="15115" max="15115" width="16.42578125" style="213" customWidth="1"/>
    <col min="15116" max="15116" width="14" style="213" customWidth="1"/>
    <col min="15117" max="15117" width="8" style="213"/>
    <col min="15118" max="15118" width="17.42578125" style="213" customWidth="1"/>
    <col min="15119" max="15121" width="8" style="213"/>
    <col min="15122" max="15122" width="25.140625" style="213" customWidth="1"/>
    <col min="15123" max="15123" width="8" style="213"/>
    <col min="15124" max="15124" width="19.42578125" style="213" customWidth="1"/>
    <col min="15125" max="15125" width="13" style="213" customWidth="1"/>
    <col min="15126" max="15360" width="8" style="213"/>
    <col min="15361" max="15361" width="4" style="213" customWidth="1"/>
    <col min="15362" max="15362" width="18.5703125" style="213" customWidth="1"/>
    <col min="15363" max="15363" width="16.7109375" style="213" customWidth="1"/>
    <col min="15364" max="15364" width="16.28515625" style="213" customWidth="1"/>
    <col min="15365" max="15365" width="19.28515625" style="213" customWidth="1"/>
    <col min="15366" max="15366" width="10.28515625" style="213" customWidth="1"/>
    <col min="15367" max="15367" width="8" style="213" customWidth="1"/>
    <col min="15368" max="15368" width="14.5703125" style="213" customWidth="1"/>
    <col min="15369" max="15370" width="8" style="213"/>
    <col min="15371" max="15371" width="16.42578125" style="213" customWidth="1"/>
    <col min="15372" max="15372" width="14" style="213" customWidth="1"/>
    <col min="15373" max="15373" width="8" style="213"/>
    <col min="15374" max="15374" width="17.42578125" style="213" customWidth="1"/>
    <col min="15375" max="15377" width="8" style="213"/>
    <col min="15378" max="15378" width="25.140625" style="213" customWidth="1"/>
    <col min="15379" max="15379" width="8" style="213"/>
    <col min="15380" max="15380" width="19.42578125" style="213" customWidth="1"/>
    <col min="15381" max="15381" width="13" style="213" customWidth="1"/>
    <col min="15382" max="15616" width="8" style="213"/>
    <col min="15617" max="15617" width="4" style="213" customWidth="1"/>
    <col min="15618" max="15618" width="18.5703125" style="213" customWidth="1"/>
    <col min="15619" max="15619" width="16.7109375" style="213" customWidth="1"/>
    <col min="15620" max="15620" width="16.28515625" style="213" customWidth="1"/>
    <col min="15621" max="15621" width="19.28515625" style="213" customWidth="1"/>
    <col min="15622" max="15622" width="10.28515625" style="213" customWidth="1"/>
    <col min="15623" max="15623" width="8" style="213" customWidth="1"/>
    <col min="15624" max="15624" width="14.5703125" style="213" customWidth="1"/>
    <col min="15625" max="15626" width="8" style="213"/>
    <col min="15627" max="15627" width="16.42578125" style="213" customWidth="1"/>
    <col min="15628" max="15628" width="14" style="213" customWidth="1"/>
    <col min="15629" max="15629" width="8" style="213"/>
    <col min="15630" max="15630" width="17.42578125" style="213" customWidth="1"/>
    <col min="15631" max="15633" width="8" style="213"/>
    <col min="15634" max="15634" width="25.140625" style="213" customWidth="1"/>
    <col min="15635" max="15635" width="8" style="213"/>
    <col min="15636" max="15636" width="19.42578125" style="213" customWidth="1"/>
    <col min="15637" max="15637" width="13" style="213" customWidth="1"/>
    <col min="15638" max="15872" width="8" style="213"/>
    <col min="15873" max="15873" width="4" style="213" customWidth="1"/>
    <col min="15874" max="15874" width="18.5703125" style="213" customWidth="1"/>
    <col min="15875" max="15875" width="16.7109375" style="213" customWidth="1"/>
    <col min="15876" max="15876" width="16.28515625" style="213" customWidth="1"/>
    <col min="15877" max="15877" width="19.28515625" style="213" customWidth="1"/>
    <col min="15878" max="15878" width="10.28515625" style="213" customWidth="1"/>
    <col min="15879" max="15879" width="8" style="213" customWidth="1"/>
    <col min="15880" max="15880" width="14.5703125" style="213" customWidth="1"/>
    <col min="15881" max="15882" width="8" style="213"/>
    <col min="15883" max="15883" width="16.42578125" style="213" customWidth="1"/>
    <col min="15884" max="15884" width="14" style="213" customWidth="1"/>
    <col min="15885" max="15885" width="8" style="213"/>
    <col min="15886" max="15886" width="17.42578125" style="213" customWidth="1"/>
    <col min="15887" max="15889" width="8" style="213"/>
    <col min="15890" max="15890" width="25.140625" style="213" customWidth="1"/>
    <col min="15891" max="15891" width="8" style="213"/>
    <col min="15892" max="15892" width="19.42578125" style="213" customWidth="1"/>
    <col min="15893" max="15893" width="13" style="213" customWidth="1"/>
    <col min="15894" max="16128" width="8" style="213"/>
    <col min="16129" max="16129" width="4" style="213" customWidth="1"/>
    <col min="16130" max="16130" width="18.5703125" style="213" customWidth="1"/>
    <col min="16131" max="16131" width="16.7109375" style="213" customWidth="1"/>
    <col min="16132" max="16132" width="16.28515625" style="213" customWidth="1"/>
    <col min="16133" max="16133" width="19.28515625" style="213" customWidth="1"/>
    <col min="16134" max="16134" width="10.28515625" style="213" customWidth="1"/>
    <col min="16135" max="16135" width="8" style="213" customWidth="1"/>
    <col min="16136" max="16136" width="14.5703125" style="213" customWidth="1"/>
    <col min="16137" max="16138" width="8" style="213"/>
    <col min="16139" max="16139" width="16.42578125" style="213" customWidth="1"/>
    <col min="16140" max="16140" width="14" style="213" customWidth="1"/>
    <col min="16141" max="16141" width="8" style="213"/>
    <col min="16142" max="16142" width="17.42578125" style="213" customWidth="1"/>
    <col min="16143" max="16145" width="8" style="213"/>
    <col min="16146" max="16146" width="25.140625" style="213" customWidth="1"/>
    <col min="16147" max="16147" width="8" style="213"/>
    <col min="16148" max="16148" width="19.42578125" style="213" customWidth="1"/>
    <col min="16149" max="16149" width="13" style="213" customWidth="1"/>
    <col min="16150" max="16384" width="8" style="213"/>
  </cols>
  <sheetData>
    <row r="1" spans="1:25" ht="48.75" customHeight="1">
      <c r="A1" s="2419" t="s">
        <v>1021</v>
      </c>
      <c r="B1" s="2419"/>
      <c r="C1" s="2419"/>
      <c r="D1" s="2419"/>
      <c r="E1" s="2419"/>
      <c r="F1" s="2419"/>
      <c r="G1" s="222"/>
      <c r="H1" s="222"/>
      <c r="I1" s="222"/>
    </row>
    <row r="2" spans="1:25" ht="27">
      <c r="A2" s="2420" t="s">
        <v>41</v>
      </c>
      <c r="B2" s="2424" t="s">
        <v>776</v>
      </c>
      <c r="C2" s="782" t="s">
        <v>871</v>
      </c>
      <c r="D2" s="834" t="s">
        <v>1010</v>
      </c>
      <c r="E2" s="841" t="s">
        <v>1022</v>
      </c>
      <c r="F2" s="844" t="s">
        <v>1023</v>
      </c>
    </row>
    <row r="3" spans="1:25">
      <c r="A3" s="2421"/>
      <c r="B3" s="2425"/>
      <c r="C3" s="2436" t="s">
        <v>4</v>
      </c>
      <c r="D3" s="2437"/>
      <c r="E3" s="2438"/>
      <c r="F3" s="845" t="s">
        <v>777</v>
      </c>
    </row>
    <row r="4" spans="1:25">
      <c r="A4" s="774" t="s">
        <v>887</v>
      </c>
      <c r="B4" s="776" t="s">
        <v>888</v>
      </c>
      <c r="C4" s="783" t="s">
        <v>889</v>
      </c>
      <c r="D4" s="777" t="s">
        <v>890</v>
      </c>
      <c r="E4" s="789" t="s">
        <v>891</v>
      </c>
      <c r="F4" s="795" t="s">
        <v>892</v>
      </c>
      <c r="N4" s="220"/>
      <c r="R4" s="220"/>
    </row>
    <row r="5" spans="1:25" ht="20.25" customHeight="1">
      <c r="A5" s="835">
        <v>14</v>
      </c>
      <c r="B5" s="836" t="s">
        <v>31</v>
      </c>
      <c r="C5" s="839">
        <v>592596922</v>
      </c>
      <c r="D5" s="837">
        <v>638823295</v>
      </c>
      <c r="E5" s="842">
        <v>638823294.99999988</v>
      </c>
      <c r="F5" s="846">
        <f>E5/C5*100</f>
        <v>107.800643453224</v>
      </c>
      <c r="L5" s="220"/>
      <c r="M5" s="220"/>
      <c r="N5" s="220"/>
      <c r="O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>
      <c r="A6" s="2416" t="s">
        <v>20</v>
      </c>
      <c r="B6" s="2418"/>
      <c r="C6" s="840">
        <f>SUM(C5:C5)</f>
        <v>592596922</v>
      </c>
      <c r="D6" s="838">
        <f>SUM(D5:D5)</f>
        <v>638823295</v>
      </c>
      <c r="E6" s="843">
        <f>SUM(E5:E5)</f>
        <v>638823294.99999988</v>
      </c>
      <c r="F6" s="847">
        <f>E6/C6*100</f>
        <v>107.800643453224</v>
      </c>
    </row>
    <row r="7" spans="1:25">
      <c r="A7" s="2439"/>
      <c r="B7" s="2439"/>
      <c r="C7" s="216"/>
    </row>
    <row r="8" spans="1:25">
      <c r="A8" s="2404"/>
      <c r="B8" s="2405"/>
      <c r="C8" s="2405"/>
      <c r="D8" s="2405"/>
      <c r="E8" s="2405"/>
      <c r="F8" s="2405"/>
      <c r="G8" s="2405"/>
    </row>
    <row r="14" spans="1:25">
      <c r="H14" s="216"/>
    </row>
    <row r="15" spans="1:25">
      <c r="E15" s="221"/>
      <c r="H15" s="216"/>
    </row>
    <row r="16" spans="1:25">
      <c r="E16" s="221"/>
    </row>
    <row r="17" spans="3:5">
      <c r="C17" s="216"/>
      <c r="D17" s="216"/>
      <c r="E17" s="216"/>
    </row>
  </sheetData>
  <mergeCells count="7">
    <mergeCell ref="A8:G8"/>
    <mergeCell ref="A1:F1"/>
    <mergeCell ref="A2:A3"/>
    <mergeCell ref="B2:B3"/>
    <mergeCell ref="C3:E3"/>
    <mergeCell ref="A6:B6"/>
    <mergeCell ref="A7:B7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showGridLines="0" workbookViewId="0">
      <selection activeCell="O3" sqref="O3"/>
    </sheetView>
  </sheetViews>
  <sheetFormatPr defaultColWidth="9.140625" defaultRowHeight="12.75"/>
  <cols>
    <col min="1" max="1" width="5.42578125" style="100" customWidth="1"/>
    <col min="2" max="2" width="25.7109375" style="100" customWidth="1"/>
    <col min="3" max="3" width="12.42578125" style="100" bestFit="1" customWidth="1"/>
    <col min="4" max="4" width="12.5703125" style="100" bestFit="1" customWidth="1"/>
    <col min="5" max="5" width="6" style="100" customWidth="1"/>
    <col min="6" max="7" width="12.42578125" style="100" bestFit="1" customWidth="1"/>
    <col min="8" max="8" width="6.28515625" style="100" customWidth="1"/>
    <col min="9" max="9" width="6.42578125" style="100" customWidth="1"/>
    <col min="10" max="16384" width="9.140625" style="100"/>
  </cols>
  <sheetData>
    <row r="1" spans="1:9" ht="41.45" customHeight="1">
      <c r="A1" s="1847" t="s">
        <v>990</v>
      </c>
      <c r="B1" s="1847"/>
      <c r="C1" s="1847"/>
      <c r="D1" s="1847"/>
      <c r="E1" s="1847"/>
      <c r="F1" s="1847"/>
      <c r="G1" s="1847"/>
      <c r="H1" s="1847"/>
      <c r="I1" s="1847"/>
    </row>
    <row r="3" spans="1:9" ht="13.5">
      <c r="A3" s="1798" t="s">
        <v>881</v>
      </c>
      <c r="B3" s="1801" t="s">
        <v>68</v>
      </c>
      <c r="C3" s="1798" t="s">
        <v>44</v>
      </c>
      <c r="D3" s="1874"/>
      <c r="E3" s="1875"/>
      <c r="F3" s="1882" t="s">
        <v>69</v>
      </c>
      <c r="G3" s="1877"/>
      <c r="H3" s="1878"/>
      <c r="I3" s="351" t="s">
        <v>938</v>
      </c>
    </row>
    <row r="4" spans="1:9" ht="13.5">
      <c r="A4" s="1799"/>
      <c r="B4" s="1802"/>
      <c r="C4" s="352" t="s">
        <v>70</v>
      </c>
      <c r="D4" s="353" t="s">
        <v>71</v>
      </c>
      <c r="E4" s="355" t="s">
        <v>931</v>
      </c>
      <c r="F4" s="352" t="s">
        <v>70</v>
      </c>
      <c r="G4" s="353" t="s">
        <v>71</v>
      </c>
      <c r="H4" s="355" t="s">
        <v>939</v>
      </c>
      <c r="I4" s="356" t="s">
        <v>940</v>
      </c>
    </row>
    <row r="5" spans="1:9" ht="13.5">
      <c r="A5" s="1872"/>
      <c r="B5" s="1873"/>
      <c r="C5" s="1883" t="s">
        <v>885</v>
      </c>
      <c r="D5" s="1884"/>
      <c r="E5" s="349" t="s">
        <v>72</v>
      </c>
      <c r="F5" s="1883" t="s">
        <v>885</v>
      </c>
      <c r="G5" s="1884"/>
      <c r="H5" s="349" t="s">
        <v>72</v>
      </c>
      <c r="I5" s="373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39" t="s">
        <v>892</v>
      </c>
      <c r="G6" s="241" t="s">
        <v>893</v>
      </c>
      <c r="H6" s="242" t="s">
        <v>894</v>
      </c>
      <c r="I6" s="350" t="s">
        <v>932</v>
      </c>
    </row>
    <row r="7" spans="1:9" ht="19.899999999999999" customHeight="1">
      <c r="A7" s="348"/>
      <c r="B7" s="76" t="s">
        <v>933</v>
      </c>
      <c r="C7" s="331">
        <v>63560206917.589996</v>
      </c>
      <c r="D7" s="158">
        <v>63086584137.209999</v>
      </c>
      <c r="E7" s="232">
        <v>99.3</v>
      </c>
      <c r="F7" s="331">
        <v>63346395183.839996</v>
      </c>
      <c r="G7" s="158">
        <v>62944890075.690002</v>
      </c>
      <c r="H7" s="232">
        <v>99.4</v>
      </c>
      <c r="I7" s="366">
        <v>99.8</v>
      </c>
    </row>
    <row r="8" spans="1:9" s="86" customFormat="1" ht="19.899999999999999" customHeight="1">
      <c r="A8" s="233" t="s">
        <v>895</v>
      </c>
      <c r="B8" s="63" t="s">
        <v>99</v>
      </c>
      <c r="C8" s="333">
        <v>1193574285.8900001</v>
      </c>
      <c r="D8" s="155">
        <v>1191689287.8699999</v>
      </c>
      <c r="E8" s="234">
        <v>99.8</v>
      </c>
      <c r="F8" s="369">
        <v>1189818097.8900001</v>
      </c>
      <c r="G8" s="157">
        <v>1188978943.7099998</v>
      </c>
      <c r="H8" s="344">
        <v>99.9</v>
      </c>
      <c r="I8" s="367">
        <v>99.8</v>
      </c>
    </row>
    <row r="9" spans="1:9" ht="19.899999999999999" customHeight="1">
      <c r="A9" s="233" t="s">
        <v>896</v>
      </c>
      <c r="B9" s="63" t="s">
        <v>100</v>
      </c>
      <c r="C9" s="333">
        <v>9327123.0700000003</v>
      </c>
      <c r="D9" s="155">
        <v>7021118.5599999996</v>
      </c>
      <c r="E9" s="234">
        <v>75.3</v>
      </c>
      <c r="F9" s="369">
        <v>9327123.0700000003</v>
      </c>
      <c r="G9" s="157">
        <v>7021118.5599999996</v>
      </c>
      <c r="H9" s="344">
        <v>75.3</v>
      </c>
      <c r="I9" s="367">
        <v>100</v>
      </c>
    </row>
    <row r="10" spans="1:9" ht="19.899999999999999" customHeight="1">
      <c r="A10" s="233" t="s">
        <v>897</v>
      </c>
      <c r="B10" s="63" t="s">
        <v>101</v>
      </c>
      <c r="C10" s="333">
        <v>219000</v>
      </c>
      <c r="D10" s="155">
        <v>218999.8</v>
      </c>
      <c r="E10" s="234">
        <v>100</v>
      </c>
      <c r="F10" s="369">
        <v>219000</v>
      </c>
      <c r="G10" s="157">
        <v>218999.8</v>
      </c>
      <c r="H10" s="344">
        <v>100</v>
      </c>
      <c r="I10" s="367">
        <v>100</v>
      </c>
    </row>
    <row r="11" spans="1:9" ht="19.899999999999999" customHeight="1">
      <c r="A11" s="233" t="s">
        <v>898</v>
      </c>
      <c r="B11" s="63" t="s">
        <v>126</v>
      </c>
      <c r="C11" s="333">
        <v>770000</v>
      </c>
      <c r="D11" s="155">
        <v>769999.41</v>
      </c>
      <c r="E11" s="234">
        <v>100</v>
      </c>
      <c r="F11" s="369">
        <v>770000</v>
      </c>
      <c r="G11" s="157">
        <v>769999.41</v>
      </c>
      <c r="H11" s="344">
        <v>100</v>
      </c>
      <c r="I11" s="367">
        <v>100</v>
      </c>
    </row>
    <row r="12" spans="1:9" ht="19.899999999999999" customHeight="1">
      <c r="A12" s="233" t="s">
        <v>903</v>
      </c>
      <c r="B12" s="63" t="s">
        <v>104</v>
      </c>
      <c r="C12" s="333">
        <v>569969184.65999997</v>
      </c>
      <c r="D12" s="155">
        <v>452876937.51999998</v>
      </c>
      <c r="E12" s="234">
        <v>79.5</v>
      </c>
      <c r="F12" s="369">
        <v>569969184.65999997</v>
      </c>
      <c r="G12" s="157">
        <v>452876937.51999998</v>
      </c>
      <c r="H12" s="344">
        <v>79.5</v>
      </c>
      <c r="I12" s="367">
        <v>100</v>
      </c>
    </row>
    <row r="13" spans="1:9" ht="19.899999999999999" customHeight="1">
      <c r="A13" s="233" t="s">
        <v>904</v>
      </c>
      <c r="B13" s="63" t="s">
        <v>105</v>
      </c>
      <c r="C13" s="333">
        <v>2960080</v>
      </c>
      <c r="D13" s="155">
        <v>2932362.39</v>
      </c>
      <c r="E13" s="234">
        <v>99.1</v>
      </c>
      <c r="F13" s="369">
        <v>2960080</v>
      </c>
      <c r="G13" s="157">
        <v>2932362.39</v>
      </c>
      <c r="H13" s="344">
        <v>99.1</v>
      </c>
      <c r="I13" s="367">
        <v>100</v>
      </c>
    </row>
    <row r="14" spans="1:9" ht="19.899999999999999" customHeight="1">
      <c r="A14" s="233" t="s">
        <v>905</v>
      </c>
      <c r="B14" s="63" t="s">
        <v>106</v>
      </c>
      <c r="C14" s="333">
        <v>263861474.18000001</v>
      </c>
      <c r="D14" s="155">
        <v>195525697.81</v>
      </c>
      <c r="E14" s="234">
        <v>74.099999999999994</v>
      </c>
      <c r="F14" s="369">
        <v>203387429.14000002</v>
      </c>
      <c r="G14" s="157">
        <v>195061282.75</v>
      </c>
      <c r="H14" s="344">
        <v>95.9</v>
      </c>
      <c r="I14" s="367">
        <v>99.8</v>
      </c>
    </row>
    <row r="15" spans="1:9" ht="19.899999999999999" customHeight="1">
      <c r="A15" s="233" t="s">
        <v>906</v>
      </c>
      <c r="B15" s="63" t="s">
        <v>107</v>
      </c>
      <c r="C15" s="333">
        <v>363704367.63999999</v>
      </c>
      <c r="D15" s="155">
        <v>360215765.60000002</v>
      </c>
      <c r="E15" s="234">
        <v>99</v>
      </c>
      <c r="F15" s="369">
        <v>360649234.44999999</v>
      </c>
      <c r="G15" s="157">
        <v>357703737.71000004</v>
      </c>
      <c r="H15" s="344">
        <v>99.2</v>
      </c>
      <c r="I15" s="367">
        <v>99.3</v>
      </c>
    </row>
    <row r="16" spans="1:9" ht="19.899999999999999" customHeight="1">
      <c r="A16" s="233" t="s">
        <v>909</v>
      </c>
      <c r="B16" s="63" t="s">
        <v>109</v>
      </c>
      <c r="C16" s="333">
        <v>593264264.09000003</v>
      </c>
      <c r="D16" s="155">
        <v>581616071.39999998</v>
      </c>
      <c r="E16" s="234">
        <v>98</v>
      </c>
      <c r="F16" s="369">
        <v>593244264.09000003</v>
      </c>
      <c r="G16" s="157">
        <v>581596071.39999998</v>
      </c>
      <c r="H16" s="344">
        <v>98</v>
      </c>
      <c r="I16" s="367">
        <v>100</v>
      </c>
    </row>
    <row r="17" spans="1:9" ht="40.5">
      <c r="A17" s="233" t="s">
        <v>910</v>
      </c>
      <c r="B17" s="63" t="s">
        <v>110</v>
      </c>
      <c r="C17" s="333">
        <v>11590992.199999999</v>
      </c>
      <c r="D17" s="155">
        <v>11231480.029999999</v>
      </c>
      <c r="E17" s="234">
        <v>96.9</v>
      </c>
      <c r="F17" s="369">
        <v>11590992.199999999</v>
      </c>
      <c r="G17" s="157">
        <v>11231480.029999999</v>
      </c>
      <c r="H17" s="344">
        <v>96.9</v>
      </c>
      <c r="I17" s="367">
        <v>100</v>
      </c>
    </row>
    <row r="18" spans="1:9" ht="19.899999999999999" customHeight="1">
      <c r="A18" s="233" t="s">
        <v>911</v>
      </c>
      <c r="B18" s="63" t="s">
        <v>111</v>
      </c>
      <c r="C18" s="333">
        <v>1440400.71</v>
      </c>
      <c r="D18" s="155">
        <v>1040763.06</v>
      </c>
      <c r="E18" s="234">
        <v>72.3</v>
      </c>
      <c r="F18" s="369">
        <v>1440400.71</v>
      </c>
      <c r="G18" s="157">
        <v>1040763.06</v>
      </c>
      <c r="H18" s="344">
        <v>72.3</v>
      </c>
      <c r="I18" s="367">
        <v>100</v>
      </c>
    </row>
    <row r="19" spans="1:9" ht="27">
      <c r="A19" s="233" t="s">
        <v>914</v>
      </c>
      <c r="B19" s="63" t="s">
        <v>112</v>
      </c>
      <c r="C19" s="333">
        <v>3083160397.0799999</v>
      </c>
      <c r="D19" s="155">
        <v>3079701457.0300002</v>
      </c>
      <c r="E19" s="234">
        <v>99.9</v>
      </c>
      <c r="F19" s="369">
        <v>3000198550.54</v>
      </c>
      <c r="G19" s="157">
        <v>2999287519.0800004</v>
      </c>
      <c r="H19" s="344">
        <v>100</v>
      </c>
      <c r="I19" s="367">
        <v>97.4</v>
      </c>
    </row>
    <row r="20" spans="1:9" ht="19.899999999999999" customHeight="1">
      <c r="A20" s="233" t="s">
        <v>915</v>
      </c>
      <c r="B20" s="63" t="s">
        <v>113</v>
      </c>
      <c r="C20" s="333">
        <v>100292189.64</v>
      </c>
      <c r="D20" s="155">
        <v>99395265.180000007</v>
      </c>
      <c r="E20" s="234">
        <v>99.1</v>
      </c>
      <c r="F20" s="369">
        <v>100292189.64</v>
      </c>
      <c r="G20" s="157">
        <v>99395265.180000007</v>
      </c>
      <c r="H20" s="344">
        <v>99.1</v>
      </c>
      <c r="I20" s="367">
        <v>100</v>
      </c>
    </row>
    <row r="21" spans="1:9" ht="19.899999999999999" customHeight="1">
      <c r="A21" s="233" t="s">
        <v>918</v>
      </c>
      <c r="B21" s="63" t="s">
        <v>114</v>
      </c>
      <c r="C21" s="333">
        <v>10253489.15</v>
      </c>
      <c r="D21" s="155">
        <v>10255610.439999999</v>
      </c>
      <c r="E21" s="234">
        <v>100</v>
      </c>
      <c r="F21" s="369">
        <v>10253489.15</v>
      </c>
      <c r="G21" s="157">
        <v>10255610.439999999</v>
      </c>
      <c r="H21" s="344">
        <v>100</v>
      </c>
      <c r="I21" s="367">
        <v>100</v>
      </c>
    </row>
    <row r="22" spans="1:9" ht="19.899999999999999" customHeight="1">
      <c r="A22" s="233" t="s">
        <v>919</v>
      </c>
      <c r="B22" s="63" t="s">
        <v>115</v>
      </c>
      <c r="C22" s="333">
        <v>435508730.62</v>
      </c>
      <c r="D22" s="155">
        <v>425908471.88</v>
      </c>
      <c r="E22" s="234">
        <v>97.8</v>
      </c>
      <c r="F22" s="369">
        <v>435508730.62</v>
      </c>
      <c r="G22" s="157">
        <v>425908471.88</v>
      </c>
      <c r="H22" s="344">
        <v>97.8</v>
      </c>
      <c r="I22" s="367">
        <v>100</v>
      </c>
    </row>
    <row r="23" spans="1:9" ht="19.899999999999999" customHeight="1">
      <c r="A23" s="233" t="s">
        <v>921</v>
      </c>
      <c r="B23" s="63" t="s">
        <v>116</v>
      </c>
      <c r="C23" s="333">
        <v>1368208650.74</v>
      </c>
      <c r="D23" s="155">
        <v>1337505244.3800001</v>
      </c>
      <c r="E23" s="234">
        <v>97.8</v>
      </c>
      <c r="F23" s="369">
        <v>1338450505.0899999</v>
      </c>
      <c r="G23" s="157">
        <v>1310711812.5600002</v>
      </c>
      <c r="H23" s="344">
        <v>97.9</v>
      </c>
      <c r="I23" s="367">
        <v>98</v>
      </c>
    </row>
    <row r="24" spans="1:9" ht="19.899999999999999" customHeight="1">
      <c r="A24" s="233" t="s">
        <v>922</v>
      </c>
      <c r="B24" s="63" t="s">
        <v>117</v>
      </c>
      <c r="C24" s="333">
        <v>1017402363.01</v>
      </c>
      <c r="D24" s="155">
        <v>998385343.83000004</v>
      </c>
      <c r="E24" s="234">
        <v>98.1</v>
      </c>
      <c r="F24" s="369">
        <v>984094733.10000002</v>
      </c>
      <c r="G24" s="157">
        <v>970075976.87</v>
      </c>
      <c r="H24" s="344">
        <v>98.6</v>
      </c>
      <c r="I24" s="367">
        <v>97.2</v>
      </c>
    </row>
    <row r="25" spans="1:9" ht="27">
      <c r="A25" s="233" t="s">
        <v>923</v>
      </c>
      <c r="B25" s="63" t="s">
        <v>118</v>
      </c>
      <c r="C25" s="333">
        <v>225319883.44999999</v>
      </c>
      <c r="D25" s="155">
        <v>222558921.88</v>
      </c>
      <c r="E25" s="234">
        <v>98.8</v>
      </c>
      <c r="F25" s="369">
        <v>225003189.38999999</v>
      </c>
      <c r="G25" s="157">
        <v>222242467.81999999</v>
      </c>
      <c r="H25" s="344">
        <v>98.8</v>
      </c>
      <c r="I25" s="367">
        <v>99.9</v>
      </c>
    </row>
    <row r="26" spans="1:9" ht="19.899999999999999" customHeight="1">
      <c r="A26" s="233" t="s">
        <v>924</v>
      </c>
      <c r="B26" s="63" t="s">
        <v>119</v>
      </c>
      <c r="C26" s="333">
        <v>0</v>
      </c>
      <c r="D26" s="155">
        <v>4000</v>
      </c>
      <c r="E26" s="374" t="s">
        <v>913</v>
      </c>
      <c r="F26" s="369">
        <v>0</v>
      </c>
      <c r="G26" s="157">
        <v>4000</v>
      </c>
      <c r="H26" s="370" t="s">
        <v>913</v>
      </c>
      <c r="I26" s="367">
        <v>100</v>
      </c>
    </row>
    <row r="27" spans="1:9" ht="19.899999999999999" customHeight="1">
      <c r="A27" s="233" t="s">
        <v>925</v>
      </c>
      <c r="B27" s="63" t="s">
        <v>120</v>
      </c>
      <c r="C27" s="333">
        <v>54304877232.459999</v>
      </c>
      <c r="D27" s="155">
        <v>54103936393.470001</v>
      </c>
      <c r="E27" s="234">
        <v>99.6</v>
      </c>
      <c r="F27" s="369">
        <v>54304767181.099998</v>
      </c>
      <c r="G27" s="157">
        <v>54103829492.940002</v>
      </c>
      <c r="H27" s="344">
        <v>99.6</v>
      </c>
      <c r="I27" s="367">
        <v>100</v>
      </c>
    </row>
    <row r="28" spans="1:9" ht="27">
      <c r="A28" s="233" t="s">
        <v>926</v>
      </c>
      <c r="B28" s="63" t="s">
        <v>121</v>
      </c>
      <c r="C28" s="333">
        <v>4475809</v>
      </c>
      <c r="D28" s="155">
        <v>3771845.98</v>
      </c>
      <c r="E28" s="234">
        <v>84.3</v>
      </c>
      <c r="F28" s="369">
        <v>4450809</v>
      </c>
      <c r="G28" s="157">
        <v>3747762.58</v>
      </c>
      <c r="H28" s="344">
        <v>84.2</v>
      </c>
      <c r="I28" s="367">
        <v>99.4</v>
      </c>
    </row>
    <row r="29" spans="1:9" ht="19.899999999999999" customHeight="1">
      <c r="A29" s="235" t="s">
        <v>929</v>
      </c>
      <c r="B29" s="295" t="s">
        <v>124</v>
      </c>
      <c r="C29" s="335">
        <v>27000</v>
      </c>
      <c r="D29" s="149">
        <v>23099.69</v>
      </c>
      <c r="E29" s="238">
        <v>85.6</v>
      </c>
      <c r="F29" s="371">
        <v>0</v>
      </c>
      <c r="G29" s="130">
        <v>0</v>
      </c>
      <c r="H29" s="372" t="s">
        <v>913</v>
      </c>
      <c r="I29" s="368">
        <v>0</v>
      </c>
    </row>
    <row r="31" spans="1:9" ht="13.5">
      <c r="A31" s="102" t="s">
        <v>1158</v>
      </c>
      <c r="B31" s="101"/>
      <c r="C31" s="101"/>
      <c r="D31" s="101"/>
      <c r="E31" s="101"/>
      <c r="F31" s="101"/>
      <c r="G31" s="101"/>
      <c r="H31" s="101"/>
      <c r="I31" s="101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3"/>
  <sheetViews>
    <sheetView showGridLines="0" workbookViewId="0">
      <selection activeCell="O3" sqref="O3"/>
    </sheetView>
  </sheetViews>
  <sheetFormatPr defaultRowHeight="12.75"/>
  <cols>
    <col min="1" max="1" width="5.5703125" customWidth="1"/>
    <col min="2" max="2" width="25.7109375" customWidth="1"/>
    <col min="3" max="4" width="11.7109375" bestFit="1" customWidth="1"/>
    <col min="5" max="5" width="6.5703125" bestFit="1" customWidth="1"/>
    <col min="6" max="7" width="11.7109375" bestFit="1" customWidth="1"/>
    <col min="8" max="8" width="6.5703125" bestFit="1" customWidth="1"/>
    <col min="9" max="9" width="9.85546875" customWidth="1"/>
  </cols>
  <sheetData>
    <row r="1" spans="1:9" ht="42" customHeight="1">
      <c r="A1" s="1847" t="s">
        <v>1148</v>
      </c>
      <c r="B1" s="1847"/>
      <c r="C1" s="1847"/>
      <c r="D1" s="1847"/>
      <c r="E1" s="1847"/>
      <c r="F1" s="1847"/>
      <c r="G1" s="1847"/>
      <c r="H1" s="1847"/>
      <c r="I1" s="1847"/>
    </row>
    <row r="3" spans="1:9" ht="13.5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3.5">
      <c r="A4" s="1799"/>
      <c r="B4" s="1802"/>
      <c r="C4" s="352" t="s">
        <v>70</v>
      </c>
      <c r="D4" s="353" t="s">
        <v>71</v>
      </c>
      <c r="E4" s="355" t="s">
        <v>931</v>
      </c>
      <c r="F4" s="359" t="s">
        <v>70</v>
      </c>
      <c r="G4" s="353" t="s">
        <v>71</v>
      </c>
      <c r="H4" s="354" t="s">
        <v>939</v>
      </c>
      <c r="I4" s="361" t="s">
        <v>940</v>
      </c>
    </row>
    <row r="5" spans="1:9" ht="13.5">
      <c r="A5" s="1800"/>
      <c r="B5" s="1803"/>
      <c r="C5" s="1886" t="s">
        <v>885</v>
      </c>
      <c r="D5" s="1887"/>
      <c r="E5" s="376" t="s">
        <v>72</v>
      </c>
      <c r="F5" s="1888" t="s">
        <v>885</v>
      </c>
      <c r="G5" s="1887"/>
      <c r="H5" s="375" t="s">
        <v>72</v>
      </c>
      <c r="I5" s="378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6376554468.1999998</v>
      </c>
      <c r="D7" s="158">
        <v>6129211521.7700005</v>
      </c>
      <c r="E7" s="232">
        <v>96.1</v>
      </c>
      <c r="F7" s="159">
        <v>5694816250.5900002</v>
      </c>
      <c r="G7" s="158">
        <v>5580353777.8299999</v>
      </c>
      <c r="H7" s="51">
        <v>98</v>
      </c>
      <c r="I7" s="363">
        <v>91</v>
      </c>
    </row>
    <row r="8" spans="1:9" s="24" customFormat="1" ht="19.899999999999999" customHeight="1">
      <c r="A8" s="233" t="s">
        <v>895</v>
      </c>
      <c r="B8" s="63" t="s">
        <v>99</v>
      </c>
      <c r="C8" s="333">
        <v>6148875.5599999996</v>
      </c>
      <c r="D8" s="155">
        <v>6054112.71</v>
      </c>
      <c r="E8" s="234">
        <v>98.5</v>
      </c>
      <c r="F8" s="64">
        <v>691128</v>
      </c>
      <c r="G8" s="157">
        <v>680554.54</v>
      </c>
      <c r="H8" s="65">
        <v>98.5</v>
      </c>
      <c r="I8" s="364">
        <v>11.2</v>
      </c>
    </row>
    <row r="9" spans="1:9" ht="27">
      <c r="A9" s="233" t="s">
        <v>900</v>
      </c>
      <c r="B9" s="63" t="s">
        <v>103</v>
      </c>
      <c r="C9" s="333">
        <v>644495.19999999995</v>
      </c>
      <c r="D9" s="155">
        <v>644495.19999999995</v>
      </c>
      <c r="E9" s="234">
        <v>100</v>
      </c>
      <c r="F9" s="64">
        <v>0</v>
      </c>
      <c r="G9" s="157">
        <v>0</v>
      </c>
      <c r="H9" s="65" t="s">
        <v>273</v>
      </c>
      <c r="I9" s="364">
        <v>0</v>
      </c>
    </row>
    <row r="10" spans="1:9" ht="19.899999999999999" customHeight="1">
      <c r="A10" s="233" t="s">
        <v>903</v>
      </c>
      <c r="B10" s="63" t="s">
        <v>104</v>
      </c>
      <c r="C10" s="333">
        <v>212660655.93000001</v>
      </c>
      <c r="D10" s="155">
        <v>156855510.94</v>
      </c>
      <c r="E10" s="234">
        <v>73.8</v>
      </c>
      <c r="F10" s="64">
        <v>57413762.650000006</v>
      </c>
      <c r="G10" s="157">
        <v>52576413.079999998</v>
      </c>
      <c r="H10" s="65">
        <v>91.6</v>
      </c>
      <c r="I10" s="364">
        <v>33.5</v>
      </c>
    </row>
    <row r="11" spans="1:9" ht="19.899999999999999" customHeight="1">
      <c r="A11" s="233" t="s">
        <v>904</v>
      </c>
      <c r="B11" s="63" t="s">
        <v>105</v>
      </c>
      <c r="C11" s="333">
        <v>866958.46</v>
      </c>
      <c r="D11" s="155">
        <v>804511.55</v>
      </c>
      <c r="E11" s="234">
        <v>92.8</v>
      </c>
      <c r="F11" s="64">
        <v>0</v>
      </c>
      <c r="G11" s="157">
        <v>0</v>
      </c>
      <c r="H11" s="65" t="s">
        <v>273</v>
      </c>
      <c r="I11" s="364">
        <v>0</v>
      </c>
    </row>
    <row r="12" spans="1:9" ht="19.899999999999999" customHeight="1">
      <c r="A12" s="233" t="s">
        <v>905</v>
      </c>
      <c r="B12" s="63" t="s">
        <v>106</v>
      </c>
      <c r="C12" s="333">
        <v>18391038.620000001</v>
      </c>
      <c r="D12" s="155">
        <v>31811912.370000001</v>
      </c>
      <c r="E12" s="234">
        <v>173</v>
      </c>
      <c r="F12" s="64">
        <v>157592.29000000283</v>
      </c>
      <c r="G12" s="157">
        <v>157592.29000000283</v>
      </c>
      <c r="H12" s="65">
        <v>100</v>
      </c>
      <c r="I12" s="364">
        <v>0.5</v>
      </c>
    </row>
    <row r="13" spans="1:9" ht="19.899999999999999" customHeight="1">
      <c r="A13" s="233" t="s">
        <v>906</v>
      </c>
      <c r="B13" s="63" t="s">
        <v>107</v>
      </c>
      <c r="C13" s="333">
        <v>630237</v>
      </c>
      <c r="D13" s="155">
        <v>444937</v>
      </c>
      <c r="E13" s="234">
        <v>70.599999999999994</v>
      </c>
      <c r="F13" s="64">
        <v>76250</v>
      </c>
      <c r="G13" s="157">
        <v>26250</v>
      </c>
      <c r="H13" s="65">
        <v>34.4</v>
      </c>
      <c r="I13" s="364">
        <v>5.9</v>
      </c>
    </row>
    <row r="14" spans="1:9" ht="19.899999999999999" customHeight="1">
      <c r="A14" s="233" t="s">
        <v>907</v>
      </c>
      <c r="B14" s="63" t="s">
        <v>108</v>
      </c>
      <c r="C14" s="333">
        <v>159343.24</v>
      </c>
      <c r="D14" s="155">
        <v>15346.83</v>
      </c>
      <c r="E14" s="234">
        <v>9.6</v>
      </c>
      <c r="F14" s="64">
        <v>26359.880000000005</v>
      </c>
      <c r="G14" s="157">
        <v>7158.4</v>
      </c>
      <c r="H14" s="65">
        <v>27.2</v>
      </c>
      <c r="I14" s="364">
        <v>46.6</v>
      </c>
    </row>
    <row r="15" spans="1:9" ht="19.899999999999999" customHeight="1">
      <c r="A15" s="233" t="s">
        <v>909</v>
      </c>
      <c r="B15" s="63" t="s">
        <v>109</v>
      </c>
      <c r="C15" s="333">
        <v>2850289.1</v>
      </c>
      <c r="D15" s="155">
        <v>1981260.93</v>
      </c>
      <c r="E15" s="234">
        <v>69.5</v>
      </c>
      <c r="F15" s="64">
        <v>1252690.6400000001</v>
      </c>
      <c r="G15" s="157">
        <v>1183662.3199999998</v>
      </c>
      <c r="H15" s="65">
        <v>94.5</v>
      </c>
      <c r="I15" s="364">
        <v>59.7</v>
      </c>
    </row>
    <row r="16" spans="1:9" ht="19.899999999999999" customHeight="1">
      <c r="A16" s="233" t="s">
        <v>911</v>
      </c>
      <c r="B16" s="63" t="s">
        <v>111</v>
      </c>
      <c r="C16" s="333">
        <v>3935674</v>
      </c>
      <c r="D16" s="155">
        <v>3884652.66</v>
      </c>
      <c r="E16" s="234">
        <v>98.7</v>
      </c>
      <c r="F16" s="64">
        <v>1759808</v>
      </c>
      <c r="G16" s="157">
        <v>1721376.1600000001</v>
      </c>
      <c r="H16" s="65">
        <v>97.8</v>
      </c>
      <c r="I16" s="364">
        <v>44.3</v>
      </c>
    </row>
    <row r="17" spans="1:9" ht="27">
      <c r="A17" s="233" t="s">
        <v>914</v>
      </c>
      <c r="B17" s="63" t="s">
        <v>112</v>
      </c>
      <c r="C17" s="333">
        <v>5842862.0499999998</v>
      </c>
      <c r="D17" s="155">
        <v>5375771.3799999999</v>
      </c>
      <c r="E17" s="234">
        <v>92</v>
      </c>
      <c r="F17" s="64">
        <v>1449000.71</v>
      </c>
      <c r="G17" s="157">
        <v>1431738.23</v>
      </c>
      <c r="H17" s="65">
        <v>98.8</v>
      </c>
      <c r="I17" s="364">
        <v>26.6</v>
      </c>
    </row>
    <row r="18" spans="1:9" ht="19.899999999999999" customHeight="1">
      <c r="A18" s="233" t="s">
        <v>918</v>
      </c>
      <c r="B18" s="63" t="s">
        <v>114</v>
      </c>
      <c r="C18" s="333">
        <v>203742406.44</v>
      </c>
      <c r="D18" s="155">
        <v>203749639.50999999</v>
      </c>
      <c r="E18" s="234">
        <v>100</v>
      </c>
      <c r="F18" s="64">
        <v>154424269.88999999</v>
      </c>
      <c r="G18" s="157">
        <v>154295085.76999998</v>
      </c>
      <c r="H18" s="65">
        <v>99.9</v>
      </c>
      <c r="I18" s="364">
        <v>75.7</v>
      </c>
    </row>
    <row r="19" spans="1:9" ht="19.899999999999999" customHeight="1">
      <c r="A19" s="233" t="s">
        <v>919</v>
      </c>
      <c r="B19" s="63" t="s">
        <v>115</v>
      </c>
      <c r="C19" s="333">
        <v>1721334368.6600001</v>
      </c>
      <c r="D19" s="155">
        <v>1704531542.49</v>
      </c>
      <c r="E19" s="234">
        <v>99</v>
      </c>
      <c r="F19" s="64">
        <v>1657737380.22</v>
      </c>
      <c r="G19" s="157">
        <v>1651994232.27</v>
      </c>
      <c r="H19" s="65">
        <v>99.7</v>
      </c>
      <c r="I19" s="364">
        <v>96.9</v>
      </c>
    </row>
    <row r="20" spans="1:9" ht="19.899999999999999" customHeight="1">
      <c r="A20" s="233" t="s">
        <v>920</v>
      </c>
      <c r="B20" s="63" t="s">
        <v>358</v>
      </c>
      <c r="C20" s="333">
        <v>0</v>
      </c>
      <c r="D20" s="155">
        <v>0</v>
      </c>
      <c r="E20" s="234" t="s">
        <v>273</v>
      </c>
      <c r="F20" s="64">
        <v>0</v>
      </c>
      <c r="G20" s="157">
        <v>0</v>
      </c>
      <c r="H20" s="65" t="s">
        <v>273</v>
      </c>
      <c r="I20" s="364" t="s">
        <v>273</v>
      </c>
    </row>
    <row r="21" spans="1:9" ht="19.899999999999999" customHeight="1">
      <c r="A21" s="233" t="s">
        <v>921</v>
      </c>
      <c r="B21" s="63" t="s">
        <v>116</v>
      </c>
      <c r="C21" s="333">
        <v>146772017.87</v>
      </c>
      <c r="D21" s="155">
        <v>101888490.70999999</v>
      </c>
      <c r="E21" s="234">
        <v>69.400000000000006</v>
      </c>
      <c r="F21" s="64">
        <v>2505709.7300000191</v>
      </c>
      <c r="G21" s="157">
        <v>2024990.4299999923</v>
      </c>
      <c r="H21" s="65">
        <v>80.8</v>
      </c>
      <c r="I21" s="364">
        <v>2</v>
      </c>
    </row>
    <row r="22" spans="1:9" ht="19.899999999999999" customHeight="1">
      <c r="A22" s="233" t="s">
        <v>922</v>
      </c>
      <c r="B22" s="63" t="s">
        <v>117</v>
      </c>
      <c r="C22" s="333">
        <v>3534196814.4099998</v>
      </c>
      <c r="D22" s="155">
        <v>3459459263.77</v>
      </c>
      <c r="E22" s="234">
        <v>97.9</v>
      </c>
      <c r="F22" s="64">
        <v>3507769777.6599998</v>
      </c>
      <c r="G22" s="157">
        <v>3440115078.1199999</v>
      </c>
      <c r="H22" s="65">
        <v>98.1</v>
      </c>
      <c r="I22" s="364">
        <v>99.4</v>
      </c>
    </row>
    <row r="23" spans="1:9" ht="27">
      <c r="A23" s="233" t="s">
        <v>923</v>
      </c>
      <c r="B23" s="63" t="s">
        <v>118</v>
      </c>
      <c r="C23" s="333">
        <v>397638.69</v>
      </c>
      <c r="D23" s="155">
        <v>342973.17</v>
      </c>
      <c r="E23" s="234">
        <v>86.3</v>
      </c>
      <c r="F23" s="64">
        <v>312567.84999999998</v>
      </c>
      <c r="G23" s="157">
        <v>257850.3</v>
      </c>
      <c r="H23" s="65">
        <v>82.5</v>
      </c>
      <c r="I23" s="364">
        <v>75.2</v>
      </c>
    </row>
    <row r="24" spans="1:9" ht="19.899999999999999" customHeight="1">
      <c r="A24" s="233" t="s">
        <v>924</v>
      </c>
      <c r="B24" s="63" t="s">
        <v>119</v>
      </c>
      <c r="C24" s="333">
        <v>224754183.81</v>
      </c>
      <c r="D24" s="155">
        <v>189971206.88999999</v>
      </c>
      <c r="E24" s="234">
        <v>84.5</v>
      </c>
      <c r="F24" s="64">
        <v>222243528.81</v>
      </c>
      <c r="G24" s="157">
        <v>187460551.88999999</v>
      </c>
      <c r="H24" s="65">
        <v>84.3</v>
      </c>
      <c r="I24" s="364">
        <v>98.7</v>
      </c>
    </row>
    <row r="25" spans="1:9" ht="19.899999999999999" customHeight="1">
      <c r="A25" s="233" t="s">
        <v>925</v>
      </c>
      <c r="B25" s="63" t="s">
        <v>120</v>
      </c>
      <c r="C25" s="333">
        <v>205150978.21000001</v>
      </c>
      <c r="D25" s="155">
        <v>188481369.47</v>
      </c>
      <c r="E25" s="234">
        <v>91.9</v>
      </c>
      <c r="F25" s="64">
        <v>66035324.150000006</v>
      </c>
      <c r="G25" s="157">
        <v>65568589.109999999</v>
      </c>
      <c r="H25" s="65">
        <v>99.3</v>
      </c>
      <c r="I25" s="364">
        <v>34.799999999999997</v>
      </c>
    </row>
    <row r="26" spans="1:9" ht="27">
      <c r="A26" s="233" t="s">
        <v>926</v>
      </c>
      <c r="B26" s="63" t="s">
        <v>121</v>
      </c>
      <c r="C26" s="333">
        <v>20040923.469999999</v>
      </c>
      <c r="D26" s="155">
        <v>15289563.67</v>
      </c>
      <c r="E26" s="234">
        <v>76.3</v>
      </c>
      <c r="F26" s="64">
        <v>476158.66999999806</v>
      </c>
      <c r="G26" s="157">
        <v>452630.6799999997</v>
      </c>
      <c r="H26" s="65">
        <v>95.1</v>
      </c>
      <c r="I26" s="364">
        <v>3</v>
      </c>
    </row>
    <row r="27" spans="1:9" ht="27">
      <c r="A27" s="233" t="s">
        <v>927</v>
      </c>
      <c r="B27" s="63" t="s">
        <v>122</v>
      </c>
      <c r="C27" s="333">
        <v>8881334.7599999998</v>
      </c>
      <c r="D27" s="155">
        <v>6032905.1399999997</v>
      </c>
      <c r="E27" s="234">
        <v>67.900000000000006</v>
      </c>
      <c r="F27" s="64">
        <v>799461.43999999948</v>
      </c>
      <c r="G27" s="157">
        <v>759645</v>
      </c>
      <c r="H27" s="65">
        <v>95</v>
      </c>
      <c r="I27" s="364">
        <v>12.6</v>
      </c>
    </row>
    <row r="28" spans="1:9" ht="40.5">
      <c r="A28" s="233" t="s">
        <v>928</v>
      </c>
      <c r="B28" s="63" t="s">
        <v>123</v>
      </c>
      <c r="C28" s="333">
        <v>19845160</v>
      </c>
      <c r="D28" s="155">
        <v>19800571.73</v>
      </c>
      <c r="E28" s="234">
        <v>99.8</v>
      </c>
      <c r="F28" s="64">
        <v>19684760</v>
      </c>
      <c r="G28" s="157">
        <v>19640379.240000002</v>
      </c>
      <c r="H28" s="65">
        <v>99.8</v>
      </c>
      <c r="I28" s="364">
        <v>99.2</v>
      </c>
    </row>
    <row r="29" spans="1:9" ht="19.899999999999999" customHeight="1">
      <c r="A29" s="235" t="s">
        <v>929</v>
      </c>
      <c r="B29" s="295" t="s">
        <v>124</v>
      </c>
      <c r="C29" s="335">
        <v>39308212.719999999</v>
      </c>
      <c r="D29" s="149">
        <v>31791483.649999999</v>
      </c>
      <c r="E29" s="238">
        <v>80.900000000000006</v>
      </c>
      <c r="F29" s="329">
        <v>720</v>
      </c>
      <c r="G29" s="130">
        <v>0</v>
      </c>
      <c r="H29" s="377">
        <v>0</v>
      </c>
      <c r="I29" s="365">
        <v>0</v>
      </c>
    </row>
    <row r="31" spans="1:9" ht="13.5">
      <c r="A31" s="108" t="s">
        <v>1158</v>
      </c>
      <c r="B31" s="107"/>
      <c r="C31" s="107"/>
      <c r="D31" s="107"/>
      <c r="E31" s="107"/>
      <c r="F31" s="107"/>
      <c r="G31" s="107"/>
      <c r="H31" s="107"/>
      <c r="I31" s="107"/>
    </row>
    <row r="32" spans="1:9">
      <c r="C32" s="85" t="s">
        <v>3</v>
      </c>
    </row>
    <row r="33" spans="3:3">
      <c r="C33" t="s">
        <v>3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94488188976377963" bottom="0.74803149606299213" header="0.31496062992125984" footer="0.31496062992125984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showGridLines="0" workbookViewId="0">
      <selection activeCell="O3" sqref="O3"/>
    </sheetView>
  </sheetViews>
  <sheetFormatPr defaultColWidth="8.85546875" defaultRowHeight="16.5"/>
  <cols>
    <col min="1" max="1" width="5.85546875" style="105" customWidth="1"/>
    <col min="2" max="2" width="25.7109375" style="105" customWidth="1"/>
    <col min="3" max="4" width="10.5703125" style="105" bestFit="1" customWidth="1"/>
    <col min="5" max="5" width="5.42578125" style="105" bestFit="1" customWidth="1"/>
    <col min="6" max="7" width="10.5703125" style="105" bestFit="1" customWidth="1"/>
    <col min="8" max="8" width="5.42578125" style="105" bestFit="1" customWidth="1"/>
    <col min="9" max="9" width="9" style="105" bestFit="1" customWidth="1"/>
    <col min="10" max="16384" width="8.85546875" style="105"/>
  </cols>
  <sheetData>
    <row r="1" spans="1:9" ht="42.75" customHeight="1">
      <c r="A1" s="1847" t="s">
        <v>991</v>
      </c>
      <c r="B1" s="1847"/>
      <c r="C1" s="1847"/>
      <c r="D1" s="1847"/>
      <c r="E1" s="1847"/>
      <c r="F1" s="1847"/>
      <c r="G1" s="1847"/>
      <c r="H1" s="1847"/>
      <c r="I1" s="1847"/>
    </row>
    <row r="3" spans="1:9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234346571.03</v>
      </c>
      <c r="D7" s="158">
        <v>198125422.84999999</v>
      </c>
      <c r="E7" s="232">
        <v>84.5</v>
      </c>
      <c r="F7" s="159">
        <v>217083791.88</v>
      </c>
      <c r="G7" s="158">
        <v>183492700.22</v>
      </c>
      <c r="H7" s="51">
        <v>84.5</v>
      </c>
      <c r="I7" s="363">
        <v>92.6</v>
      </c>
    </row>
    <row r="8" spans="1:9" s="93" customFormat="1" ht="19.899999999999999" customHeight="1">
      <c r="A8" s="233" t="s">
        <v>895</v>
      </c>
      <c r="B8" s="63" t="s">
        <v>99</v>
      </c>
      <c r="C8" s="333">
        <v>446190</v>
      </c>
      <c r="D8" s="155">
        <v>435571.17</v>
      </c>
      <c r="E8" s="234">
        <v>97.6</v>
      </c>
      <c r="F8" s="64">
        <v>426190</v>
      </c>
      <c r="G8" s="157">
        <v>416462.04</v>
      </c>
      <c r="H8" s="65">
        <v>97.7</v>
      </c>
      <c r="I8" s="364">
        <v>95.6</v>
      </c>
    </row>
    <row r="9" spans="1:9" ht="19.899999999999999" customHeight="1">
      <c r="A9" s="233" t="s">
        <v>899</v>
      </c>
      <c r="B9" s="63" t="s">
        <v>102</v>
      </c>
      <c r="C9" s="333">
        <v>171500</v>
      </c>
      <c r="D9" s="155">
        <v>166859.91</v>
      </c>
      <c r="E9" s="234">
        <v>97.3</v>
      </c>
      <c r="F9" s="64">
        <v>171500</v>
      </c>
      <c r="G9" s="157">
        <v>166859.91</v>
      </c>
      <c r="H9" s="65">
        <v>97.3</v>
      </c>
      <c r="I9" s="364">
        <v>100</v>
      </c>
    </row>
    <row r="10" spans="1:9" ht="19.899999999999999" customHeight="1">
      <c r="A10" s="233" t="s">
        <v>903</v>
      </c>
      <c r="B10" s="63" t="s">
        <v>104</v>
      </c>
      <c r="C10" s="333">
        <v>7212453.1900000004</v>
      </c>
      <c r="D10" s="155">
        <v>6520953.4299999997</v>
      </c>
      <c r="E10" s="234">
        <v>90.4</v>
      </c>
      <c r="F10" s="64">
        <v>4980362.5</v>
      </c>
      <c r="G10" s="157">
        <v>4386062.3099999996</v>
      </c>
      <c r="H10" s="65">
        <v>88.1</v>
      </c>
      <c r="I10" s="364">
        <v>67.3</v>
      </c>
    </row>
    <row r="11" spans="1:9" ht="19.899999999999999" customHeight="1">
      <c r="A11" s="233" t="s">
        <v>905</v>
      </c>
      <c r="B11" s="63" t="s">
        <v>106</v>
      </c>
      <c r="C11" s="333">
        <v>4655597.6399999997</v>
      </c>
      <c r="D11" s="155">
        <v>3744558.83</v>
      </c>
      <c r="E11" s="234">
        <v>80.400000000000006</v>
      </c>
      <c r="F11" s="64">
        <v>2703594.1399999997</v>
      </c>
      <c r="G11" s="157">
        <v>2152155.33</v>
      </c>
      <c r="H11" s="65">
        <v>79.599999999999994</v>
      </c>
      <c r="I11" s="364">
        <v>57.5</v>
      </c>
    </row>
    <row r="12" spans="1:9" ht="19.899999999999999" customHeight="1">
      <c r="A12" s="233" t="s">
        <v>906</v>
      </c>
      <c r="B12" s="63" t="s">
        <v>107</v>
      </c>
      <c r="C12" s="333">
        <v>12636972.460000001</v>
      </c>
      <c r="D12" s="155">
        <v>12234839.630000001</v>
      </c>
      <c r="E12" s="234">
        <v>96.8</v>
      </c>
      <c r="F12" s="64">
        <v>12636972.460000001</v>
      </c>
      <c r="G12" s="157">
        <v>12234839.630000001</v>
      </c>
      <c r="H12" s="65">
        <v>96.8</v>
      </c>
      <c r="I12" s="364">
        <v>100</v>
      </c>
    </row>
    <row r="13" spans="1:9" ht="19.899999999999999" customHeight="1">
      <c r="A13" s="233" t="s">
        <v>909</v>
      </c>
      <c r="B13" s="63" t="s">
        <v>109</v>
      </c>
      <c r="C13" s="333">
        <v>15338145.65</v>
      </c>
      <c r="D13" s="155">
        <v>14538915.98</v>
      </c>
      <c r="E13" s="234">
        <v>94.8</v>
      </c>
      <c r="F13" s="64">
        <v>15253045.65</v>
      </c>
      <c r="G13" s="157">
        <v>14466309.08</v>
      </c>
      <c r="H13" s="65">
        <v>94.8</v>
      </c>
      <c r="I13" s="364">
        <v>99.5</v>
      </c>
    </row>
    <row r="14" spans="1:9" ht="19.899999999999999" customHeight="1">
      <c r="A14" s="233" t="s">
        <v>911</v>
      </c>
      <c r="B14" s="63" t="s">
        <v>111</v>
      </c>
      <c r="C14" s="333">
        <v>827209.98</v>
      </c>
      <c r="D14" s="155">
        <v>760354.05</v>
      </c>
      <c r="E14" s="234">
        <v>91.9</v>
      </c>
      <c r="F14" s="64">
        <v>697209.98</v>
      </c>
      <c r="G14" s="157">
        <v>631676.38</v>
      </c>
      <c r="H14" s="65">
        <v>90.6</v>
      </c>
      <c r="I14" s="364">
        <v>83.1</v>
      </c>
    </row>
    <row r="15" spans="1:9" ht="27">
      <c r="A15" s="233" t="s">
        <v>914</v>
      </c>
      <c r="B15" s="63" t="s">
        <v>112</v>
      </c>
      <c r="C15" s="333">
        <v>489507.26</v>
      </c>
      <c r="D15" s="155">
        <v>261388.36</v>
      </c>
      <c r="E15" s="234">
        <v>53.4</v>
      </c>
      <c r="F15" s="64">
        <v>163346</v>
      </c>
      <c r="G15" s="157">
        <v>117388.35999999999</v>
      </c>
      <c r="H15" s="65">
        <v>71.900000000000006</v>
      </c>
      <c r="I15" s="364">
        <v>44.9</v>
      </c>
    </row>
    <row r="16" spans="1:9" ht="19.899999999999999" customHeight="1">
      <c r="A16" s="233" t="s">
        <v>919</v>
      </c>
      <c r="B16" s="63" t="s">
        <v>115</v>
      </c>
      <c r="C16" s="333">
        <v>156892583.96000001</v>
      </c>
      <c r="D16" s="155">
        <v>126635990.27</v>
      </c>
      <c r="E16" s="234">
        <v>80.7</v>
      </c>
      <c r="F16" s="64">
        <v>153481502.96000001</v>
      </c>
      <c r="G16" s="157">
        <v>123394004.95</v>
      </c>
      <c r="H16" s="65">
        <v>80.400000000000006</v>
      </c>
      <c r="I16" s="364">
        <v>97.4</v>
      </c>
    </row>
    <row r="17" spans="1:9" ht="19.899999999999999" customHeight="1">
      <c r="A17" s="233" t="s">
        <v>921</v>
      </c>
      <c r="B17" s="63" t="s">
        <v>116</v>
      </c>
      <c r="C17" s="333">
        <v>15523988</v>
      </c>
      <c r="D17" s="155">
        <v>13395258.199999999</v>
      </c>
      <c r="E17" s="234">
        <v>86.3</v>
      </c>
      <c r="F17" s="64">
        <v>11937663</v>
      </c>
      <c r="G17" s="157">
        <v>11495233.199999999</v>
      </c>
      <c r="H17" s="65">
        <v>96.3</v>
      </c>
      <c r="I17" s="364">
        <v>85.8</v>
      </c>
    </row>
    <row r="18" spans="1:9" ht="19.899999999999999" customHeight="1">
      <c r="A18" s="233" t="s">
        <v>922</v>
      </c>
      <c r="B18" s="63" t="s">
        <v>117</v>
      </c>
      <c r="C18" s="333">
        <v>4101993.5</v>
      </c>
      <c r="D18" s="155">
        <v>4005313.55</v>
      </c>
      <c r="E18" s="234">
        <v>97.6</v>
      </c>
      <c r="F18" s="64">
        <v>4101993.5</v>
      </c>
      <c r="G18" s="157">
        <v>4005313.55</v>
      </c>
      <c r="H18" s="65">
        <v>97.6</v>
      </c>
      <c r="I18" s="364">
        <v>100</v>
      </c>
    </row>
    <row r="19" spans="1:9" ht="27">
      <c r="A19" s="233" t="s">
        <v>923</v>
      </c>
      <c r="B19" s="63" t="s">
        <v>118</v>
      </c>
      <c r="C19" s="333">
        <v>9264587.5399999991</v>
      </c>
      <c r="D19" s="155">
        <v>9047664.3699999992</v>
      </c>
      <c r="E19" s="234">
        <v>97.7</v>
      </c>
      <c r="F19" s="64">
        <v>6265596.919999999</v>
      </c>
      <c r="G19" s="157">
        <v>6062592.8199999994</v>
      </c>
      <c r="H19" s="65">
        <v>96.8</v>
      </c>
      <c r="I19" s="364">
        <v>67</v>
      </c>
    </row>
    <row r="20" spans="1:9" ht="19.899999999999999" customHeight="1">
      <c r="A20" s="233" t="s">
        <v>924</v>
      </c>
      <c r="B20" s="63" t="s">
        <v>119</v>
      </c>
      <c r="C20" s="333">
        <v>2590759</v>
      </c>
      <c r="D20" s="155">
        <v>2328507.2400000002</v>
      </c>
      <c r="E20" s="234">
        <v>89.9</v>
      </c>
      <c r="F20" s="64">
        <v>2590759</v>
      </c>
      <c r="G20" s="157">
        <v>2328507.2400000002</v>
      </c>
      <c r="H20" s="65">
        <v>89.9</v>
      </c>
      <c r="I20" s="364">
        <v>100</v>
      </c>
    </row>
    <row r="21" spans="1:9" ht="19.899999999999999" customHeight="1">
      <c r="A21" s="233" t="s">
        <v>925</v>
      </c>
      <c r="B21" s="63" t="s">
        <v>120</v>
      </c>
      <c r="C21" s="333">
        <v>140500</v>
      </c>
      <c r="D21" s="155">
        <v>141500</v>
      </c>
      <c r="E21" s="234">
        <v>100.7</v>
      </c>
      <c r="F21" s="64">
        <v>140500</v>
      </c>
      <c r="G21" s="157">
        <v>141500</v>
      </c>
      <c r="H21" s="65">
        <v>100.7</v>
      </c>
      <c r="I21" s="364">
        <v>100</v>
      </c>
    </row>
    <row r="22" spans="1:9" ht="27">
      <c r="A22" s="233" t="s">
        <v>926</v>
      </c>
      <c r="B22" s="63" t="s">
        <v>121</v>
      </c>
      <c r="C22" s="333">
        <v>2499135.5099999998</v>
      </c>
      <c r="D22" s="155">
        <v>2364991.7799999998</v>
      </c>
      <c r="E22" s="234">
        <v>94.6</v>
      </c>
      <c r="F22" s="64">
        <v>804154.26999999979</v>
      </c>
      <c r="G22" s="157">
        <v>832556.5399999998</v>
      </c>
      <c r="H22" s="65">
        <v>103.5</v>
      </c>
      <c r="I22" s="364">
        <v>35.200000000000003</v>
      </c>
    </row>
    <row r="23" spans="1:9" ht="27">
      <c r="A23" s="233" t="s">
        <v>927</v>
      </c>
      <c r="B23" s="63" t="s">
        <v>122</v>
      </c>
      <c r="C23" s="333">
        <v>1330029</v>
      </c>
      <c r="D23" s="155">
        <v>1304356.08</v>
      </c>
      <c r="E23" s="234">
        <v>98.1</v>
      </c>
      <c r="F23" s="64">
        <v>729401.5</v>
      </c>
      <c r="G23" s="157">
        <v>661238.88000000012</v>
      </c>
      <c r="H23" s="65">
        <v>90.7</v>
      </c>
      <c r="I23" s="364">
        <v>50.7</v>
      </c>
    </row>
    <row r="24" spans="1:9" ht="19.899999999999999" customHeight="1">
      <c r="A24" s="235" t="s">
        <v>929</v>
      </c>
      <c r="B24" s="295" t="s">
        <v>124</v>
      </c>
      <c r="C24" s="335">
        <v>225418.34</v>
      </c>
      <c r="D24" s="149">
        <v>238400</v>
      </c>
      <c r="E24" s="238">
        <v>105.8</v>
      </c>
      <c r="F24" s="329">
        <v>0</v>
      </c>
      <c r="G24" s="130">
        <v>0</v>
      </c>
      <c r="H24" s="384" t="s">
        <v>913</v>
      </c>
      <c r="I24" s="365">
        <v>0</v>
      </c>
    </row>
    <row r="26" spans="1:9">
      <c r="A26" s="110" t="s">
        <v>1158</v>
      </c>
      <c r="B26" s="109"/>
      <c r="C26" s="109"/>
      <c r="D26" s="109"/>
      <c r="E26" s="109"/>
      <c r="F26" s="109"/>
      <c r="G26" s="109"/>
      <c r="H26" s="109"/>
      <c r="I26" s="109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showGridLines="0" zoomScaleNormal="100" workbookViewId="0">
      <selection activeCell="O3" sqref="O3"/>
    </sheetView>
  </sheetViews>
  <sheetFormatPr defaultRowHeight="12.75"/>
  <cols>
    <col min="2" max="2" width="25.7109375" customWidth="1"/>
    <col min="3" max="5" width="13.42578125" bestFit="1" customWidth="1"/>
    <col min="6" max="6" width="7.140625" bestFit="1" customWidth="1"/>
    <col min="7" max="7" width="7" bestFit="1" customWidth="1"/>
    <col min="8" max="8" width="7.42578125" bestFit="1" customWidth="1"/>
  </cols>
  <sheetData>
    <row r="1" spans="1:8">
      <c r="A1" s="1889" t="s">
        <v>359</v>
      </c>
      <c r="B1" s="1889"/>
      <c r="C1" s="1889"/>
      <c r="D1" s="1889"/>
      <c r="E1" s="1889"/>
      <c r="F1" s="1889"/>
      <c r="G1" s="1889"/>
      <c r="H1" s="1889"/>
    </row>
    <row r="2" spans="1:8" ht="13.5">
      <c r="A2" s="181"/>
      <c r="B2" s="179"/>
      <c r="C2" s="180"/>
      <c r="D2" s="180"/>
      <c r="E2" s="180"/>
      <c r="F2" s="180"/>
      <c r="G2" s="180"/>
      <c r="H2" s="180"/>
    </row>
    <row r="3" spans="1:8" ht="13.15" customHeight="1">
      <c r="A3" s="1890" t="s">
        <v>881</v>
      </c>
      <c r="B3" s="1892" t="s">
        <v>68</v>
      </c>
      <c r="C3" s="581" t="s">
        <v>71</v>
      </c>
      <c r="D3" s="579" t="s">
        <v>70</v>
      </c>
      <c r="E3" s="412" t="s">
        <v>71</v>
      </c>
      <c r="F3" s="406" t="s">
        <v>265</v>
      </c>
      <c r="G3" s="1894" t="s">
        <v>22</v>
      </c>
      <c r="H3" s="386" t="s">
        <v>882</v>
      </c>
    </row>
    <row r="4" spans="1:8" ht="13.5">
      <c r="A4" s="1891"/>
      <c r="B4" s="1893"/>
      <c r="C4" s="582">
        <v>2020</v>
      </c>
      <c r="D4" s="580">
        <v>2021</v>
      </c>
      <c r="E4" s="413">
        <v>2021</v>
      </c>
      <c r="F4" s="407" t="s">
        <v>883</v>
      </c>
      <c r="G4" s="1895"/>
      <c r="H4" s="397" t="s">
        <v>884</v>
      </c>
    </row>
    <row r="5" spans="1:8" ht="13.5">
      <c r="A5" s="1891"/>
      <c r="B5" s="1893"/>
      <c r="C5" s="1896" t="s">
        <v>4</v>
      </c>
      <c r="D5" s="1897"/>
      <c r="E5" s="1898"/>
      <c r="F5" s="1897" t="s">
        <v>5</v>
      </c>
      <c r="G5" s="1897"/>
      <c r="H5" s="1898"/>
    </row>
    <row r="6" spans="1:8">
      <c r="A6" s="398" t="s">
        <v>887</v>
      </c>
      <c r="B6" s="403" t="s">
        <v>888</v>
      </c>
      <c r="C6" s="428" t="s">
        <v>889</v>
      </c>
      <c r="D6" s="399" t="s">
        <v>890</v>
      </c>
      <c r="E6" s="402" t="s">
        <v>891</v>
      </c>
      <c r="F6" s="399" t="s">
        <v>892</v>
      </c>
      <c r="G6" s="400" t="s">
        <v>893</v>
      </c>
      <c r="H6" s="402" t="s">
        <v>894</v>
      </c>
    </row>
    <row r="7" spans="1:8" ht="19.899999999999999" customHeight="1">
      <c r="A7" s="387"/>
      <c r="B7" s="1565" t="s">
        <v>933</v>
      </c>
      <c r="C7" s="583">
        <v>299240623802.62</v>
      </c>
      <c r="D7" s="182">
        <v>343995521409.92999</v>
      </c>
      <c r="E7" s="415">
        <v>315967267602.63</v>
      </c>
      <c r="F7" s="408">
        <v>91.9</v>
      </c>
      <c r="G7" s="184">
        <v>100</v>
      </c>
      <c r="H7" s="388">
        <v>105.6</v>
      </c>
    </row>
    <row r="8" spans="1:8" ht="19.899999999999999" customHeight="1">
      <c r="A8" s="389" t="s">
        <v>895</v>
      </c>
      <c r="B8" s="404" t="s">
        <v>99</v>
      </c>
      <c r="C8" s="584">
        <v>3812370598.6900001</v>
      </c>
      <c r="D8" s="185">
        <v>5492376103.0100002</v>
      </c>
      <c r="E8" s="417">
        <v>4113008892.1300001</v>
      </c>
      <c r="F8" s="409">
        <v>74.900000000000006</v>
      </c>
      <c r="G8" s="187">
        <v>1.3</v>
      </c>
      <c r="H8" s="390">
        <v>107.9</v>
      </c>
    </row>
    <row r="9" spans="1:8" ht="19.899999999999999" customHeight="1">
      <c r="A9" s="389" t="s">
        <v>896</v>
      </c>
      <c r="B9" s="404" t="s">
        <v>100</v>
      </c>
      <c r="C9" s="584">
        <v>127420872.45</v>
      </c>
      <c r="D9" s="185">
        <v>144538723.47</v>
      </c>
      <c r="E9" s="417">
        <v>127559952.78</v>
      </c>
      <c r="F9" s="409">
        <v>88.3</v>
      </c>
      <c r="G9" s="187">
        <v>0</v>
      </c>
      <c r="H9" s="390">
        <v>100.1</v>
      </c>
    </row>
    <row r="10" spans="1:8" ht="19.899999999999999" customHeight="1">
      <c r="A10" s="389" t="s">
        <v>897</v>
      </c>
      <c r="B10" s="404" t="s">
        <v>101</v>
      </c>
      <c r="C10" s="584">
        <v>18477906.829999998</v>
      </c>
      <c r="D10" s="185">
        <v>21767804.940000001</v>
      </c>
      <c r="E10" s="417">
        <v>20463681.420000002</v>
      </c>
      <c r="F10" s="409">
        <v>94</v>
      </c>
      <c r="G10" s="187">
        <v>0</v>
      </c>
      <c r="H10" s="390">
        <v>110.7</v>
      </c>
    </row>
    <row r="11" spans="1:8" ht="19.899999999999999" customHeight="1">
      <c r="A11" s="389" t="s">
        <v>898</v>
      </c>
      <c r="B11" s="404" t="s">
        <v>126</v>
      </c>
      <c r="C11" s="584">
        <v>6785558.7300000004</v>
      </c>
      <c r="D11" s="185">
        <v>1622534</v>
      </c>
      <c r="E11" s="417">
        <v>1389985.5</v>
      </c>
      <c r="F11" s="409">
        <v>85.7</v>
      </c>
      <c r="G11" s="187">
        <v>0</v>
      </c>
      <c r="H11" s="390">
        <v>20.5</v>
      </c>
    </row>
    <row r="12" spans="1:8" s="24" customFormat="1" ht="19.899999999999999" customHeight="1">
      <c r="A12" s="389" t="s">
        <v>899</v>
      </c>
      <c r="B12" s="404" t="s">
        <v>102</v>
      </c>
      <c r="C12" s="584">
        <v>549861723.62</v>
      </c>
      <c r="D12" s="185">
        <v>394475012.83999997</v>
      </c>
      <c r="E12" s="417">
        <v>327787814.73000002</v>
      </c>
      <c r="F12" s="409">
        <v>83.1</v>
      </c>
      <c r="G12" s="187">
        <v>0.1</v>
      </c>
      <c r="H12" s="390">
        <v>59.6</v>
      </c>
    </row>
    <row r="13" spans="1:8" ht="27">
      <c r="A13" s="389" t="s">
        <v>900</v>
      </c>
      <c r="B13" s="404" t="s">
        <v>103</v>
      </c>
      <c r="C13" s="584">
        <v>677102724.23000002</v>
      </c>
      <c r="D13" s="185">
        <v>892442916.84000003</v>
      </c>
      <c r="E13" s="417">
        <v>671655834.13</v>
      </c>
      <c r="F13" s="409">
        <v>75.3</v>
      </c>
      <c r="G13" s="187">
        <v>0.2</v>
      </c>
      <c r="H13" s="390">
        <v>99.2</v>
      </c>
    </row>
    <row r="14" spans="1:8" ht="19.899999999999999" customHeight="1">
      <c r="A14" s="389" t="s">
        <v>901</v>
      </c>
      <c r="B14" s="404" t="s">
        <v>216</v>
      </c>
      <c r="C14" s="584">
        <v>28109278.789999999</v>
      </c>
      <c r="D14" s="185">
        <v>36977036.170000002</v>
      </c>
      <c r="E14" s="417">
        <v>29761809.199999999</v>
      </c>
      <c r="F14" s="409">
        <v>80.5</v>
      </c>
      <c r="G14" s="187">
        <v>0</v>
      </c>
      <c r="H14" s="390">
        <v>105.9</v>
      </c>
    </row>
    <row r="15" spans="1:8" ht="19.899999999999999" customHeight="1">
      <c r="A15" s="389" t="s">
        <v>902</v>
      </c>
      <c r="B15" s="404" t="s">
        <v>354</v>
      </c>
      <c r="C15" s="584">
        <v>1819772.29</v>
      </c>
      <c r="D15" s="185">
        <v>1930809.49</v>
      </c>
      <c r="E15" s="417">
        <v>1892605.4</v>
      </c>
      <c r="F15" s="409">
        <v>98</v>
      </c>
      <c r="G15" s="187">
        <v>0</v>
      </c>
      <c r="H15" s="390">
        <v>104</v>
      </c>
    </row>
    <row r="16" spans="1:8" ht="19.899999999999999" customHeight="1">
      <c r="A16" s="389" t="s">
        <v>903</v>
      </c>
      <c r="B16" s="404" t="s">
        <v>104</v>
      </c>
      <c r="C16" s="584">
        <v>40994554481</v>
      </c>
      <c r="D16" s="185">
        <v>49359077733.949997</v>
      </c>
      <c r="E16" s="417">
        <v>43270572249.760002</v>
      </c>
      <c r="F16" s="409">
        <v>87.7</v>
      </c>
      <c r="G16" s="187">
        <v>13.7</v>
      </c>
      <c r="H16" s="390">
        <v>105.6</v>
      </c>
    </row>
    <row r="17" spans="1:8" ht="19.899999999999999" customHeight="1">
      <c r="A17" s="389" t="s">
        <v>904</v>
      </c>
      <c r="B17" s="404" t="s">
        <v>105</v>
      </c>
      <c r="C17" s="584">
        <v>670122481.84000003</v>
      </c>
      <c r="D17" s="185">
        <v>923970184.34000003</v>
      </c>
      <c r="E17" s="417">
        <v>694537929.86000001</v>
      </c>
      <c r="F17" s="409">
        <v>75.2</v>
      </c>
      <c r="G17" s="187">
        <v>0.2</v>
      </c>
      <c r="H17" s="390">
        <v>103.6</v>
      </c>
    </row>
    <row r="18" spans="1:8" ht="19.899999999999999" customHeight="1">
      <c r="A18" s="389" t="s">
        <v>905</v>
      </c>
      <c r="B18" s="404" t="s">
        <v>106</v>
      </c>
      <c r="C18" s="584">
        <v>7834985280.9300003</v>
      </c>
      <c r="D18" s="185">
        <v>11089242128.92</v>
      </c>
      <c r="E18" s="417">
        <v>9483180215.5499992</v>
      </c>
      <c r="F18" s="409">
        <v>85.5</v>
      </c>
      <c r="G18" s="187">
        <v>3</v>
      </c>
      <c r="H18" s="390">
        <v>121</v>
      </c>
    </row>
    <row r="19" spans="1:8" ht="19.899999999999999" customHeight="1">
      <c r="A19" s="389" t="s">
        <v>906</v>
      </c>
      <c r="B19" s="404" t="s">
        <v>107</v>
      </c>
      <c r="C19" s="584">
        <v>1951183135.6099999</v>
      </c>
      <c r="D19" s="185">
        <v>2731693377.0799999</v>
      </c>
      <c r="E19" s="417">
        <v>2359257468.6900001</v>
      </c>
      <c r="F19" s="409">
        <v>86.4</v>
      </c>
      <c r="G19" s="187">
        <v>0.7</v>
      </c>
      <c r="H19" s="390">
        <v>120.9</v>
      </c>
    </row>
    <row r="20" spans="1:8" ht="19.899999999999999" customHeight="1">
      <c r="A20" s="389" t="s">
        <v>907</v>
      </c>
      <c r="B20" s="404" t="s">
        <v>108</v>
      </c>
      <c r="C20" s="584">
        <v>236700860.11000001</v>
      </c>
      <c r="D20" s="185">
        <v>234479937.25999999</v>
      </c>
      <c r="E20" s="417">
        <v>171977100.75</v>
      </c>
      <c r="F20" s="409">
        <v>73.3</v>
      </c>
      <c r="G20" s="187">
        <v>0.1</v>
      </c>
      <c r="H20" s="390">
        <v>72.7</v>
      </c>
    </row>
    <row r="21" spans="1:8" ht="19.899999999999999" customHeight="1">
      <c r="A21" s="389" t="s">
        <v>908</v>
      </c>
      <c r="B21" s="404" t="s">
        <v>217</v>
      </c>
      <c r="C21" s="584">
        <v>58017837.229999997</v>
      </c>
      <c r="D21" s="185">
        <v>75411977.510000005</v>
      </c>
      <c r="E21" s="417">
        <v>63892358.390000001</v>
      </c>
      <c r="F21" s="409">
        <v>84.7</v>
      </c>
      <c r="G21" s="187">
        <v>0</v>
      </c>
      <c r="H21" s="390">
        <v>110.1</v>
      </c>
    </row>
    <row r="22" spans="1:8" ht="19.899999999999999" customHeight="1">
      <c r="A22" s="389" t="s">
        <v>909</v>
      </c>
      <c r="B22" s="404" t="s">
        <v>109</v>
      </c>
      <c r="C22" s="584">
        <v>22784753374.810001</v>
      </c>
      <c r="D22" s="185">
        <v>26932716506.419998</v>
      </c>
      <c r="E22" s="417">
        <v>24856693702.360001</v>
      </c>
      <c r="F22" s="409">
        <v>92.3</v>
      </c>
      <c r="G22" s="187">
        <v>7.9</v>
      </c>
      <c r="H22" s="390">
        <v>109.1</v>
      </c>
    </row>
    <row r="23" spans="1:8" ht="40.5">
      <c r="A23" s="389" t="s">
        <v>910</v>
      </c>
      <c r="B23" s="404" t="s">
        <v>110</v>
      </c>
      <c r="C23" s="584">
        <v>269284366.60000002</v>
      </c>
      <c r="D23" s="185">
        <v>12204963.4</v>
      </c>
      <c r="E23" s="417">
        <v>11788909.98</v>
      </c>
      <c r="F23" s="409">
        <v>96.6</v>
      </c>
      <c r="G23" s="187">
        <v>0</v>
      </c>
      <c r="H23" s="390">
        <v>4.4000000000000004</v>
      </c>
    </row>
    <row r="24" spans="1:8" ht="19.899999999999999" customHeight="1">
      <c r="A24" s="389" t="s">
        <v>911</v>
      </c>
      <c r="B24" s="404" t="s">
        <v>111</v>
      </c>
      <c r="C24" s="584">
        <v>33710239.210000001</v>
      </c>
      <c r="D24" s="185">
        <v>41471923</v>
      </c>
      <c r="E24" s="417">
        <v>38449843.719999999</v>
      </c>
      <c r="F24" s="409">
        <v>92.7</v>
      </c>
      <c r="G24" s="187">
        <v>0</v>
      </c>
      <c r="H24" s="390">
        <v>114.1</v>
      </c>
    </row>
    <row r="25" spans="1:8" ht="19.899999999999999" customHeight="1">
      <c r="A25" s="389" t="s">
        <v>912</v>
      </c>
      <c r="B25" s="404" t="s">
        <v>355</v>
      </c>
      <c r="C25" s="584">
        <v>69377.83</v>
      </c>
      <c r="D25" s="185">
        <v>75400</v>
      </c>
      <c r="E25" s="417">
        <v>67799.48</v>
      </c>
      <c r="F25" s="409">
        <v>89.9</v>
      </c>
      <c r="G25" s="187">
        <v>0</v>
      </c>
      <c r="H25" s="390">
        <v>97.7</v>
      </c>
    </row>
    <row r="26" spans="1:8" ht="27">
      <c r="A26" s="389" t="s">
        <v>914</v>
      </c>
      <c r="B26" s="404" t="s">
        <v>112</v>
      </c>
      <c r="C26" s="584">
        <v>5579156303.75</v>
      </c>
      <c r="D26" s="185">
        <v>5909016042.9300003</v>
      </c>
      <c r="E26" s="417">
        <v>5524481158.6700001</v>
      </c>
      <c r="F26" s="409">
        <v>93.5</v>
      </c>
      <c r="G26" s="187">
        <v>1.7</v>
      </c>
      <c r="H26" s="390">
        <v>99</v>
      </c>
    </row>
    <row r="27" spans="1:8" ht="19.899999999999999" customHeight="1">
      <c r="A27" s="389" t="s">
        <v>915</v>
      </c>
      <c r="B27" s="404" t="s">
        <v>113</v>
      </c>
      <c r="C27" s="584">
        <v>99855010.140000001</v>
      </c>
      <c r="D27" s="185">
        <v>101069648.77</v>
      </c>
      <c r="E27" s="417">
        <v>100086194.59</v>
      </c>
      <c r="F27" s="409">
        <v>99</v>
      </c>
      <c r="G27" s="187">
        <v>0</v>
      </c>
      <c r="H27" s="390">
        <v>100.2</v>
      </c>
    </row>
    <row r="28" spans="1:8" ht="54">
      <c r="A28" s="389" t="s">
        <v>916</v>
      </c>
      <c r="B28" s="404" t="s">
        <v>356</v>
      </c>
      <c r="C28" s="584">
        <v>15377901.619999999</v>
      </c>
      <c r="D28" s="185">
        <v>10589788.4</v>
      </c>
      <c r="E28" s="417">
        <v>9624637.0099999998</v>
      </c>
      <c r="F28" s="409">
        <v>90.9</v>
      </c>
      <c r="G28" s="187">
        <v>0</v>
      </c>
      <c r="H28" s="390">
        <v>62.6</v>
      </c>
    </row>
    <row r="29" spans="1:8" ht="19.899999999999999" customHeight="1">
      <c r="A29" s="389" t="s">
        <v>917</v>
      </c>
      <c r="B29" s="404" t="s">
        <v>357</v>
      </c>
      <c r="C29" s="584">
        <v>1670589149.76</v>
      </c>
      <c r="D29" s="185">
        <v>1871597659.96</v>
      </c>
      <c r="E29" s="417">
        <v>1230431537.22</v>
      </c>
      <c r="F29" s="409">
        <v>65.7</v>
      </c>
      <c r="G29" s="187">
        <v>0.4</v>
      </c>
      <c r="H29" s="390">
        <v>73.7</v>
      </c>
    </row>
    <row r="30" spans="1:8" ht="19.899999999999999" customHeight="1">
      <c r="A30" s="389" t="s">
        <v>918</v>
      </c>
      <c r="B30" s="404" t="s">
        <v>114</v>
      </c>
      <c r="C30" s="584">
        <v>3254971199.4699998</v>
      </c>
      <c r="D30" s="185">
        <v>4957811174.96</v>
      </c>
      <c r="E30" s="417">
        <v>3329880677.3299999</v>
      </c>
      <c r="F30" s="409">
        <v>67.2</v>
      </c>
      <c r="G30" s="187">
        <v>1.1000000000000001</v>
      </c>
      <c r="H30" s="390">
        <v>102.3</v>
      </c>
    </row>
    <row r="31" spans="1:8" ht="19.899999999999999" customHeight="1">
      <c r="A31" s="389" t="s">
        <v>919</v>
      </c>
      <c r="B31" s="404" t="s">
        <v>115</v>
      </c>
      <c r="C31" s="584">
        <v>80120081399.649994</v>
      </c>
      <c r="D31" s="185">
        <v>91559277841.850006</v>
      </c>
      <c r="E31" s="417">
        <v>87374515422.389999</v>
      </c>
      <c r="F31" s="409">
        <v>95.4</v>
      </c>
      <c r="G31" s="187">
        <v>27.7</v>
      </c>
      <c r="H31" s="390">
        <v>109.1</v>
      </c>
    </row>
    <row r="32" spans="1:8" ht="19.899999999999999" customHeight="1">
      <c r="A32" s="389" t="s">
        <v>920</v>
      </c>
      <c r="B32" s="404" t="s">
        <v>358</v>
      </c>
      <c r="C32" s="584">
        <v>0</v>
      </c>
      <c r="D32" s="185">
        <v>0</v>
      </c>
      <c r="E32" s="417">
        <v>0</v>
      </c>
      <c r="F32" s="410" t="s">
        <v>913</v>
      </c>
      <c r="G32" s="187">
        <v>0</v>
      </c>
      <c r="H32" s="391" t="s">
        <v>913</v>
      </c>
    </row>
    <row r="33" spans="1:8" ht="19.899999999999999" customHeight="1">
      <c r="A33" s="389" t="s">
        <v>921</v>
      </c>
      <c r="B33" s="404" t="s">
        <v>116</v>
      </c>
      <c r="C33" s="584">
        <v>5796815367.8000002</v>
      </c>
      <c r="D33" s="185">
        <v>7381175487.0699997</v>
      </c>
      <c r="E33" s="417">
        <v>6267397535.4200001</v>
      </c>
      <c r="F33" s="409">
        <v>84.9</v>
      </c>
      <c r="G33" s="187">
        <v>2</v>
      </c>
      <c r="H33" s="390">
        <v>108.1</v>
      </c>
    </row>
    <row r="34" spans="1:8" ht="19.899999999999999" customHeight="1">
      <c r="A34" s="389" t="s">
        <v>922</v>
      </c>
      <c r="B34" s="404" t="s">
        <v>117</v>
      </c>
      <c r="C34" s="584">
        <v>15780827874.08</v>
      </c>
      <c r="D34" s="185">
        <v>17218419179.630001</v>
      </c>
      <c r="E34" s="417">
        <v>16332454416.940001</v>
      </c>
      <c r="F34" s="409">
        <v>94.9</v>
      </c>
      <c r="G34" s="187">
        <v>5.2</v>
      </c>
      <c r="H34" s="390">
        <v>103.5</v>
      </c>
    </row>
    <row r="35" spans="1:8" ht="27">
      <c r="A35" s="389" t="s">
        <v>923</v>
      </c>
      <c r="B35" s="404" t="s">
        <v>118</v>
      </c>
      <c r="C35" s="584">
        <v>3465924809.6599998</v>
      </c>
      <c r="D35" s="185">
        <v>3720336197.1900001</v>
      </c>
      <c r="E35" s="417">
        <v>3291583171.8299999</v>
      </c>
      <c r="F35" s="409">
        <v>88.5</v>
      </c>
      <c r="G35" s="187">
        <v>1</v>
      </c>
      <c r="H35" s="390">
        <v>95</v>
      </c>
    </row>
    <row r="36" spans="1:8" ht="19.899999999999999" customHeight="1">
      <c r="A36" s="389" t="s">
        <v>924</v>
      </c>
      <c r="B36" s="404" t="s">
        <v>119</v>
      </c>
      <c r="C36" s="584">
        <v>6287956024</v>
      </c>
      <c r="D36" s="185">
        <v>7046240546.0900002</v>
      </c>
      <c r="E36" s="417">
        <v>6688833570.9099998</v>
      </c>
      <c r="F36" s="409">
        <v>94.9</v>
      </c>
      <c r="G36" s="187">
        <v>2.1</v>
      </c>
      <c r="H36" s="390">
        <v>106.4</v>
      </c>
    </row>
    <row r="37" spans="1:8" ht="19.899999999999999" customHeight="1">
      <c r="A37" s="389" t="s">
        <v>925</v>
      </c>
      <c r="B37" s="404" t="s">
        <v>120</v>
      </c>
      <c r="C37" s="584">
        <v>60270739863.989998</v>
      </c>
      <c r="D37" s="185">
        <v>60315216124.239998</v>
      </c>
      <c r="E37" s="417">
        <v>59653457749.800003</v>
      </c>
      <c r="F37" s="409">
        <v>98.9</v>
      </c>
      <c r="G37" s="187">
        <v>18.899999999999999</v>
      </c>
      <c r="H37" s="390">
        <v>99</v>
      </c>
    </row>
    <row r="38" spans="1:8" ht="27">
      <c r="A38" s="389" t="s">
        <v>926</v>
      </c>
      <c r="B38" s="404" t="s">
        <v>121</v>
      </c>
      <c r="C38" s="584">
        <v>21512170085.310001</v>
      </c>
      <c r="D38" s="185">
        <v>27716924945.189999</v>
      </c>
      <c r="E38" s="417">
        <v>23673728854.360001</v>
      </c>
      <c r="F38" s="409">
        <v>85.4</v>
      </c>
      <c r="G38" s="187">
        <v>7.5</v>
      </c>
      <c r="H38" s="390">
        <v>110</v>
      </c>
    </row>
    <row r="39" spans="1:8" ht="27">
      <c r="A39" s="389" t="s">
        <v>927</v>
      </c>
      <c r="B39" s="404" t="s">
        <v>122</v>
      </c>
      <c r="C39" s="584">
        <v>9242801840.6100006</v>
      </c>
      <c r="D39" s="185">
        <v>10555637604.32</v>
      </c>
      <c r="E39" s="417">
        <v>9683779064.7600002</v>
      </c>
      <c r="F39" s="409">
        <v>91.7</v>
      </c>
      <c r="G39" s="187">
        <v>3.1</v>
      </c>
      <c r="H39" s="390">
        <v>104.8</v>
      </c>
    </row>
    <row r="40" spans="1:8" ht="40.5">
      <c r="A40" s="389" t="s">
        <v>928</v>
      </c>
      <c r="B40" s="404" t="s">
        <v>123</v>
      </c>
      <c r="C40" s="584">
        <v>351656098.51999998</v>
      </c>
      <c r="D40" s="185">
        <v>336092227.79000002</v>
      </c>
      <c r="E40" s="417">
        <v>310267021.87</v>
      </c>
      <c r="F40" s="409">
        <v>92.3</v>
      </c>
      <c r="G40" s="187">
        <v>0.1</v>
      </c>
      <c r="H40" s="390">
        <v>88.2</v>
      </c>
    </row>
    <row r="41" spans="1:8" ht="19.899999999999999" customHeight="1">
      <c r="A41" s="392" t="s">
        <v>929</v>
      </c>
      <c r="B41" s="405" t="s">
        <v>124</v>
      </c>
      <c r="C41" s="585">
        <v>5736371003.46</v>
      </c>
      <c r="D41" s="393">
        <v>6909641868.8999996</v>
      </c>
      <c r="E41" s="419">
        <v>6252808435.6999998</v>
      </c>
      <c r="F41" s="411">
        <v>90.5</v>
      </c>
      <c r="G41" s="395">
        <v>2</v>
      </c>
      <c r="H41" s="396">
        <v>109</v>
      </c>
    </row>
    <row r="43" spans="1:8" s="180" customFormat="1" ht="13.5">
      <c r="A43" s="188" t="s">
        <v>930</v>
      </c>
      <c r="B43" s="179"/>
    </row>
  </sheetData>
  <mergeCells count="6">
    <mergeCell ref="A1:H1"/>
    <mergeCell ref="A3:A5"/>
    <mergeCell ref="B3:B5"/>
    <mergeCell ref="G3:G4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  <pageSetUpPr fitToPage="1"/>
  </sheetPr>
  <dimension ref="A1:I27"/>
  <sheetViews>
    <sheetView showGridLines="0" workbookViewId="0">
      <selection activeCell="O3" sqref="O3"/>
    </sheetView>
  </sheetViews>
  <sheetFormatPr defaultRowHeight="12.75"/>
  <cols>
    <col min="1" max="1" width="5" customWidth="1"/>
    <col min="2" max="2" width="18.7109375" customWidth="1"/>
    <col min="3" max="3" width="15.140625" customWidth="1"/>
    <col min="4" max="4" width="13.7109375" bestFit="1" customWidth="1"/>
    <col min="5" max="5" width="12.7109375" customWidth="1"/>
    <col min="6" max="6" width="12.85546875" customWidth="1"/>
    <col min="7" max="7" width="14.5703125" customWidth="1"/>
    <col min="8" max="8" width="12.140625" customWidth="1"/>
    <col min="9" max="9" width="12.85546875" customWidth="1"/>
  </cols>
  <sheetData>
    <row r="1" spans="1:9">
      <c r="A1" s="1889" t="s">
        <v>973</v>
      </c>
      <c r="B1" s="1889"/>
      <c r="C1" s="1889"/>
      <c r="D1" s="1889"/>
      <c r="E1" s="1889"/>
      <c r="F1" s="1889"/>
      <c r="G1" s="1889"/>
      <c r="H1" s="1889"/>
      <c r="I1" s="1889"/>
    </row>
    <row r="2" spans="1:9" ht="12.75" customHeight="1"/>
    <row r="3" spans="1:9" ht="13.15" customHeight="1">
      <c r="A3" s="1899" t="s">
        <v>41</v>
      </c>
      <c r="B3" s="1902" t="s">
        <v>68</v>
      </c>
      <c r="C3" s="1808" t="s">
        <v>959</v>
      </c>
      <c r="D3" s="1905" t="s">
        <v>45</v>
      </c>
      <c r="E3" s="1907" t="s">
        <v>46</v>
      </c>
      <c r="F3" s="1909" t="s">
        <v>47</v>
      </c>
      <c r="G3" s="1905" t="s">
        <v>48</v>
      </c>
      <c r="H3" s="1907" t="s">
        <v>49</v>
      </c>
      <c r="I3" s="1911" t="s">
        <v>50</v>
      </c>
    </row>
    <row r="4" spans="1:9" ht="52.9" customHeight="1">
      <c r="A4" s="1900"/>
      <c r="B4" s="1903"/>
      <c r="C4" s="1809"/>
      <c r="D4" s="1906"/>
      <c r="E4" s="1908"/>
      <c r="F4" s="1910"/>
      <c r="G4" s="1906"/>
      <c r="H4" s="1908"/>
      <c r="I4" s="1912"/>
    </row>
    <row r="5" spans="1:9" ht="13.5">
      <c r="A5" s="1901"/>
      <c r="B5" s="1904"/>
      <c r="C5" s="1810"/>
      <c r="D5" s="1853" t="s">
        <v>4</v>
      </c>
      <c r="E5" s="1854"/>
      <c r="F5" s="426" t="s">
        <v>5</v>
      </c>
      <c r="G5" s="1913" t="s">
        <v>4</v>
      </c>
      <c r="H5" s="1854"/>
      <c r="I5" s="322" t="s">
        <v>5</v>
      </c>
    </row>
    <row r="6" spans="1:9">
      <c r="A6" s="398" t="s">
        <v>887</v>
      </c>
      <c r="B6" s="403" t="s">
        <v>888</v>
      </c>
      <c r="C6" s="428" t="s">
        <v>889</v>
      </c>
      <c r="D6" s="399" t="s">
        <v>890</v>
      </c>
      <c r="E6" s="400" t="s">
        <v>891</v>
      </c>
      <c r="F6" s="401" t="s">
        <v>892</v>
      </c>
      <c r="G6" s="398" t="s">
        <v>893</v>
      </c>
      <c r="H6" s="400" t="s">
        <v>894</v>
      </c>
      <c r="I6" s="402" t="s">
        <v>932</v>
      </c>
    </row>
    <row r="7" spans="1:9" ht="19.899999999999999" customHeight="1">
      <c r="A7" s="420"/>
      <c r="B7" s="1563" t="s">
        <v>933</v>
      </c>
      <c r="C7" s="429">
        <v>38265013</v>
      </c>
      <c r="D7" s="182">
        <v>51840177209.059998</v>
      </c>
      <c r="E7" s="1557">
        <v>1354.8</v>
      </c>
      <c r="F7" s="191">
        <v>16.399999999999999</v>
      </c>
      <c r="G7" s="414">
        <v>48099358210.209999</v>
      </c>
      <c r="H7" s="1557">
        <v>1257</v>
      </c>
      <c r="I7" s="1559">
        <v>15.2</v>
      </c>
    </row>
    <row r="8" spans="1:9" ht="19.899999999999999" customHeight="1">
      <c r="A8" s="389" t="s">
        <v>6</v>
      </c>
      <c r="B8" s="193" t="s">
        <v>26</v>
      </c>
      <c r="C8" s="430">
        <v>2891321</v>
      </c>
      <c r="D8" s="185">
        <v>3948932658.6300001</v>
      </c>
      <c r="E8" s="190">
        <v>1365.79</v>
      </c>
      <c r="F8" s="192">
        <v>16.5</v>
      </c>
      <c r="G8" s="416">
        <v>3507082018.3899999</v>
      </c>
      <c r="H8" s="1558">
        <v>1213</v>
      </c>
      <c r="I8" s="1560">
        <v>14.6</v>
      </c>
    </row>
    <row r="9" spans="1:9" ht="19.899999999999999" customHeight="1">
      <c r="A9" s="389" t="s">
        <v>7</v>
      </c>
      <c r="B9" s="193" t="s">
        <v>42</v>
      </c>
      <c r="C9" s="430">
        <v>2061942</v>
      </c>
      <c r="D9" s="185">
        <v>2812794054.1700001</v>
      </c>
      <c r="E9" s="190">
        <v>1364.15</v>
      </c>
      <c r="F9" s="192">
        <v>17.100000000000001</v>
      </c>
      <c r="G9" s="416">
        <v>2465912078.48</v>
      </c>
      <c r="H9" s="1558">
        <v>1195.9000000000001</v>
      </c>
      <c r="I9" s="1560">
        <v>15</v>
      </c>
    </row>
    <row r="10" spans="1:9" ht="19.899999999999999" customHeight="1">
      <c r="A10" s="389" t="s">
        <v>8</v>
      </c>
      <c r="B10" s="193" t="s">
        <v>27</v>
      </c>
      <c r="C10" s="430">
        <v>2095258</v>
      </c>
      <c r="D10" s="185">
        <v>3174769277.6999998</v>
      </c>
      <c r="E10" s="190">
        <v>1515.22</v>
      </c>
      <c r="F10" s="192">
        <v>19.399999999999999</v>
      </c>
      <c r="G10" s="416">
        <v>3108702232.79</v>
      </c>
      <c r="H10" s="1558">
        <v>1483.7</v>
      </c>
      <c r="I10" s="1560">
        <v>19</v>
      </c>
    </row>
    <row r="11" spans="1:9" ht="19.899999999999999" customHeight="1">
      <c r="A11" s="389" t="s">
        <v>9</v>
      </c>
      <c r="B11" s="193" t="s">
        <v>28</v>
      </c>
      <c r="C11" s="430">
        <v>1007145</v>
      </c>
      <c r="D11" s="185">
        <v>1291629579.5899999</v>
      </c>
      <c r="E11" s="190">
        <v>1282.47</v>
      </c>
      <c r="F11" s="192">
        <v>16.3</v>
      </c>
      <c r="G11" s="416">
        <v>1192280489.8599999</v>
      </c>
      <c r="H11" s="1558">
        <v>1183.8</v>
      </c>
      <c r="I11" s="1560">
        <v>15.1</v>
      </c>
    </row>
    <row r="12" spans="1:9" ht="19.899999999999999" customHeight="1">
      <c r="A12" s="389" t="s">
        <v>1</v>
      </c>
      <c r="B12" s="193" t="s">
        <v>29</v>
      </c>
      <c r="C12" s="430">
        <v>2437970</v>
      </c>
      <c r="D12" s="185">
        <v>3006349455.9000001</v>
      </c>
      <c r="E12" s="190">
        <v>1233.1400000000001</v>
      </c>
      <c r="F12" s="192">
        <v>15.7</v>
      </c>
      <c r="G12" s="416">
        <v>2785845234.5900002</v>
      </c>
      <c r="H12" s="1558">
        <v>1142.7</v>
      </c>
      <c r="I12" s="1560">
        <v>14.6</v>
      </c>
    </row>
    <row r="13" spans="1:9" ht="19.899999999999999" customHeight="1">
      <c r="A13" s="389" t="s">
        <v>2</v>
      </c>
      <c r="B13" s="193" t="s">
        <v>30</v>
      </c>
      <c r="C13" s="430">
        <v>3410441</v>
      </c>
      <c r="D13" s="185">
        <v>5030751287.5799999</v>
      </c>
      <c r="E13" s="1558">
        <v>1475.1</v>
      </c>
      <c r="F13" s="192">
        <v>17.8</v>
      </c>
      <c r="G13" s="416">
        <v>4776192239.9700003</v>
      </c>
      <c r="H13" s="1558">
        <v>1400.5</v>
      </c>
      <c r="I13" s="1560">
        <v>16.899999999999999</v>
      </c>
    </row>
    <row r="14" spans="1:9" ht="19.899999999999999" customHeight="1">
      <c r="A14" s="389" t="s">
        <v>10</v>
      </c>
      <c r="B14" s="193" t="s">
        <v>31</v>
      </c>
      <c r="C14" s="430">
        <v>5425028</v>
      </c>
      <c r="D14" s="185">
        <v>7325301465.04</v>
      </c>
      <c r="E14" s="190">
        <v>1350.28</v>
      </c>
      <c r="F14" s="192">
        <v>14</v>
      </c>
      <c r="G14" s="416">
        <v>6870791568.9700003</v>
      </c>
      <c r="H14" s="1558">
        <v>1266.5</v>
      </c>
      <c r="I14" s="1560">
        <v>13.1</v>
      </c>
    </row>
    <row r="15" spans="1:9" ht="19.899999999999999" customHeight="1">
      <c r="A15" s="389" t="s">
        <v>11</v>
      </c>
      <c r="B15" s="193" t="s">
        <v>32</v>
      </c>
      <c r="C15" s="430">
        <v>976774</v>
      </c>
      <c r="D15" s="185">
        <v>1156407608.8599999</v>
      </c>
      <c r="E15" s="1558">
        <v>1183.9000000000001</v>
      </c>
      <c r="F15" s="192">
        <v>15.6</v>
      </c>
      <c r="G15" s="416">
        <v>939833496.38</v>
      </c>
      <c r="H15" s="1558">
        <v>962.2</v>
      </c>
      <c r="I15" s="1560">
        <v>12.7</v>
      </c>
    </row>
    <row r="16" spans="1:9" ht="19.899999999999999" customHeight="1">
      <c r="A16" s="389" t="s">
        <v>12</v>
      </c>
      <c r="B16" s="193" t="s">
        <v>33</v>
      </c>
      <c r="C16" s="430">
        <v>2121229</v>
      </c>
      <c r="D16" s="185">
        <v>2692196791.8800001</v>
      </c>
      <c r="E16" s="190">
        <v>1269.17</v>
      </c>
      <c r="F16" s="192">
        <v>16.399999999999999</v>
      </c>
      <c r="G16" s="416">
        <v>2601277384.5799999</v>
      </c>
      <c r="H16" s="1558">
        <v>1226.3</v>
      </c>
      <c r="I16" s="1560">
        <v>15.9</v>
      </c>
    </row>
    <row r="17" spans="1:9" ht="19.899999999999999" customHeight="1">
      <c r="A17" s="389" t="s">
        <v>13</v>
      </c>
      <c r="B17" s="193" t="s">
        <v>34</v>
      </c>
      <c r="C17" s="430">
        <v>1173286</v>
      </c>
      <c r="D17" s="185">
        <v>1550082167.5899999</v>
      </c>
      <c r="E17" s="190">
        <v>1321.15</v>
      </c>
      <c r="F17" s="192">
        <v>16.899999999999999</v>
      </c>
      <c r="G17" s="416">
        <v>1526110099.0899999</v>
      </c>
      <c r="H17" s="1558">
        <v>1300.7</v>
      </c>
      <c r="I17" s="1560">
        <v>16.600000000000001</v>
      </c>
    </row>
    <row r="18" spans="1:9" ht="19.899999999999999" customHeight="1">
      <c r="A18" s="389" t="s">
        <v>14</v>
      </c>
      <c r="B18" s="193" t="s">
        <v>35</v>
      </c>
      <c r="C18" s="430">
        <v>2346671</v>
      </c>
      <c r="D18" s="185">
        <v>3071224828.7800002</v>
      </c>
      <c r="E18" s="190">
        <v>1308.76</v>
      </c>
      <c r="F18" s="192">
        <v>15.2</v>
      </c>
      <c r="G18" s="416">
        <v>2738457844.8600001</v>
      </c>
      <c r="H18" s="1558">
        <v>1167</v>
      </c>
      <c r="I18" s="1560">
        <v>13.5</v>
      </c>
    </row>
    <row r="19" spans="1:9" ht="19.899999999999999" customHeight="1">
      <c r="A19" s="389" t="s">
        <v>15</v>
      </c>
      <c r="B19" s="193" t="s">
        <v>36</v>
      </c>
      <c r="C19" s="430">
        <v>4492330</v>
      </c>
      <c r="D19" s="185">
        <v>5595575083.9200001</v>
      </c>
      <c r="E19" s="190">
        <v>1245.58</v>
      </c>
      <c r="F19" s="192">
        <v>16.100000000000001</v>
      </c>
      <c r="G19" s="416">
        <v>5068400608.54</v>
      </c>
      <c r="H19" s="1558">
        <v>1128.2</v>
      </c>
      <c r="I19" s="1560">
        <v>14.6</v>
      </c>
    </row>
    <row r="20" spans="1:9" ht="19.899999999999999" customHeight="1">
      <c r="A20" s="389" t="s">
        <v>16</v>
      </c>
      <c r="B20" s="193" t="s">
        <v>37</v>
      </c>
      <c r="C20" s="430">
        <v>1224626</v>
      </c>
      <c r="D20" s="185">
        <v>1392335573.48</v>
      </c>
      <c r="E20" s="190">
        <v>1136.95</v>
      </c>
      <c r="F20" s="192">
        <v>15.2</v>
      </c>
      <c r="G20" s="416">
        <v>1358298326.9300001</v>
      </c>
      <c r="H20" s="1558">
        <v>1109.2</v>
      </c>
      <c r="I20" s="1560">
        <v>14.8</v>
      </c>
    </row>
    <row r="21" spans="1:9" ht="19.899999999999999" customHeight="1">
      <c r="A21" s="389" t="s">
        <v>17</v>
      </c>
      <c r="B21" s="193" t="s">
        <v>43</v>
      </c>
      <c r="C21" s="430">
        <v>1416495</v>
      </c>
      <c r="D21" s="185">
        <v>1858178147.72</v>
      </c>
      <c r="E21" s="190">
        <v>1311.81</v>
      </c>
      <c r="F21" s="192">
        <v>16.5</v>
      </c>
      <c r="G21" s="416">
        <v>1716873343.9000001</v>
      </c>
      <c r="H21" s="1558">
        <v>1212.0999999999999</v>
      </c>
      <c r="I21" s="1560">
        <v>15.2</v>
      </c>
    </row>
    <row r="22" spans="1:9" ht="19.899999999999999" customHeight="1">
      <c r="A22" s="389" t="s">
        <v>18</v>
      </c>
      <c r="B22" s="193" t="s">
        <v>38</v>
      </c>
      <c r="C22" s="430">
        <v>3496450</v>
      </c>
      <c r="D22" s="185">
        <v>4759976618.5600004</v>
      </c>
      <c r="E22" s="190">
        <v>1361.37</v>
      </c>
      <c r="F22" s="192">
        <v>16.899999999999999</v>
      </c>
      <c r="G22" s="416">
        <v>4504382984.7399998</v>
      </c>
      <c r="H22" s="1558">
        <v>1288.3</v>
      </c>
      <c r="I22" s="1560">
        <v>15.9</v>
      </c>
    </row>
    <row r="23" spans="1:9" ht="19.899999999999999" customHeight="1">
      <c r="A23" s="392" t="s">
        <v>19</v>
      </c>
      <c r="B23" s="427" t="s">
        <v>39</v>
      </c>
      <c r="C23" s="431">
        <v>1688047</v>
      </c>
      <c r="D23" s="393">
        <v>3173672609.6599998</v>
      </c>
      <c r="E23" s="423">
        <v>1880.09</v>
      </c>
      <c r="F23" s="424">
        <v>21.5</v>
      </c>
      <c r="G23" s="418">
        <v>2938918258.1399999</v>
      </c>
      <c r="H23" s="1561">
        <v>1741</v>
      </c>
      <c r="I23" s="1562">
        <v>19.899999999999999</v>
      </c>
    </row>
    <row r="25" spans="1:9" ht="13.5">
      <c r="A25" s="106" t="s">
        <v>934</v>
      </c>
      <c r="B25" s="188" t="s">
        <v>935</v>
      </c>
      <c r="C25" s="106"/>
      <c r="D25" s="106"/>
      <c r="E25" s="106"/>
      <c r="F25" s="106"/>
      <c r="G25" s="106"/>
      <c r="H25" s="106"/>
      <c r="I25" s="106"/>
    </row>
    <row r="26" spans="1:9" s="11" customFormat="1" ht="13.5">
      <c r="A26" s="106"/>
      <c r="B26" s="188" t="s">
        <v>936</v>
      </c>
      <c r="C26" s="106"/>
      <c r="D26" s="106"/>
      <c r="E26" s="106"/>
      <c r="F26" s="106"/>
      <c r="G26" s="106"/>
      <c r="H26" s="106"/>
      <c r="I26" s="106"/>
    </row>
    <row r="27" spans="1:9" s="11" customFormat="1" ht="12"/>
  </sheetData>
  <mergeCells count="12">
    <mergeCell ref="A1:I1"/>
    <mergeCell ref="A3:A5"/>
    <mergeCell ref="B3:B5"/>
    <mergeCell ref="D3:D4"/>
    <mergeCell ref="E3:E4"/>
    <mergeCell ref="C3:C5"/>
    <mergeCell ref="F3:F4"/>
    <mergeCell ref="G3:G4"/>
    <mergeCell ref="H3:H4"/>
    <mergeCell ref="I3:I4"/>
    <mergeCell ref="D5:E5"/>
    <mergeCell ref="G5:H5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1"/>
  <sheetViews>
    <sheetView showGridLines="0" workbookViewId="0">
      <selection activeCell="O3" sqref="O3"/>
    </sheetView>
  </sheetViews>
  <sheetFormatPr defaultColWidth="8.85546875" defaultRowHeight="13.5"/>
  <cols>
    <col min="1" max="1" width="36.42578125" style="106" customWidth="1"/>
    <col min="2" max="3" width="16.28515625" style="106" customWidth="1"/>
    <col min="4" max="4" width="11.28515625" style="106" customWidth="1"/>
    <col min="5" max="5" width="15.7109375" style="106" customWidth="1"/>
    <col min="6" max="16384" width="8.85546875" style="106"/>
  </cols>
  <sheetData>
    <row r="1" spans="1:5" ht="23.45" customHeight="1">
      <c r="A1" s="1914" t="s">
        <v>714</v>
      </c>
      <c r="B1" s="1915"/>
      <c r="C1" s="1915"/>
      <c r="D1" s="1915"/>
      <c r="E1" s="1915"/>
    </row>
    <row r="2" spans="1:5" ht="27">
      <c r="A2" s="1916" t="s">
        <v>68</v>
      </c>
      <c r="B2" s="586" t="s">
        <v>715</v>
      </c>
      <c r="C2" s="587" t="s">
        <v>716</v>
      </c>
      <c r="D2" s="432" t="s">
        <v>992</v>
      </c>
      <c r="E2" s="433" t="s">
        <v>717</v>
      </c>
    </row>
    <row r="3" spans="1:5">
      <c r="A3" s="1917"/>
      <c r="B3" s="196" t="s">
        <v>4</v>
      </c>
      <c r="C3" s="434"/>
      <c r="D3" s="1919" t="s">
        <v>72</v>
      </c>
      <c r="E3" s="1920"/>
    </row>
    <row r="4" spans="1:5">
      <c r="A4" s="435" t="s">
        <v>887</v>
      </c>
      <c r="B4" s="495" t="s">
        <v>888</v>
      </c>
      <c r="C4" s="496" t="s">
        <v>889</v>
      </c>
      <c r="D4" s="436" t="s">
        <v>890</v>
      </c>
      <c r="E4" s="435" t="s">
        <v>891</v>
      </c>
    </row>
    <row r="5" spans="1:5">
      <c r="A5" s="490" t="s">
        <v>20</v>
      </c>
      <c r="B5" s="491"/>
      <c r="C5" s="492"/>
      <c r="D5" s="493"/>
      <c r="E5" s="494"/>
    </row>
    <row r="6" spans="1:5">
      <c r="A6" s="438" t="s">
        <v>718</v>
      </c>
      <c r="B6" s="485">
        <v>112371920.43000002</v>
      </c>
      <c r="C6" s="486">
        <v>86369004.670000002</v>
      </c>
      <c r="D6" s="445">
        <f t="shared" ref="D6:D12" si="0">C6/B6*100</f>
        <v>76.859952503705713</v>
      </c>
      <c r="E6" s="451">
        <f>C6/$C$6*100</f>
        <v>100</v>
      </c>
    </row>
    <row r="7" spans="1:5">
      <c r="A7" s="438" t="s">
        <v>719</v>
      </c>
      <c r="B7" s="485">
        <v>4643725585.6600008</v>
      </c>
      <c r="C7" s="486">
        <v>4668416989.3999996</v>
      </c>
      <c r="D7" s="445">
        <f t="shared" si="0"/>
        <v>100.53171539283558</v>
      </c>
      <c r="E7" s="451">
        <f>C7/$C$7*100</f>
        <v>100</v>
      </c>
    </row>
    <row r="8" spans="1:5">
      <c r="A8" s="438" t="s">
        <v>720</v>
      </c>
      <c r="B8" s="485">
        <v>607486819.40999985</v>
      </c>
      <c r="C8" s="486">
        <v>591579288.2299999</v>
      </c>
      <c r="D8" s="445">
        <f t="shared" si="0"/>
        <v>97.381419535085627</v>
      </c>
      <c r="E8" s="451">
        <f>C8/$C$8*100</f>
        <v>100</v>
      </c>
    </row>
    <row r="9" spans="1:5">
      <c r="A9" s="438" t="s">
        <v>721</v>
      </c>
      <c r="B9" s="485">
        <v>4621225137.8699961</v>
      </c>
      <c r="C9" s="486">
        <v>4628618885.4799986</v>
      </c>
      <c r="D9" s="445">
        <f t="shared" si="0"/>
        <v>100.15999539925922</v>
      </c>
      <c r="E9" s="451">
        <f>C9/$C$9*100</f>
        <v>100</v>
      </c>
    </row>
    <row r="10" spans="1:5">
      <c r="A10" s="438" t="s">
        <v>78</v>
      </c>
      <c r="B10" s="485">
        <v>12656920.6</v>
      </c>
      <c r="C10" s="486">
        <v>102173339.73</v>
      </c>
      <c r="D10" s="445">
        <f t="shared" si="0"/>
        <v>807.25275095744871</v>
      </c>
      <c r="E10" s="451">
        <f>C10/$C$10*100</f>
        <v>100</v>
      </c>
    </row>
    <row r="11" spans="1:5">
      <c r="A11" s="438" t="s">
        <v>722</v>
      </c>
      <c r="B11" s="485">
        <v>2222678.0300000003</v>
      </c>
      <c r="C11" s="486">
        <v>28972927.210000001</v>
      </c>
      <c r="D11" s="446" t="s">
        <v>771</v>
      </c>
      <c r="E11" s="451">
        <f>C11/$C$11*100</f>
        <v>100</v>
      </c>
    </row>
    <row r="12" spans="1:5">
      <c r="A12" s="438" t="s">
        <v>723</v>
      </c>
      <c r="B12" s="485">
        <v>119377640.73999999</v>
      </c>
      <c r="C12" s="486">
        <v>83504721.229999959</v>
      </c>
      <c r="D12" s="445">
        <f t="shared" si="0"/>
        <v>69.950051544300578</v>
      </c>
      <c r="E12" s="451">
        <f>C12/$C$12*100</f>
        <v>100</v>
      </c>
    </row>
    <row r="13" spans="1:5">
      <c r="A13" s="438"/>
      <c r="B13" s="485"/>
      <c r="C13" s="486"/>
      <c r="D13" s="447"/>
      <c r="E13" s="452"/>
    </row>
    <row r="14" spans="1:5">
      <c r="A14" s="439" t="s">
        <v>724</v>
      </c>
      <c r="B14" s="487"/>
      <c r="C14" s="488"/>
      <c r="D14" s="448"/>
      <c r="E14" s="453"/>
    </row>
    <row r="15" spans="1:5">
      <c r="A15" s="440" t="s">
        <v>718</v>
      </c>
      <c r="B15" s="487">
        <v>81413966.539999992</v>
      </c>
      <c r="C15" s="488">
        <v>61636039.110000052</v>
      </c>
      <c r="D15" s="449">
        <f t="shared" ref="D15:D21" si="1">C15/B15*100</f>
        <v>75.706960033346704</v>
      </c>
      <c r="E15" s="454">
        <f>C15/$C$6*100</f>
        <v>71.363609370630073</v>
      </c>
    </row>
    <row r="16" spans="1:5">
      <c r="A16" s="440" t="s">
        <v>719</v>
      </c>
      <c r="B16" s="487">
        <v>2683040493.04</v>
      </c>
      <c r="C16" s="488">
        <v>2793755332.1800003</v>
      </c>
      <c r="D16" s="449">
        <f t="shared" si="1"/>
        <v>104.12646918401727</v>
      </c>
      <c r="E16" s="454">
        <f>C16/$C$7*100</f>
        <v>59.843740148393707</v>
      </c>
    </row>
    <row r="17" spans="1:5">
      <c r="A17" s="440" t="s">
        <v>720</v>
      </c>
      <c r="B17" s="487">
        <v>350105931.23000008</v>
      </c>
      <c r="C17" s="488">
        <v>338898764.09999996</v>
      </c>
      <c r="D17" s="449">
        <f t="shared" si="1"/>
        <v>96.798921089218098</v>
      </c>
      <c r="E17" s="454">
        <f>C17/$C$8*100</f>
        <v>57.28712462432248</v>
      </c>
    </row>
    <row r="18" spans="1:5">
      <c r="A18" s="440" t="s">
        <v>721</v>
      </c>
      <c r="B18" s="487">
        <v>2672877775.6500015</v>
      </c>
      <c r="C18" s="488">
        <v>2782400814.98</v>
      </c>
      <c r="D18" s="449">
        <f t="shared" si="1"/>
        <v>104.09757005455904</v>
      </c>
      <c r="E18" s="454">
        <f>C18/$C$9*100</f>
        <v>60.11298151395453</v>
      </c>
    </row>
    <row r="19" spans="1:5">
      <c r="A19" s="440" t="s">
        <v>78</v>
      </c>
      <c r="B19" s="487">
        <v>4262384.5999999996</v>
      </c>
      <c r="C19" s="488">
        <v>93706077.99000001</v>
      </c>
      <c r="D19" s="450" t="s">
        <v>771</v>
      </c>
      <c r="E19" s="454">
        <f>C19/$C$10*100</f>
        <v>91.712846264617255</v>
      </c>
    </row>
    <row r="20" spans="1:5">
      <c r="A20" s="440" t="s">
        <v>722</v>
      </c>
      <c r="B20" s="487">
        <v>1742133.03</v>
      </c>
      <c r="C20" s="488">
        <v>16942326.890000001</v>
      </c>
      <c r="D20" s="449">
        <f t="shared" si="1"/>
        <v>972.50477421922255</v>
      </c>
      <c r="E20" s="454">
        <f>C20/$C$11*100</f>
        <v>58.476407189372146</v>
      </c>
    </row>
    <row r="21" spans="1:5">
      <c r="A21" s="440" t="s">
        <v>723</v>
      </c>
      <c r="B21" s="487">
        <v>84549427.109999985</v>
      </c>
      <c r="C21" s="488">
        <v>50851603.53999994</v>
      </c>
      <c r="D21" s="449">
        <f t="shared" si="1"/>
        <v>60.144231934110323</v>
      </c>
      <c r="E21" s="454">
        <f>C21/$C$12*100</f>
        <v>60.896680799565331</v>
      </c>
    </row>
    <row r="22" spans="1:5">
      <c r="A22" s="438"/>
      <c r="B22" s="485"/>
      <c r="C22" s="486"/>
      <c r="D22" s="447"/>
      <c r="E22" s="452"/>
    </row>
    <row r="23" spans="1:5">
      <c r="A23" s="441" t="s">
        <v>725</v>
      </c>
      <c r="B23" s="485"/>
      <c r="C23" s="486"/>
      <c r="D23" s="447"/>
      <c r="E23" s="452"/>
    </row>
    <row r="24" spans="1:5">
      <c r="A24" s="438" t="s">
        <v>718</v>
      </c>
      <c r="B24" s="485">
        <v>2669102.5799999996</v>
      </c>
      <c r="C24" s="486">
        <v>2327967.7999999998</v>
      </c>
      <c r="D24" s="445">
        <f t="shared" ref="D24:D30" si="2">C24/B24*100</f>
        <v>87.219120667891303</v>
      </c>
      <c r="E24" s="451">
        <f>C24/$C$6*100</f>
        <v>2.6953741204900235</v>
      </c>
    </row>
    <row r="25" spans="1:5">
      <c r="A25" s="438" t="s">
        <v>719</v>
      </c>
      <c r="B25" s="485">
        <v>86993101.61999999</v>
      </c>
      <c r="C25" s="486">
        <v>83176211.020000011</v>
      </c>
      <c r="D25" s="445">
        <f t="shared" si="2"/>
        <v>95.61242152662544</v>
      </c>
      <c r="E25" s="451">
        <f>C25/$C$7*100</f>
        <v>1.7816791261118705</v>
      </c>
    </row>
    <row r="26" spans="1:5">
      <c r="A26" s="438" t="s">
        <v>720</v>
      </c>
      <c r="B26" s="485">
        <v>21581755.399999999</v>
      </c>
      <c r="C26" s="486">
        <v>20741437.640000001</v>
      </c>
      <c r="D26" s="445">
        <f t="shared" si="2"/>
        <v>96.106351200699834</v>
      </c>
      <c r="E26" s="451">
        <f>C26/$C$8*100</f>
        <v>3.5061128833732842</v>
      </c>
    </row>
    <row r="27" spans="1:5">
      <c r="A27" s="438" t="s">
        <v>721</v>
      </c>
      <c r="B27" s="485">
        <v>87392522.189999998</v>
      </c>
      <c r="C27" s="486">
        <v>82231293.819999993</v>
      </c>
      <c r="D27" s="445">
        <f t="shared" si="2"/>
        <v>94.094199090879897</v>
      </c>
      <c r="E27" s="451">
        <f>C27/$C$9*100</f>
        <v>1.7765838115978827</v>
      </c>
    </row>
    <row r="28" spans="1:5">
      <c r="A28" s="438" t="s">
        <v>78</v>
      </c>
      <c r="B28" s="485">
        <v>11000</v>
      </c>
      <c r="C28" s="486">
        <v>41519</v>
      </c>
      <c r="D28" s="445">
        <f t="shared" si="2"/>
        <v>377.44545454545454</v>
      </c>
      <c r="E28" s="451">
        <f>C28/$C$10*100</f>
        <v>4.0635845035228151E-2</v>
      </c>
    </row>
    <row r="29" spans="1:5">
      <c r="A29" s="438" t="s">
        <v>722</v>
      </c>
      <c r="B29" s="485">
        <v>0</v>
      </c>
      <c r="C29" s="486">
        <v>176952.13</v>
      </c>
      <c r="D29" s="446" t="s">
        <v>76</v>
      </c>
      <c r="E29" s="451">
        <f>C29/$C$11*100</f>
        <v>0.61074992083963475</v>
      </c>
    </row>
    <row r="30" spans="1:5">
      <c r="A30" s="438" t="s">
        <v>723</v>
      </c>
      <c r="B30" s="485">
        <v>2503205.2799999998</v>
      </c>
      <c r="C30" s="486">
        <v>2974812.9199999995</v>
      </c>
      <c r="D30" s="445">
        <f t="shared" si="2"/>
        <v>118.84015041706846</v>
      </c>
      <c r="E30" s="451">
        <f>C30/$C$12*100</f>
        <v>3.5624487767660091</v>
      </c>
    </row>
    <row r="31" spans="1:5">
      <c r="A31" s="438"/>
      <c r="B31" s="485"/>
      <c r="C31" s="486"/>
      <c r="D31" s="447"/>
      <c r="E31" s="451"/>
    </row>
    <row r="32" spans="1:5">
      <c r="A32" s="441" t="s">
        <v>726</v>
      </c>
      <c r="B32" s="485"/>
      <c r="C32" s="486"/>
      <c r="D32" s="447"/>
      <c r="E32" s="452"/>
    </row>
    <row r="33" spans="1:5">
      <c r="A33" s="438" t="s">
        <v>718</v>
      </c>
      <c r="B33" s="485">
        <v>26333099.360000007</v>
      </c>
      <c r="C33" s="486">
        <v>19834220.719999999</v>
      </c>
      <c r="D33" s="445">
        <f t="shared" ref="D33:D39" si="3">C33/B33*100</f>
        <v>75.320494746350263</v>
      </c>
      <c r="E33" s="451">
        <f>C33/$C$6*100</f>
        <v>22.96451232219578</v>
      </c>
    </row>
    <row r="34" spans="1:5">
      <c r="A34" s="438" t="s">
        <v>719</v>
      </c>
      <c r="B34" s="485">
        <v>1789249820.28</v>
      </c>
      <c r="C34" s="486">
        <v>1708880697.9300003</v>
      </c>
      <c r="D34" s="445">
        <f t="shared" si="3"/>
        <v>95.508222415949575</v>
      </c>
      <c r="E34" s="451">
        <f>C34/$C$7*100</f>
        <v>36.605142638503487</v>
      </c>
    </row>
    <row r="35" spans="1:5">
      <c r="A35" s="438" t="s">
        <v>720</v>
      </c>
      <c r="B35" s="485">
        <v>230193886.78</v>
      </c>
      <c r="C35" s="486">
        <v>226568323.91999999</v>
      </c>
      <c r="D35" s="445">
        <f t="shared" si="3"/>
        <v>98.424996028037441</v>
      </c>
      <c r="E35" s="451">
        <f>C35/$C$8*100</f>
        <v>38.298893897703969</v>
      </c>
    </row>
    <row r="36" spans="1:5">
      <c r="A36" s="438" t="s">
        <v>721</v>
      </c>
      <c r="B36" s="485">
        <v>1777400712.6300001</v>
      </c>
      <c r="C36" s="486">
        <v>1684689101.3800006</v>
      </c>
      <c r="D36" s="445">
        <f t="shared" si="3"/>
        <v>94.78386552952287</v>
      </c>
      <c r="E36" s="451">
        <f>C36/$C$9*100</f>
        <v>36.397230860049405</v>
      </c>
    </row>
    <row r="37" spans="1:5">
      <c r="A37" s="438" t="s">
        <v>78</v>
      </c>
      <c r="B37" s="485">
        <v>8292551</v>
      </c>
      <c r="C37" s="486">
        <v>7872052</v>
      </c>
      <c r="D37" s="445">
        <f t="shared" si="3"/>
        <v>94.929196094181393</v>
      </c>
      <c r="E37" s="451">
        <f>C37/$C$10*100</f>
        <v>7.704604763632501</v>
      </c>
    </row>
    <row r="38" spans="1:5">
      <c r="A38" s="438" t="s">
        <v>722</v>
      </c>
      <c r="B38" s="485">
        <v>0</v>
      </c>
      <c r="C38" s="486">
        <v>10108472.160000002</v>
      </c>
      <c r="D38" s="446" t="s">
        <v>771</v>
      </c>
      <c r="E38" s="451">
        <f>C38/$C$11*100</f>
        <v>34.8893713318379</v>
      </c>
    </row>
    <row r="39" spans="1:5">
      <c r="A39" s="438" t="s">
        <v>723</v>
      </c>
      <c r="B39" s="485">
        <v>29570969.009999998</v>
      </c>
      <c r="C39" s="486">
        <v>26115824.769999996</v>
      </c>
      <c r="D39" s="445">
        <f t="shared" si="3"/>
        <v>88.31575577103483</v>
      </c>
      <c r="E39" s="451">
        <f>C39/$C$12*100</f>
        <v>31.274668528104261</v>
      </c>
    </row>
    <row r="40" spans="1:5">
      <c r="A40" s="438"/>
      <c r="B40" s="485"/>
      <c r="C40" s="486"/>
      <c r="D40" s="447"/>
      <c r="E40" s="451"/>
    </row>
    <row r="41" spans="1:5">
      <c r="A41" s="441" t="s">
        <v>727</v>
      </c>
      <c r="B41" s="485"/>
      <c r="C41" s="486"/>
      <c r="D41" s="447"/>
      <c r="E41" s="452"/>
    </row>
    <row r="42" spans="1:5">
      <c r="A42" s="438" t="s">
        <v>718</v>
      </c>
      <c r="B42" s="485">
        <v>210648</v>
      </c>
      <c r="C42" s="486">
        <v>210648.04000000004</v>
      </c>
      <c r="D42" s="445">
        <f>C42/B42*100</f>
        <v>100.00001898902435</v>
      </c>
      <c r="E42" s="451">
        <f>C42/$C$6*100</f>
        <v>0.24389309660895975</v>
      </c>
    </row>
    <row r="43" spans="1:5">
      <c r="A43" s="438" t="s">
        <v>719</v>
      </c>
      <c r="B43" s="485">
        <v>37970688</v>
      </c>
      <c r="C43" s="486">
        <v>35009020.350000001</v>
      </c>
      <c r="D43" s="445">
        <f>C43/B43*100</f>
        <v>92.200121182950383</v>
      </c>
      <c r="E43" s="451">
        <f>C43/$C$7*100</f>
        <v>0.74991202434338411</v>
      </c>
    </row>
    <row r="44" spans="1:5">
      <c r="A44" s="438" t="s">
        <v>720</v>
      </c>
      <c r="B44" s="485">
        <v>5389446</v>
      </c>
      <c r="C44" s="486">
        <v>5161851.63</v>
      </c>
      <c r="D44" s="445">
        <f>C44/B44*100</f>
        <v>95.77703589571172</v>
      </c>
      <c r="E44" s="451">
        <f>C44/$C$8*100</f>
        <v>0.87255448807956326</v>
      </c>
    </row>
    <row r="45" spans="1:5">
      <c r="A45" s="438" t="s">
        <v>721</v>
      </c>
      <c r="B45" s="485">
        <v>37856566</v>
      </c>
      <c r="C45" s="486">
        <v>35031943.969999999</v>
      </c>
      <c r="D45" s="445">
        <f>C45/B45*100</f>
        <v>92.538620565848476</v>
      </c>
      <c r="E45" s="451">
        <f>C45/$C$9*100</f>
        <v>0.7568552269424339</v>
      </c>
    </row>
    <row r="46" spans="1:5">
      <c r="A46" s="438" t="s">
        <v>78</v>
      </c>
      <c r="B46" s="485">
        <v>0</v>
      </c>
      <c r="C46" s="486">
        <v>9326</v>
      </c>
      <c r="D46" s="446" t="s">
        <v>76</v>
      </c>
      <c r="E46" s="451">
        <f>C46/$C$10*100</f>
        <v>9.1276256845910959E-3</v>
      </c>
    </row>
    <row r="47" spans="1:5">
      <c r="A47" s="438" t="s">
        <v>722</v>
      </c>
      <c r="B47" s="485">
        <v>0</v>
      </c>
      <c r="C47" s="486">
        <v>16941.580000000002</v>
      </c>
      <c r="D47" s="446" t="s">
        <v>771</v>
      </c>
      <c r="E47" s="451">
        <f>C47/$C$11*100</f>
        <v>5.8473829300039165E-2</v>
      </c>
    </row>
    <row r="48" spans="1:5">
      <c r="A48" s="438" t="s">
        <v>723</v>
      </c>
      <c r="B48" s="485">
        <v>324770</v>
      </c>
      <c r="C48" s="486">
        <v>161456.84000000008</v>
      </c>
      <c r="D48" s="445">
        <f>C48/B48*100</f>
        <v>49.714210056347596</v>
      </c>
      <c r="E48" s="451">
        <f>C48/$C$12*100</f>
        <v>0.19335055266551204</v>
      </c>
    </row>
    <row r="49" spans="1:5">
      <c r="A49" s="438"/>
      <c r="B49" s="485"/>
      <c r="C49" s="486"/>
      <c r="D49" s="445"/>
      <c r="E49" s="455"/>
    </row>
    <row r="50" spans="1:5">
      <c r="A50" s="441" t="s">
        <v>728</v>
      </c>
      <c r="B50" s="485"/>
      <c r="C50" s="486"/>
      <c r="D50" s="445"/>
      <c r="E50" s="455"/>
    </row>
    <row r="51" spans="1:5">
      <c r="A51" s="438" t="s">
        <v>718</v>
      </c>
      <c r="B51" s="485">
        <v>1745103.95</v>
      </c>
      <c r="C51" s="486">
        <v>2360128.9999999995</v>
      </c>
      <c r="D51" s="445">
        <f t="shared" ref="D51:D57" si="4">C51/B51*100</f>
        <v>135.2428891127087</v>
      </c>
      <c r="E51" s="451">
        <f>C51/$C$6*100</f>
        <v>2.7326110900752139</v>
      </c>
    </row>
    <row r="52" spans="1:5">
      <c r="A52" s="438" t="s">
        <v>719</v>
      </c>
      <c r="B52" s="485">
        <v>46471482.719999999</v>
      </c>
      <c r="C52" s="486">
        <v>47595727.920000002</v>
      </c>
      <c r="D52" s="445">
        <f t="shared" si="4"/>
        <v>102.41921525674962</v>
      </c>
      <c r="E52" s="451">
        <f>C52/$C$7*100</f>
        <v>1.0195260626475693</v>
      </c>
    </row>
    <row r="53" spans="1:5">
      <c r="A53" s="438" t="s">
        <v>720</v>
      </c>
      <c r="B53" s="485">
        <v>215800</v>
      </c>
      <c r="C53" s="486">
        <v>208910.94</v>
      </c>
      <c r="D53" s="445">
        <f t="shared" si="4"/>
        <v>96.807664504170532</v>
      </c>
      <c r="E53" s="451">
        <f>C53/$C$8*100</f>
        <v>3.5314106520709966E-2</v>
      </c>
    </row>
    <row r="54" spans="1:5">
      <c r="A54" s="438" t="s">
        <v>721</v>
      </c>
      <c r="B54" s="485">
        <v>45697561.399999999</v>
      </c>
      <c r="C54" s="486">
        <v>44265731.329999998</v>
      </c>
      <c r="D54" s="445">
        <f t="shared" si="4"/>
        <v>96.866725430998599</v>
      </c>
      <c r="E54" s="451">
        <f>C54/$C$9*100</f>
        <v>0.95634858745579221</v>
      </c>
    </row>
    <row r="55" spans="1:5">
      <c r="A55" s="438" t="s">
        <v>78</v>
      </c>
      <c r="B55" s="485">
        <v>90985</v>
      </c>
      <c r="C55" s="486">
        <v>544364.74</v>
      </c>
      <c r="D55" s="446" t="s">
        <v>771</v>
      </c>
      <c r="E55" s="451">
        <f>C55/$C$9*100</f>
        <v>1.1760846020562959E-2</v>
      </c>
    </row>
    <row r="56" spans="1:5">
      <c r="A56" s="438" t="s">
        <v>722</v>
      </c>
      <c r="B56" s="485">
        <v>480545</v>
      </c>
      <c r="C56" s="486">
        <v>1728234.45</v>
      </c>
      <c r="D56" s="445">
        <f t="shared" si="4"/>
        <v>359.64050193010019</v>
      </c>
      <c r="E56" s="451">
        <f>C56/$C$11*100</f>
        <v>5.9649977286502835</v>
      </c>
    </row>
    <row r="57" spans="1:5">
      <c r="A57" s="438" t="s">
        <v>723</v>
      </c>
      <c r="B57" s="485">
        <v>2429269.34</v>
      </c>
      <c r="C57" s="486">
        <v>3401023.16</v>
      </c>
      <c r="D57" s="445">
        <f t="shared" si="4"/>
        <v>140.00189703131068</v>
      </c>
      <c r="E57" s="451">
        <f>C57/$C$12*100</f>
        <v>4.0728513428988569</v>
      </c>
    </row>
    <row r="58" spans="1:5">
      <c r="A58" s="442"/>
      <c r="B58" s="489"/>
      <c r="C58" s="437"/>
      <c r="D58" s="443"/>
      <c r="E58" s="444"/>
    </row>
    <row r="59" spans="1:5" ht="7.9" customHeight="1">
      <c r="A59" s="198"/>
      <c r="B59" s="198"/>
      <c r="C59" s="198"/>
      <c r="D59" s="198"/>
      <c r="E59" s="198"/>
    </row>
    <row r="60" spans="1:5" ht="25.15" customHeight="1">
      <c r="A60" s="1918" t="s">
        <v>993</v>
      </c>
      <c r="B60" s="1918"/>
      <c r="C60" s="1918"/>
      <c r="D60" s="1918"/>
      <c r="E60" s="1918"/>
    </row>
    <row r="61" spans="1:5">
      <c r="A61" s="197" t="s">
        <v>1149</v>
      </c>
      <c r="B61" s="198"/>
      <c r="C61" s="198"/>
      <c r="D61" s="198"/>
      <c r="E61" s="198"/>
    </row>
  </sheetData>
  <mergeCells count="4">
    <mergeCell ref="A1:E1"/>
    <mergeCell ref="A2:A3"/>
    <mergeCell ref="A60:E60"/>
    <mergeCell ref="D3:E3"/>
  </mergeCells>
  <pageMargins left="0.7" right="0.7" top="0.75" bottom="0.75" header="0.3" footer="0.3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4"/>
  <sheetViews>
    <sheetView showGridLines="0" workbookViewId="0">
      <selection activeCell="O3" sqref="O3"/>
    </sheetView>
  </sheetViews>
  <sheetFormatPr defaultColWidth="8.85546875" defaultRowHeight="13.5"/>
  <cols>
    <col min="1" max="1" width="32" style="106" customWidth="1"/>
    <col min="2" max="3" width="17" style="106" customWidth="1"/>
    <col min="4" max="5" width="10.7109375" style="106" customWidth="1"/>
    <col min="6" max="16384" width="8.85546875" style="106"/>
  </cols>
  <sheetData>
    <row r="1" spans="1:5" ht="28.15" customHeight="1">
      <c r="A1" s="1921" t="s">
        <v>1151</v>
      </c>
      <c r="B1" s="1922"/>
      <c r="C1" s="1922"/>
      <c r="D1" s="1922"/>
      <c r="E1" s="1922"/>
    </row>
    <row r="2" spans="1:5">
      <c r="A2" s="199"/>
      <c r="B2" s="459"/>
      <c r="C2" s="459"/>
      <c r="D2" s="459"/>
      <c r="E2" s="459"/>
    </row>
    <row r="3" spans="1:5" ht="25.9" customHeight="1">
      <c r="A3" s="1923" t="s">
        <v>68</v>
      </c>
      <c r="B3" s="586" t="s">
        <v>715</v>
      </c>
      <c r="C3" s="587" t="s">
        <v>716</v>
      </c>
      <c r="D3" s="467" t="s">
        <v>992</v>
      </c>
      <c r="E3" s="433" t="s">
        <v>717</v>
      </c>
    </row>
    <row r="4" spans="1:5">
      <c r="A4" s="1924"/>
      <c r="B4" s="460" t="s">
        <v>4</v>
      </c>
      <c r="C4" s="468"/>
      <c r="D4" s="461" t="s">
        <v>72</v>
      </c>
      <c r="E4" s="461"/>
    </row>
    <row r="5" spans="1:5">
      <c r="A5" s="462" t="s">
        <v>887</v>
      </c>
      <c r="B5" s="495" t="s">
        <v>888</v>
      </c>
      <c r="C5" s="496" t="s">
        <v>889</v>
      </c>
      <c r="D5" s="475" t="s">
        <v>890</v>
      </c>
      <c r="E5" s="435" t="s">
        <v>891</v>
      </c>
    </row>
    <row r="6" spans="1:5">
      <c r="A6" s="463" t="s">
        <v>20</v>
      </c>
      <c r="B6" s="469"/>
      <c r="C6" s="456"/>
      <c r="D6" s="476"/>
      <c r="E6" s="481"/>
    </row>
    <row r="7" spans="1:5">
      <c r="A7" s="464" t="s">
        <v>729</v>
      </c>
      <c r="B7" s="470">
        <v>3213122.48</v>
      </c>
      <c r="C7" s="471">
        <v>16932618.219999999</v>
      </c>
      <c r="D7" s="477">
        <f>C7/B7*100</f>
        <v>526.98327951693886</v>
      </c>
      <c r="E7" s="482">
        <f>C7/$C$7*100</f>
        <v>100</v>
      </c>
    </row>
    <row r="8" spans="1:5">
      <c r="A8" s="464" t="s">
        <v>347</v>
      </c>
      <c r="B8" s="470">
        <v>1343202782.5799999</v>
      </c>
      <c r="C8" s="471">
        <v>832263637.30000198</v>
      </c>
      <c r="D8" s="477">
        <f>C8/B8*100</f>
        <v>61.961131118371036</v>
      </c>
      <c r="E8" s="482">
        <f>C8/$C$8*100</f>
        <v>100</v>
      </c>
    </row>
    <row r="9" spans="1:5">
      <c r="A9" s="464" t="s">
        <v>730</v>
      </c>
      <c r="B9" s="470">
        <v>1345228454.1700003</v>
      </c>
      <c r="C9" s="471">
        <v>827516365.87999952</v>
      </c>
      <c r="D9" s="477">
        <f>C9/B9*100</f>
        <v>61.514931780905066</v>
      </c>
      <c r="E9" s="482">
        <f>C9/$C$9*100</f>
        <v>100</v>
      </c>
    </row>
    <row r="10" spans="1:5">
      <c r="A10" s="464" t="s">
        <v>731</v>
      </c>
      <c r="B10" s="470">
        <v>7823243.3299999963</v>
      </c>
      <c r="C10" s="471">
        <v>21914077.419999972</v>
      </c>
      <c r="D10" s="477">
        <f>C10/B10*100</f>
        <v>280.11499189812344</v>
      </c>
      <c r="E10" s="482">
        <f>C10/$C$10*100</f>
        <v>100</v>
      </c>
    </row>
    <row r="11" spans="1:5">
      <c r="A11" s="464" t="s">
        <v>732</v>
      </c>
      <c r="B11" s="470">
        <v>1187433.8900000001</v>
      </c>
      <c r="C11" s="471">
        <v>21677923.569999997</v>
      </c>
      <c r="D11" s="478" t="s">
        <v>771</v>
      </c>
      <c r="E11" s="482">
        <f>C11/$C$11*100</f>
        <v>100</v>
      </c>
    </row>
    <row r="12" spans="1:5">
      <c r="A12" s="464"/>
      <c r="B12" s="472"/>
      <c r="C12" s="457"/>
      <c r="D12" s="479"/>
      <c r="E12" s="483"/>
    </row>
    <row r="13" spans="1:5">
      <c r="A13" s="465" t="s">
        <v>724</v>
      </c>
      <c r="B13" s="472"/>
      <c r="C13" s="457"/>
      <c r="D13" s="479"/>
      <c r="E13" s="483"/>
    </row>
    <row r="14" spans="1:5">
      <c r="A14" s="464" t="s">
        <v>729</v>
      </c>
      <c r="B14" s="470">
        <v>864231.07999999984</v>
      </c>
      <c r="C14" s="471">
        <v>1479727.1500000001</v>
      </c>
      <c r="D14" s="477">
        <f>C14/B14*100</f>
        <v>171.21892330000449</v>
      </c>
      <c r="E14" s="482">
        <f>C14/$C$7*100</f>
        <v>8.738915215440322</v>
      </c>
    </row>
    <row r="15" spans="1:5">
      <c r="A15" s="464" t="s">
        <v>347</v>
      </c>
      <c r="B15" s="470">
        <v>436875980.14000005</v>
      </c>
      <c r="C15" s="471">
        <v>290972542.91999996</v>
      </c>
      <c r="D15" s="477">
        <f>C15/B15*100</f>
        <v>66.603007752167045</v>
      </c>
      <c r="E15" s="482">
        <f>C15/$C$8*100</f>
        <v>34.961583070475363</v>
      </c>
    </row>
    <row r="16" spans="1:5">
      <c r="A16" s="464" t="s">
        <v>730</v>
      </c>
      <c r="B16" s="470">
        <v>437298376.32999986</v>
      </c>
      <c r="C16" s="473">
        <v>290789351.92000031</v>
      </c>
      <c r="D16" s="477">
        <f>C16/B16*100</f>
        <v>66.496782896939237</v>
      </c>
      <c r="E16" s="482">
        <f>C16/$C$9*100</f>
        <v>35.140012199126524</v>
      </c>
    </row>
    <row r="17" spans="1:5">
      <c r="A17" s="464" t="s">
        <v>731</v>
      </c>
      <c r="B17" s="470">
        <v>2698617.6800000011</v>
      </c>
      <c r="C17" s="471">
        <v>3757870.0099999965</v>
      </c>
      <c r="D17" s="477">
        <f>C17/B17*100</f>
        <v>139.25166346646017</v>
      </c>
      <c r="E17" s="482">
        <f>C17/$C$10*100</f>
        <v>17.148200848146868</v>
      </c>
    </row>
    <row r="18" spans="1:5">
      <c r="A18" s="464" t="s">
        <v>732</v>
      </c>
      <c r="B18" s="470">
        <v>441817.89</v>
      </c>
      <c r="C18" s="471">
        <v>1661618.6999999997</v>
      </c>
      <c r="D18" s="477">
        <f>C18/B18*100</f>
        <v>376.08678544003726</v>
      </c>
      <c r="E18" s="482">
        <f>C18/$C$11*100</f>
        <v>7.6650270245417236</v>
      </c>
    </row>
    <row r="19" spans="1:5">
      <c r="A19" s="464"/>
      <c r="B19" s="472"/>
      <c r="C19" s="457"/>
      <c r="D19" s="479"/>
      <c r="E19" s="483"/>
    </row>
    <row r="20" spans="1:5">
      <c r="A20" s="465" t="s">
        <v>725</v>
      </c>
      <c r="B20" s="472"/>
      <c r="C20" s="457"/>
      <c r="D20" s="479"/>
      <c r="E20" s="483"/>
    </row>
    <row r="21" spans="1:5">
      <c r="A21" s="464" t="s">
        <v>729</v>
      </c>
      <c r="B21" s="470">
        <v>1364383.75</v>
      </c>
      <c r="C21" s="471">
        <v>1808737.04</v>
      </c>
      <c r="D21" s="477">
        <f>C21/B21*100</f>
        <v>132.56805792358639</v>
      </c>
      <c r="E21" s="482">
        <f>C21/$C$7*100</f>
        <v>10.681969064084882</v>
      </c>
    </row>
    <row r="22" spans="1:5">
      <c r="A22" s="464" t="s">
        <v>347</v>
      </c>
      <c r="B22" s="470">
        <v>74456825.559999987</v>
      </c>
      <c r="C22" s="471">
        <v>49013347.269999988</v>
      </c>
      <c r="D22" s="477">
        <f>C22/B22*100</f>
        <v>65.827876626976618</v>
      </c>
      <c r="E22" s="482">
        <f>C22/$C$8*100</f>
        <v>5.8891612072596642</v>
      </c>
    </row>
    <row r="23" spans="1:5">
      <c r="A23" s="464" t="s">
        <v>730</v>
      </c>
      <c r="B23" s="470">
        <v>75075723.310000002</v>
      </c>
      <c r="C23" s="471">
        <v>48954809.159999982</v>
      </c>
      <c r="D23" s="477">
        <f>C23/B23*100</f>
        <v>65.20724276988652</v>
      </c>
      <c r="E23" s="482">
        <f>C23/$C$9*100</f>
        <v>5.9158720212065337</v>
      </c>
    </row>
    <row r="24" spans="1:5">
      <c r="A24" s="464" t="s">
        <v>731</v>
      </c>
      <c r="B24" s="470">
        <v>2794422.6199999992</v>
      </c>
      <c r="C24" s="471">
        <v>3197228.9299999983</v>
      </c>
      <c r="D24" s="477">
        <f>C24/B24*100</f>
        <v>114.4146524980534</v>
      </c>
      <c r="E24" s="482">
        <f>C24/$C$10*100</f>
        <v>14.589840442390855</v>
      </c>
    </row>
    <row r="25" spans="1:5">
      <c r="A25" s="464" t="s">
        <v>732</v>
      </c>
      <c r="B25" s="470">
        <v>745486</v>
      </c>
      <c r="C25" s="471">
        <v>1866595.2700000003</v>
      </c>
      <c r="D25" s="477">
        <f>C25/B25*100</f>
        <v>250.38636138036134</v>
      </c>
      <c r="E25" s="482">
        <f>C25/$C$11*100</f>
        <v>8.6105814700037744</v>
      </c>
    </row>
    <row r="26" spans="1:5">
      <c r="A26" s="464"/>
      <c r="B26" s="472"/>
      <c r="C26" s="457"/>
      <c r="D26" s="479"/>
      <c r="E26" s="482"/>
    </row>
    <row r="27" spans="1:5">
      <c r="A27" s="465" t="s">
        <v>726</v>
      </c>
      <c r="B27" s="472"/>
      <c r="C27" s="457"/>
      <c r="D27" s="479"/>
      <c r="E27" s="483"/>
    </row>
    <row r="28" spans="1:5">
      <c r="A28" s="464" t="s">
        <v>729</v>
      </c>
      <c r="B28" s="470">
        <v>468531.64999999997</v>
      </c>
      <c r="C28" s="471">
        <v>12813519.15</v>
      </c>
      <c r="D28" s="478" t="s">
        <v>771</v>
      </c>
      <c r="E28" s="482">
        <f>C28/$C$7*100</f>
        <v>75.673584459993819</v>
      </c>
    </row>
    <row r="29" spans="1:5">
      <c r="A29" s="464" t="s">
        <v>347</v>
      </c>
      <c r="B29" s="470">
        <v>802667900.88</v>
      </c>
      <c r="C29" s="471">
        <v>471762019.73000002</v>
      </c>
      <c r="D29" s="477">
        <f>C29/B29*100</f>
        <v>58.774247632524812</v>
      </c>
      <c r="E29" s="482">
        <f>C29/$C$8*100</f>
        <v>56.68420420967476</v>
      </c>
    </row>
    <row r="30" spans="1:5">
      <c r="A30" s="464" t="s">
        <v>730</v>
      </c>
      <c r="B30" s="470">
        <v>803136302.52999997</v>
      </c>
      <c r="C30" s="471">
        <v>467115124.32000011</v>
      </c>
      <c r="D30" s="477">
        <f>C30/B30*100</f>
        <v>58.161375951817561</v>
      </c>
      <c r="E30" s="482">
        <f>C30/$C$9*100</f>
        <v>56.447841224657758</v>
      </c>
    </row>
    <row r="31" spans="1:5">
      <c r="A31" s="464" t="s">
        <v>731</v>
      </c>
      <c r="B31" s="470">
        <v>1636105.4200000002</v>
      </c>
      <c r="C31" s="471">
        <v>13907151.959999988</v>
      </c>
      <c r="D31" s="477">
        <f>C31/B31*100</f>
        <v>850.01564019022589</v>
      </c>
      <c r="E31" s="482">
        <f>C31/$C$10*100</f>
        <v>63.462183205155462</v>
      </c>
    </row>
    <row r="32" spans="1:5">
      <c r="A32" s="464" t="s">
        <v>732</v>
      </c>
      <c r="B32" s="470">
        <v>130</v>
      </c>
      <c r="C32" s="471">
        <v>17460427.82</v>
      </c>
      <c r="D32" s="478" t="s">
        <v>771</v>
      </c>
      <c r="E32" s="482">
        <f>C32/$C$11*100</f>
        <v>80.544742966819143</v>
      </c>
    </row>
    <row r="33" spans="1:5">
      <c r="A33" s="464"/>
      <c r="B33" s="472"/>
      <c r="C33" s="457"/>
      <c r="D33" s="479"/>
      <c r="E33" s="482"/>
    </row>
    <row r="34" spans="1:5">
      <c r="A34" s="465" t="s">
        <v>727</v>
      </c>
      <c r="B34" s="472"/>
      <c r="C34" s="457"/>
      <c r="D34" s="479"/>
      <c r="E34" s="483"/>
    </row>
    <row r="35" spans="1:5">
      <c r="A35" s="464" t="s">
        <v>729</v>
      </c>
      <c r="B35" s="470">
        <v>515976</v>
      </c>
      <c r="C35" s="471">
        <v>830634.88000000012</v>
      </c>
      <c r="D35" s="477">
        <f>C35/B35*100</f>
        <v>160.98323953052082</v>
      </c>
      <c r="E35" s="482">
        <f>C35/$C$7*100</f>
        <v>4.9055312604809922</v>
      </c>
    </row>
    <row r="36" spans="1:5">
      <c r="A36" s="464" t="s">
        <v>347</v>
      </c>
      <c r="B36" s="470">
        <v>29202076</v>
      </c>
      <c r="C36" s="471">
        <v>20515727.380000003</v>
      </c>
      <c r="D36" s="477">
        <f>C36/B36*100</f>
        <v>70.254345547213845</v>
      </c>
      <c r="E36" s="482">
        <f>C36/$C$8*100</f>
        <v>2.4650515125899704</v>
      </c>
    </row>
    <row r="37" spans="1:5">
      <c r="A37" s="464" t="s">
        <v>730</v>
      </c>
      <c r="B37" s="470">
        <v>29718052</v>
      </c>
      <c r="C37" s="471">
        <v>20657080.48</v>
      </c>
      <c r="D37" s="477">
        <f>C37/B37*100</f>
        <v>69.510210426982226</v>
      </c>
      <c r="E37" s="482">
        <f>C37/$C$9*100</f>
        <v>2.4962745550092893</v>
      </c>
    </row>
    <row r="38" spans="1:5">
      <c r="A38" s="464" t="s">
        <v>731</v>
      </c>
      <c r="B38" s="470">
        <v>694097.61</v>
      </c>
      <c r="C38" s="471">
        <v>1051826.5199999998</v>
      </c>
      <c r="D38" s="477">
        <f>C38/B38*100</f>
        <v>151.53870361259416</v>
      </c>
      <c r="E38" s="482">
        <f>C38/$C$10*100</f>
        <v>4.7997755043068624</v>
      </c>
    </row>
    <row r="39" spans="1:5">
      <c r="A39" s="464" t="s">
        <v>732</v>
      </c>
      <c r="B39" s="470">
        <v>0</v>
      </c>
      <c r="C39" s="471">
        <v>689281.78</v>
      </c>
      <c r="D39" s="478" t="s">
        <v>76</v>
      </c>
      <c r="E39" s="482">
        <f>C39/$C$11*100</f>
        <v>3.1796485386353823</v>
      </c>
    </row>
    <row r="40" spans="1:5">
      <c r="A40" s="466"/>
      <c r="B40" s="474"/>
      <c r="C40" s="458"/>
      <c r="D40" s="480"/>
      <c r="E40" s="484"/>
    </row>
    <row r="41" spans="1:5" ht="5.45" customHeight="1">
      <c r="A41" s="198" t="s">
        <v>3</v>
      </c>
      <c r="B41" s="198"/>
      <c r="C41" s="198"/>
      <c r="D41" s="198"/>
      <c r="E41" s="198"/>
    </row>
    <row r="42" spans="1:5" ht="25.9" customHeight="1">
      <c r="A42" s="1918" t="s">
        <v>880</v>
      </c>
      <c r="B42" s="1918"/>
      <c r="C42" s="1918"/>
      <c r="D42" s="1918"/>
      <c r="E42" s="1918"/>
    </row>
    <row r="43" spans="1:5">
      <c r="A43" s="1918" t="s">
        <v>1150</v>
      </c>
      <c r="B43" s="1918"/>
      <c r="C43" s="1918"/>
      <c r="D43" s="1918"/>
      <c r="E43" s="1918"/>
    </row>
    <row r="44" spans="1:5">
      <c r="A44" s="1918"/>
      <c r="B44" s="1918"/>
      <c r="C44" s="1918"/>
      <c r="D44" s="1918"/>
      <c r="E44" s="1918"/>
    </row>
  </sheetData>
  <mergeCells count="5">
    <mergeCell ref="A1:E1"/>
    <mergeCell ref="A3:A4"/>
    <mergeCell ref="A42:E42"/>
    <mergeCell ref="A43:E43"/>
    <mergeCell ref="A44:E4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94"/>
  <sheetViews>
    <sheetView showGridLines="0" topLeftCell="A73" zoomScaleNormal="100" zoomScaleSheetLayoutView="100" workbookViewId="0">
      <selection activeCell="E116" sqref="E116"/>
    </sheetView>
  </sheetViews>
  <sheetFormatPr defaultColWidth="9.140625" defaultRowHeight="13.5"/>
  <cols>
    <col min="1" max="1" width="28.7109375" style="1097" customWidth="1"/>
    <col min="2" max="4" width="13.140625" style="1097" bestFit="1" customWidth="1"/>
    <col min="5" max="5" width="11.42578125" style="1097" bestFit="1" customWidth="1"/>
    <col min="6" max="8" width="10.28515625" style="1097" bestFit="1" customWidth="1"/>
    <col min="9" max="9" width="9.28515625" style="1097" bestFit="1" customWidth="1"/>
    <col min="10" max="10" width="7.28515625" style="1097" bestFit="1" customWidth="1"/>
    <col min="11" max="11" width="7.140625" style="1097" bestFit="1" customWidth="1"/>
    <col min="12" max="12" width="7.85546875" style="1097" bestFit="1" customWidth="1"/>
    <col min="13" max="16384" width="9.140625" style="1097"/>
  </cols>
  <sheetData>
    <row r="1" spans="1:12">
      <c r="A1" s="1928" t="s">
        <v>1103</v>
      </c>
      <c r="B1" s="1928"/>
      <c r="C1" s="1928"/>
      <c r="D1" s="1928"/>
      <c r="E1" s="1928"/>
      <c r="F1" s="1928"/>
      <c r="G1" s="1928"/>
      <c r="H1" s="1928"/>
      <c r="I1" s="1928"/>
      <c r="J1" s="1928"/>
      <c r="K1" s="1928"/>
      <c r="L1" s="1928"/>
    </row>
    <row r="3" spans="1:12" ht="81">
      <c r="A3" s="1692" t="s">
        <v>218</v>
      </c>
      <c r="B3" s="1134" t="s">
        <v>1080</v>
      </c>
      <c r="C3" s="1135" t="s">
        <v>1081</v>
      </c>
      <c r="D3" s="1135" t="s">
        <v>1082</v>
      </c>
      <c r="E3" s="1135" t="s">
        <v>1083</v>
      </c>
      <c r="F3" s="1135" t="s">
        <v>1084</v>
      </c>
      <c r="G3" s="1135" t="s">
        <v>1085</v>
      </c>
      <c r="H3" s="1135" t="s">
        <v>1086</v>
      </c>
      <c r="I3" s="1136" t="s">
        <v>1087</v>
      </c>
      <c r="J3" s="1137" t="s">
        <v>219</v>
      </c>
      <c r="K3" s="1135" t="s">
        <v>1079</v>
      </c>
      <c r="L3" s="1138" t="s">
        <v>221</v>
      </c>
    </row>
    <row r="4" spans="1:12">
      <c r="A4" s="1925"/>
      <c r="B4" s="1926" t="s">
        <v>4</v>
      </c>
      <c r="C4" s="1695"/>
      <c r="D4" s="1695"/>
      <c r="E4" s="1695"/>
      <c r="F4" s="1695"/>
      <c r="G4" s="1695"/>
      <c r="H4" s="1695"/>
      <c r="I4" s="1696"/>
      <c r="J4" s="1694" t="s">
        <v>5</v>
      </c>
      <c r="K4" s="1695"/>
      <c r="L4" s="1697"/>
    </row>
    <row r="5" spans="1:12">
      <c r="A5" s="1328" t="s">
        <v>887</v>
      </c>
      <c r="B5" s="1327" t="s">
        <v>888</v>
      </c>
      <c r="C5" s="1294" t="s">
        <v>889</v>
      </c>
      <c r="D5" s="1294" t="s">
        <v>890</v>
      </c>
      <c r="E5" s="1295" t="s">
        <v>891</v>
      </c>
      <c r="F5" s="1294" t="s">
        <v>892</v>
      </c>
      <c r="G5" s="1295" t="s">
        <v>893</v>
      </c>
      <c r="H5" s="1294" t="s">
        <v>894</v>
      </c>
      <c r="I5" s="1329" t="s">
        <v>932</v>
      </c>
      <c r="J5" s="1330" t="s">
        <v>966</v>
      </c>
      <c r="K5" s="1295" t="s">
        <v>967</v>
      </c>
      <c r="L5" s="1296" t="s">
        <v>969</v>
      </c>
    </row>
    <row r="6" spans="1:12">
      <c r="A6" s="1123" t="s">
        <v>222</v>
      </c>
      <c r="B6" s="266">
        <v>159266998771.89999</v>
      </c>
      <c r="C6" s="263">
        <v>163483714832.92999</v>
      </c>
      <c r="D6" s="263">
        <v>162622004440.01999</v>
      </c>
      <c r="E6" s="263">
        <v>3125845381.1199999</v>
      </c>
      <c r="F6" s="263">
        <v>819998073.26999998</v>
      </c>
      <c r="G6" s="263">
        <v>129653812.81</v>
      </c>
      <c r="H6" s="263">
        <v>85218809.709999993</v>
      </c>
      <c r="I6" s="280">
        <v>2198072.17</v>
      </c>
      <c r="J6" s="1130">
        <v>99.999999999999986</v>
      </c>
      <c r="K6" s="1114">
        <v>102.64757676954102</v>
      </c>
      <c r="L6" s="1115"/>
    </row>
    <row r="7" spans="1:12" ht="27">
      <c r="A7" s="1124" t="s">
        <v>223</v>
      </c>
      <c r="B7" s="267">
        <v>66348561347.469986</v>
      </c>
      <c r="C7" s="253">
        <v>69231325392.569992</v>
      </c>
      <c r="D7" s="253">
        <v>68573194068.61998</v>
      </c>
      <c r="E7" s="253">
        <v>3125845381.1199999</v>
      </c>
      <c r="F7" s="253">
        <v>819998073.26999998</v>
      </c>
      <c r="G7" s="253">
        <v>129653812.81</v>
      </c>
      <c r="H7" s="253">
        <v>85218809.709999993</v>
      </c>
      <c r="I7" s="281">
        <v>2198072.17</v>
      </c>
      <c r="J7" s="1131">
        <v>42.347536244402093</v>
      </c>
      <c r="K7" s="1108">
        <v>104.34487799969446</v>
      </c>
      <c r="L7" s="1109">
        <v>100</v>
      </c>
    </row>
    <row r="8" spans="1:12">
      <c r="A8" s="1125" t="s">
        <v>224</v>
      </c>
      <c r="B8" s="268">
        <v>1331117352.8399999</v>
      </c>
      <c r="C8" s="256">
        <v>1603817988</v>
      </c>
      <c r="D8" s="256">
        <v>1607325691.6099999</v>
      </c>
      <c r="E8" s="256">
        <v>0</v>
      </c>
      <c r="F8" s="256">
        <v>0</v>
      </c>
      <c r="G8" s="256">
        <v>0</v>
      </c>
      <c r="H8" s="256">
        <v>0</v>
      </c>
      <c r="I8" s="282">
        <v>0</v>
      </c>
      <c r="J8" s="1132">
        <v>0.98102614663423837</v>
      </c>
      <c r="K8" s="1110">
        <v>120.48659605993272</v>
      </c>
      <c r="L8" s="1111">
        <v>2.3166073723212643</v>
      </c>
    </row>
    <row r="9" spans="1:12">
      <c r="A9" s="1125" t="s">
        <v>225</v>
      </c>
      <c r="B9" s="268">
        <v>24012093970.169998</v>
      </c>
      <c r="C9" s="256">
        <v>25885024490</v>
      </c>
      <c r="D9" s="256">
        <v>25309352461.669998</v>
      </c>
      <c r="E9" s="256">
        <v>0</v>
      </c>
      <c r="F9" s="256">
        <v>0</v>
      </c>
      <c r="G9" s="256">
        <v>0</v>
      </c>
      <c r="H9" s="256">
        <v>0</v>
      </c>
      <c r="I9" s="282">
        <v>0</v>
      </c>
      <c r="J9" s="1132">
        <v>15.833396321127676</v>
      </c>
      <c r="K9" s="1110">
        <v>107.7999466525357</v>
      </c>
      <c r="L9" s="1111">
        <v>37.389179454851259</v>
      </c>
    </row>
    <row r="10" spans="1:12">
      <c r="A10" s="1125" t="s">
        <v>80</v>
      </c>
      <c r="B10" s="268">
        <v>1651696790.3199999</v>
      </c>
      <c r="C10" s="256">
        <v>1626332428.53</v>
      </c>
      <c r="D10" s="256">
        <v>1624421282.73</v>
      </c>
      <c r="E10" s="256">
        <v>142420105.31</v>
      </c>
      <c r="F10" s="256">
        <v>1008051.11</v>
      </c>
      <c r="G10" s="256">
        <v>4030304.86</v>
      </c>
      <c r="H10" s="256">
        <v>754067.19</v>
      </c>
      <c r="I10" s="282">
        <v>2941.26</v>
      </c>
      <c r="J10" s="1132">
        <v>0.99479781835885539</v>
      </c>
      <c r="K10" s="1110">
        <v>98.464345154712944</v>
      </c>
      <c r="L10" s="1111">
        <v>2.3491279696120628</v>
      </c>
    </row>
    <row r="11" spans="1:12">
      <c r="A11" s="1125" t="s">
        <v>81</v>
      </c>
      <c r="B11" s="268">
        <v>15821263548.809999</v>
      </c>
      <c r="C11" s="1146">
        <v>16127216441.049999</v>
      </c>
      <c r="D11" s="256">
        <v>16089486411.41</v>
      </c>
      <c r="E11" s="256">
        <v>2116203835.8599999</v>
      </c>
      <c r="F11" s="256">
        <v>679339308.88</v>
      </c>
      <c r="G11" s="256">
        <v>101815935.11</v>
      </c>
      <c r="H11" s="256">
        <v>67820930.219999999</v>
      </c>
      <c r="I11" s="282">
        <v>1503392.94</v>
      </c>
      <c r="J11" s="1132">
        <v>9.8647235032131455</v>
      </c>
      <c r="K11" s="1110">
        <v>101.93380820246189</v>
      </c>
      <c r="L11" s="1111">
        <v>23.294681056013403</v>
      </c>
    </row>
    <row r="12" spans="1:12">
      <c r="A12" s="1125" t="s">
        <v>226</v>
      </c>
      <c r="B12" s="268">
        <v>302455080.56999999</v>
      </c>
      <c r="C12" s="1146">
        <v>301843496.86000001</v>
      </c>
      <c r="D12" s="256">
        <v>301508261.31999999</v>
      </c>
      <c r="E12" s="256">
        <v>929661.6</v>
      </c>
      <c r="F12" s="256">
        <v>583967.62</v>
      </c>
      <c r="G12" s="256">
        <v>188882.42</v>
      </c>
      <c r="H12" s="256">
        <v>5477.85</v>
      </c>
      <c r="I12" s="282">
        <v>274.24</v>
      </c>
      <c r="J12" s="1132">
        <v>0.18463214954985879</v>
      </c>
      <c r="K12" s="1110">
        <v>99.797793540499498</v>
      </c>
      <c r="L12" s="1111">
        <v>0.43599265960665007</v>
      </c>
    </row>
    <row r="13" spans="1:12">
      <c r="A13" s="1125" t="s">
        <v>227</v>
      </c>
      <c r="B13" s="268">
        <v>881104610.45000005</v>
      </c>
      <c r="C13" s="1146">
        <v>894745884.26999998</v>
      </c>
      <c r="D13" s="256">
        <v>893438213.84000003</v>
      </c>
      <c r="E13" s="256">
        <v>861525959.75</v>
      </c>
      <c r="F13" s="256">
        <v>4697308.43</v>
      </c>
      <c r="G13" s="256">
        <v>6190210.3399999999</v>
      </c>
      <c r="H13" s="256">
        <v>2800037.15</v>
      </c>
      <c r="I13" s="282">
        <v>32951.5</v>
      </c>
      <c r="J13" s="1132">
        <v>0.54729970210450241</v>
      </c>
      <c r="K13" s="1110">
        <v>101.54820138928034</v>
      </c>
      <c r="L13" s="1111">
        <v>1.2924003392921111</v>
      </c>
    </row>
    <row r="14" spans="1:12" ht="27">
      <c r="A14" s="1125" t="s">
        <v>228</v>
      </c>
      <c r="B14" s="268">
        <v>67807384.890000001</v>
      </c>
      <c r="C14" s="1146">
        <v>93170102.290000007</v>
      </c>
      <c r="D14" s="256">
        <v>93293830.459999993</v>
      </c>
      <c r="E14" s="256">
        <v>0</v>
      </c>
      <c r="F14" s="256">
        <v>0</v>
      </c>
      <c r="G14" s="256">
        <v>58378.67</v>
      </c>
      <c r="H14" s="256">
        <v>163766.09</v>
      </c>
      <c r="I14" s="282">
        <v>0</v>
      </c>
      <c r="J14" s="1132">
        <v>5.6990448489143981E-2</v>
      </c>
      <c r="K14" s="1110">
        <v>137.40406364460813</v>
      </c>
      <c r="L14" s="1111">
        <v>0.13457795551607216</v>
      </c>
    </row>
    <row r="15" spans="1:12">
      <c r="A15" s="1125" t="s">
        <v>229</v>
      </c>
      <c r="B15" s="268">
        <v>149192484.50999999</v>
      </c>
      <c r="C15" s="1146">
        <v>187550960.22999999</v>
      </c>
      <c r="D15" s="256">
        <v>187244187.94</v>
      </c>
      <c r="E15" s="256">
        <v>0</v>
      </c>
      <c r="F15" s="256">
        <v>0</v>
      </c>
      <c r="G15" s="256">
        <v>4360537.3</v>
      </c>
      <c r="H15" s="256">
        <v>5253036.4800000004</v>
      </c>
      <c r="I15" s="282">
        <v>0</v>
      </c>
      <c r="J15" s="1132">
        <v>0.114721494077661</v>
      </c>
      <c r="K15" s="1110">
        <v>125.71072922740215</v>
      </c>
      <c r="L15" s="1111">
        <v>0.27090476625502857</v>
      </c>
    </row>
    <row r="16" spans="1:12">
      <c r="A16" s="1125" t="s">
        <v>86</v>
      </c>
      <c r="B16" s="268">
        <v>1609013450.8900001</v>
      </c>
      <c r="C16" s="1146">
        <v>2022683577.3</v>
      </c>
      <c r="D16" s="256">
        <v>2027671551.98</v>
      </c>
      <c r="E16" s="256">
        <v>0</v>
      </c>
      <c r="F16" s="256">
        <v>0</v>
      </c>
      <c r="G16" s="256">
        <v>204057.99</v>
      </c>
      <c r="H16" s="256">
        <v>603722.91</v>
      </c>
      <c r="I16" s="282">
        <v>0</v>
      </c>
      <c r="J16" s="1132">
        <v>1.2372385710509788</v>
      </c>
      <c r="K16" s="1110">
        <v>125.70955054360701</v>
      </c>
      <c r="L16" s="1111">
        <v>2.9216305853319362</v>
      </c>
    </row>
    <row r="17" spans="1:12">
      <c r="A17" s="1125" t="s">
        <v>230</v>
      </c>
      <c r="B17" s="268">
        <v>189560977.15000001</v>
      </c>
      <c r="C17" s="1146">
        <v>209854329.03</v>
      </c>
      <c r="D17" s="256">
        <v>209572108.66</v>
      </c>
      <c r="E17" s="256">
        <v>0</v>
      </c>
      <c r="F17" s="256">
        <v>6150.71</v>
      </c>
      <c r="G17" s="256">
        <v>438</v>
      </c>
      <c r="H17" s="256">
        <v>2461.08</v>
      </c>
      <c r="I17" s="282">
        <v>0</v>
      </c>
      <c r="J17" s="1132">
        <v>0.12836405708327453</v>
      </c>
      <c r="K17" s="1110">
        <v>110.70544802263908</v>
      </c>
      <c r="L17" s="1111">
        <v>0.30312048460727847</v>
      </c>
    </row>
    <row r="18" spans="1:12">
      <c r="A18" s="1125" t="s">
        <v>88</v>
      </c>
      <c r="B18" s="268">
        <v>392629698.05000001</v>
      </c>
      <c r="C18" s="1146">
        <v>378320275.88</v>
      </c>
      <c r="D18" s="256">
        <v>378408985.18000001</v>
      </c>
      <c r="E18" s="256">
        <v>0</v>
      </c>
      <c r="F18" s="256">
        <v>0</v>
      </c>
      <c r="G18" s="256">
        <v>12465.89</v>
      </c>
      <c r="H18" s="256">
        <v>43142.6</v>
      </c>
      <c r="I18" s="282">
        <v>0</v>
      </c>
      <c r="J18" s="1132">
        <v>0.23141159733654168</v>
      </c>
      <c r="K18" s="1110">
        <v>96.355491639815341</v>
      </c>
      <c r="L18" s="1111">
        <v>0.54645823077164701</v>
      </c>
    </row>
    <row r="19" spans="1:12">
      <c r="A19" s="1125" t="s">
        <v>89</v>
      </c>
      <c r="B19" s="268">
        <v>2348472.48</v>
      </c>
      <c r="C19" s="1146">
        <v>1498051.19</v>
      </c>
      <c r="D19" s="256">
        <v>1513525.19</v>
      </c>
      <c r="E19" s="256">
        <v>88537.89</v>
      </c>
      <c r="F19" s="256">
        <v>0</v>
      </c>
      <c r="G19" s="256">
        <v>3300</v>
      </c>
      <c r="H19" s="256">
        <v>121134.85</v>
      </c>
      <c r="I19" s="282">
        <v>0</v>
      </c>
      <c r="J19" s="1132">
        <v>9.1633052963771544E-4</v>
      </c>
      <c r="K19" s="1110">
        <v>63.788322101181272</v>
      </c>
      <c r="L19" s="1111">
        <v>2.1638343358377663E-3</v>
      </c>
    </row>
    <row r="20" spans="1:12">
      <c r="A20" s="1125" t="s">
        <v>90</v>
      </c>
      <c r="B20" s="268">
        <v>4230747580.1999998</v>
      </c>
      <c r="C20" s="1146">
        <v>4294968424.0100002</v>
      </c>
      <c r="D20" s="256">
        <v>4270941167.4200001</v>
      </c>
      <c r="E20" s="256">
        <v>0</v>
      </c>
      <c r="F20" s="256">
        <v>186284.38</v>
      </c>
      <c r="G20" s="256">
        <v>0</v>
      </c>
      <c r="H20" s="256">
        <v>146085.82</v>
      </c>
      <c r="I20" s="282">
        <v>0</v>
      </c>
      <c r="J20" s="1132">
        <v>2.6271536760705407</v>
      </c>
      <c r="K20" s="1110">
        <v>101.51795498532115</v>
      </c>
      <c r="L20" s="1111">
        <v>6.2037934412720954</v>
      </c>
    </row>
    <row r="21" spans="1:12">
      <c r="A21" s="1125" t="s">
        <v>231</v>
      </c>
      <c r="B21" s="268">
        <v>15707529946.139996</v>
      </c>
      <c r="C21" s="256">
        <v>15604298943.929995</v>
      </c>
      <c r="D21" s="256">
        <v>15579016389.209982</v>
      </c>
      <c r="E21" s="256">
        <v>4677280.7100000242</v>
      </c>
      <c r="F21" s="256">
        <v>134177002.13999996</v>
      </c>
      <c r="G21" s="256">
        <v>12789302.229999999</v>
      </c>
      <c r="H21" s="256">
        <v>7504947.4699999969</v>
      </c>
      <c r="I21" s="282">
        <v>658512.23000000021</v>
      </c>
      <c r="J21" s="1132">
        <v>9.5448644287760409</v>
      </c>
      <c r="K21" s="1110">
        <v>99.3427928989219</v>
      </c>
      <c r="L21" s="1113">
        <v>22.539361850213357</v>
      </c>
    </row>
    <row r="22" spans="1:12">
      <c r="A22" s="1124" t="s">
        <v>1100</v>
      </c>
      <c r="B22" s="267">
        <v>54707125587.659996</v>
      </c>
      <c r="C22" s="253">
        <v>53360405488.360001</v>
      </c>
      <c r="D22" s="253">
        <v>53323457011.960007</v>
      </c>
      <c r="E22" s="256" t="s">
        <v>232</v>
      </c>
      <c r="F22" s="256" t="s">
        <v>232</v>
      </c>
      <c r="G22" s="256" t="s">
        <v>232</v>
      </c>
      <c r="H22" s="256" t="s">
        <v>232</v>
      </c>
      <c r="I22" s="282" t="s">
        <v>232</v>
      </c>
      <c r="J22" s="1131">
        <v>32.639584647859856</v>
      </c>
      <c r="K22" s="1109">
        <v>97.538309525800116</v>
      </c>
      <c r="L22" s="1331"/>
    </row>
    <row r="23" spans="1:12" ht="27">
      <c r="A23" s="1124" t="s">
        <v>233</v>
      </c>
      <c r="B23" s="267">
        <v>48311934516.899994</v>
      </c>
      <c r="C23" s="253">
        <v>48890665067.690002</v>
      </c>
      <c r="D23" s="253">
        <v>48855269329.200005</v>
      </c>
      <c r="E23" s="256" t="s">
        <v>232</v>
      </c>
      <c r="F23" s="256" t="s">
        <v>232</v>
      </c>
      <c r="G23" s="256" t="s">
        <v>232</v>
      </c>
      <c r="H23" s="256" t="s">
        <v>232</v>
      </c>
      <c r="I23" s="282" t="s">
        <v>232</v>
      </c>
      <c r="J23" s="1131">
        <v>29.905526136137272</v>
      </c>
      <c r="K23" s="1109">
        <v>101.19790390630614</v>
      </c>
      <c r="L23" s="1331"/>
    </row>
    <row r="24" spans="1:12">
      <c r="A24" s="1125" t="s">
        <v>234</v>
      </c>
      <c r="B24" s="268">
        <v>40654674440.839996</v>
      </c>
      <c r="C24" s="256">
        <v>40467411835.709999</v>
      </c>
      <c r="D24" s="256">
        <v>40473605376.480003</v>
      </c>
      <c r="E24" s="256" t="s">
        <v>232</v>
      </c>
      <c r="F24" s="256" t="s">
        <v>232</v>
      </c>
      <c r="G24" s="256" t="s">
        <v>232</v>
      </c>
      <c r="H24" s="256" t="s">
        <v>232</v>
      </c>
      <c r="I24" s="282" t="s">
        <v>232</v>
      </c>
      <c r="J24" s="1132">
        <v>24.75317610507269</v>
      </c>
      <c r="K24" s="1111">
        <v>99.539382352200363</v>
      </c>
      <c r="L24" s="1331"/>
    </row>
    <row r="25" spans="1:12">
      <c r="A25" s="1144" t="s">
        <v>235</v>
      </c>
      <c r="B25" s="268">
        <v>17105017.91</v>
      </c>
      <c r="C25" s="256">
        <v>14550275.699999999</v>
      </c>
      <c r="D25" s="256">
        <v>14867420.890000001</v>
      </c>
      <c r="E25" s="256" t="s">
        <v>232</v>
      </c>
      <c r="F25" s="256" t="s">
        <v>232</v>
      </c>
      <c r="G25" s="256" t="s">
        <v>232</v>
      </c>
      <c r="H25" s="256" t="s">
        <v>232</v>
      </c>
      <c r="I25" s="282" t="s">
        <v>232</v>
      </c>
      <c r="J25" s="1132">
        <v>8.900137677241713E-3</v>
      </c>
      <c r="K25" s="1111">
        <v>85.064369862445815</v>
      </c>
      <c r="L25" s="1331"/>
    </row>
    <row r="26" spans="1:12">
      <c r="A26" s="1125" t="s">
        <v>236</v>
      </c>
      <c r="B26" s="268">
        <v>3721064305.8899999</v>
      </c>
      <c r="C26" s="256">
        <v>3553063412.6900001</v>
      </c>
      <c r="D26" s="256">
        <v>3562241598.1900001</v>
      </c>
      <c r="E26" s="256" t="s">
        <v>232</v>
      </c>
      <c r="F26" s="256" t="s">
        <v>232</v>
      </c>
      <c r="G26" s="256" t="s">
        <v>232</v>
      </c>
      <c r="H26" s="256" t="s">
        <v>232</v>
      </c>
      <c r="I26" s="282" t="s">
        <v>232</v>
      </c>
      <c r="J26" s="1132">
        <v>2.1733439421296525</v>
      </c>
      <c r="K26" s="1111">
        <v>95.485138675672047</v>
      </c>
      <c r="L26" s="1331"/>
    </row>
    <row r="27" spans="1:12">
      <c r="A27" s="1144" t="s">
        <v>235</v>
      </c>
      <c r="B27" s="268">
        <v>424089633.17000002</v>
      </c>
      <c r="C27" s="256">
        <v>344580547.00999999</v>
      </c>
      <c r="D27" s="256">
        <v>345364677.98000002</v>
      </c>
      <c r="E27" s="256" t="s">
        <v>232</v>
      </c>
      <c r="F27" s="256" t="s">
        <v>232</v>
      </c>
      <c r="G27" s="256" t="s">
        <v>232</v>
      </c>
      <c r="H27" s="256" t="s">
        <v>232</v>
      </c>
      <c r="I27" s="282" t="s">
        <v>232</v>
      </c>
      <c r="J27" s="1132">
        <v>0.2107736219244464</v>
      </c>
      <c r="K27" s="1111">
        <v>81.251820383893204</v>
      </c>
      <c r="L27" s="1331"/>
    </row>
    <row r="28" spans="1:12" ht="27">
      <c r="A28" s="1125" t="s">
        <v>363</v>
      </c>
      <c r="B28" s="268">
        <v>49510771.799999997</v>
      </c>
      <c r="C28" s="256">
        <v>45464904.25</v>
      </c>
      <c r="D28" s="256">
        <v>45535577.810000002</v>
      </c>
      <c r="E28" s="256" t="s">
        <v>232</v>
      </c>
      <c r="F28" s="256" t="s">
        <v>232</v>
      </c>
      <c r="G28" s="256" t="s">
        <v>232</v>
      </c>
      <c r="H28" s="256" t="s">
        <v>232</v>
      </c>
      <c r="I28" s="282" t="s">
        <v>232</v>
      </c>
      <c r="J28" s="1132">
        <v>2.7810050864370349E-2</v>
      </c>
      <c r="K28" s="1111">
        <v>91.828308461149874</v>
      </c>
      <c r="L28" s="1331"/>
    </row>
    <row r="29" spans="1:12">
      <c r="A29" s="1144" t="s">
        <v>235</v>
      </c>
      <c r="B29" s="268">
        <v>9390464.4100000001</v>
      </c>
      <c r="C29" s="256">
        <v>8601800.9499999993</v>
      </c>
      <c r="D29" s="256">
        <v>8601800.9499999993</v>
      </c>
      <c r="E29" s="256" t="s">
        <v>232</v>
      </c>
      <c r="F29" s="256" t="s">
        <v>232</v>
      </c>
      <c r="G29" s="256" t="s">
        <v>232</v>
      </c>
      <c r="H29" s="256" t="s">
        <v>232</v>
      </c>
      <c r="I29" s="282" t="s">
        <v>232</v>
      </c>
      <c r="J29" s="1132">
        <v>5.2615644064550994E-3</v>
      </c>
      <c r="K29" s="1111">
        <v>91.601443490269276</v>
      </c>
      <c r="L29" s="1331"/>
    </row>
    <row r="30" spans="1:12" ht="27">
      <c r="A30" s="1125" t="s">
        <v>362</v>
      </c>
      <c r="B30" s="268">
        <v>600256930.89999998</v>
      </c>
      <c r="C30" s="256">
        <v>583393430.72000003</v>
      </c>
      <c r="D30" s="256">
        <v>582028200.96000099</v>
      </c>
      <c r="E30" s="256" t="s">
        <v>232</v>
      </c>
      <c r="F30" s="256" t="s">
        <v>232</v>
      </c>
      <c r="G30" s="256" t="s">
        <v>232</v>
      </c>
      <c r="H30" s="256" t="s">
        <v>232</v>
      </c>
      <c r="I30" s="282" t="s">
        <v>232</v>
      </c>
      <c r="J30" s="1132">
        <v>0.35685109756417704</v>
      </c>
      <c r="K30" s="1111">
        <v>97.190619664363467</v>
      </c>
      <c r="L30" s="1331"/>
    </row>
    <row r="31" spans="1:12">
      <c r="A31" s="1144" t="s">
        <v>235</v>
      </c>
      <c r="B31" s="268">
        <v>248804466.59999999</v>
      </c>
      <c r="C31" s="256">
        <v>225420346.25</v>
      </c>
      <c r="D31" s="256">
        <v>223385323.72</v>
      </c>
      <c r="E31" s="256" t="s">
        <v>232</v>
      </c>
      <c r="F31" s="256" t="s">
        <v>232</v>
      </c>
      <c r="G31" s="256" t="s">
        <v>232</v>
      </c>
      <c r="H31" s="256" t="s">
        <v>232</v>
      </c>
      <c r="I31" s="282" t="s">
        <v>232</v>
      </c>
      <c r="J31" s="1132">
        <v>0.13788550528128463</v>
      </c>
      <c r="K31" s="1111">
        <v>90.601406530376167</v>
      </c>
      <c r="L31" s="1331"/>
    </row>
    <row r="32" spans="1:12" ht="40.5">
      <c r="A32" s="1125" t="s">
        <v>237</v>
      </c>
      <c r="B32" s="268">
        <v>434358837.81</v>
      </c>
      <c r="C32" s="256">
        <v>383868624.31</v>
      </c>
      <c r="D32" s="256">
        <v>383778007.36000001</v>
      </c>
      <c r="E32" s="256" t="s">
        <v>232</v>
      </c>
      <c r="F32" s="256" t="s">
        <v>232</v>
      </c>
      <c r="G32" s="256" t="s">
        <v>232</v>
      </c>
      <c r="H32" s="256" t="s">
        <v>232</v>
      </c>
      <c r="I32" s="282" t="s">
        <v>232</v>
      </c>
      <c r="J32" s="1132">
        <v>0.23480542065140217</v>
      </c>
      <c r="K32" s="1111">
        <v>88.375921218832033</v>
      </c>
      <c r="L32" s="1331"/>
    </row>
    <row r="33" spans="1:13">
      <c r="A33" s="1144" t="s">
        <v>235</v>
      </c>
      <c r="B33" s="268">
        <v>362746946.75</v>
      </c>
      <c r="C33" s="256">
        <v>313253182.12</v>
      </c>
      <c r="D33" s="256">
        <v>313136554.94</v>
      </c>
      <c r="E33" s="256" t="s">
        <v>232</v>
      </c>
      <c r="F33" s="256" t="s">
        <v>232</v>
      </c>
      <c r="G33" s="256" t="s">
        <v>232</v>
      </c>
      <c r="H33" s="256" t="s">
        <v>232</v>
      </c>
      <c r="I33" s="282" t="s">
        <v>232</v>
      </c>
      <c r="J33" s="1132">
        <v>0.19161124546265965</v>
      </c>
      <c r="K33" s="1111">
        <v>86.355842530602914</v>
      </c>
      <c r="L33" s="1331"/>
    </row>
    <row r="34" spans="1:13">
      <c r="A34" s="1125" t="s">
        <v>238</v>
      </c>
      <c r="B34" s="268">
        <v>307624459.42000002</v>
      </c>
      <c r="C34" s="256">
        <v>286357832.91000003</v>
      </c>
      <c r="D34" s="256">
        <v>285632712.55000001</v>
      </c>
      <c r="E34" s="256" t="s">
        <v>232</v>
      </c>
      <c r="F34" s="256" t="s">
        <v>232</v>
      </c>
      <c r="G34" s="256" t="s">
        <v>232</v>
      </c>
      <c r="H34" s="256" t="s">
        <v>232</v>
      </c>
      <c r="I34" s="282" t="s">
        <v>232</v>
      </c>
      <c r="J34" s="1132">
        <v>0.17515985197830841</v>
      </c>
      <c r="K34" s="1111">
        <v>93.086821980899572</v>
      </c>
      <c r="L34" s="1331"/>
    </row>
    <row r="35" spans="1:13">
      <c r="A35" s="1144" t="s">
        <v>235</v>
      </c>
      <c r="B35" s="268">
        <v>268053326.99000001</v>
      </c>
      <c r="C35" s="256">
        <v>249364148.61000001</v>
      </c>
      <c r="D35" s="256">
        <v>248677037.88999999</v>
      </c>
      <c r="E35" s="256" t="s">
        <v>232</v>
      </c>
      <c r="F35" s="256" t="s">
        <v>232</v>
      </c>
      <c r="G35" s="256" t="s">
        <v>232</v>
      </c>
      <c r="H35" s="256" t="s">
        <v>232</v>
      </c>
      <c r="I35" s="282" t="s">
        <v>232</v>
      </c>
      <c r="J35" s="1132">
        <v>0.15253149150961878</v>
      </c>
      <c r="K35" s="1111">
        <v>93.027813312424499</v>
      </c>
      <c r="L35" s="1331"/>
    </row>
    <row r="36" spans="1:13" ht="54">
      <c r="A36" s="1125" t="s">
        <v>1101</v>
      </c>
      <c r="B36" s="268">
        <v>2544444770.2399998</v>
      </c>
      <c r="C36" s="256">
        <v>3571105027.0999999</v>
      </c>
      <c r="D36" s="256">
        <v>3522447855.8499999</v>
      </c>
      <c r="E36" s="256" t="s">
        <v>232</v>
      </c>
      <c r="F36" s="256" t="s">
        <v>232</v>
      </c>
      <c r="G36" s="256" t="s">
        <v>232</v>
      </c>
      <c r="H36" s="256" t="s">
        <v>232</v>
      </c>
      <c r="I36" s="282" t="s">
        <v>232</v>
      </c>
      <c r="J36" s="1132">
        <v>2.1843796678766707</v>
      </c>
      <c r="K36" s="1111">
        <v>140.34908789799209</v>
      </c>
      <c r="L36" s="1331"/>
    </row>
    <row r="37" spans="1:13">
      <c r="A37" s="1144" t="s">
        <v>235</v>
      </c>
      <c r="B37" s="268">
        <v>1936567021.45</v>
      </c>
      <c r="C37" s="256">
        <v>2696735104</v>
      </c>
      <c r="D37" s="256">
        <v>2646272137.75</v>
      </c>
      <c r="E37" s="256" t="s">
        <v>232</v>
      </c>
      <c r="F37" s="256" t="s">
        <v>232</v>
      </c>
      <c r="G37" s="256" t="s">
        <v>232</v>
      </c>
      <c r="H37" s="256" t="s">
        <v>232</v>
      </c>
      <c r="I37" s="282" t="s">
        <v>232</v>
      </c>
      <c r="J37" s="1132">
        <v>1.6495435687621196</v>
      </c>
      <c r="K37" s="1111">
        <v>139.25338364901131</v>
      </c>
      <c r="L37" s="1331"/>
    </row>
    <row r="38" spans="1:13">
      <c r="A38" s="1124" t="s">
        <v>239</v>
      </c>
      <c r="B38" s="267">
        <v>841593757.48000002</v>
      </c>
      <c r="C38" s="253">
        <v>615776287.82000005</v>
      </c>
      <c r="D38" s="253">
        <v>620193601.27999997</v>
      </c>
      <c r="E38" s="256" t="s">
        <v>232</v>
      </c>
      <c r="F38" s="256" t="s">
        <v>232</v>
      </c>
      <c r="G38" s="256" t="s">
        <v>232</v>
      </c>
      <c r="H38" s="256" t="s">
        <v>232</v>
      </c>
      <c r="I38" s="282" t="s">
        <v>232</v>
      </c>
      <c r="J38" s="1131">
        <v>0.3766590993171916</v>
      </c>
      <c r="K38" s="1109">
        <v>73.167877297929422</v>
      </c>
      <c r="L38" s="1331"/>
    </row>
    <row r="39" spans="1:13">
      <c r="A39" s="1144" t="s">
        <v>240</v>
      </c>
      <c r="B39" s="268">
        <v>733335444.65999997</v>
      </c>
      <c r="C39" s="256">
        <v>506184419.73000002</v>
      </c>
      <c r="D39" s="256">
        <v>507912389.20999998</v>
      </c>
      <c r="E39" s="256" t="s">
        <v>232</v>
      </c>
      <c r="F39" s="256" t="s">
        <v>232</v>
      </c>
      <c r="G39" s="256" t="s">
        <v>232</v>
      </c>
      <c r="H39" s="256" t="s">
        <v>232</v>
      </c>
      <c r="I39" s="282" t="s">
        <v>232</v>
      </c>
      <c r="J39" s="1132">
        <v>0.3096237568661126</v>
      </c>
      <c r="K39" s="1111">
        <v>69.024949416523143</v>
      </c>
      <c r="L39" s="1331"/>
    </row>
    <row r="40" spans="1:13">
      <c r="A40" s="1124" t="s">
        <v>241</v>
      </c>
      <c r="B40" s="268">
        <v>5553597313.2799997</v>
      </c>
      <c r="C40" s="256">
        <v>3853964132.8499999</v>
      </c>
      <c r="D40" s="256">
        <v>3847994081.48</v>
      </c>
      <c r="E40" s="256" t="s">
        <v>232</v>
      </c>
      <c r="F40" s="256" t="s">
        <v>232</v>
      </c>
      <c r="G40" s="256" t="s">
        <v>232</v>
      </c>
      <c r="H40" s="256" t="s">
        <v>232</v>
      </c>
      <c r="I40" s="282" t="s">
        <v>232</v>
      </c>
      <c r="J40" s="1132">
        <v>2.357399412405393</v>
      </c>
      <c r="K40" s="1111">
        <v>69.395815278760594</v>
      </c>
      <c r="L40" s="1331"/>
    </row>
    <row r="41" spans="1:13">
      <c r="A41" s="1144" t="s">
        <v>242</v>
      </c>
      <c r="B41" s="268">
        <v>4769069898.4300003</v>
      </c>
      <c r="C41" s="256">
        <v>3199506118.54</v>
      </c>
      <c r="D41" s="256">
        <v>3194033137.25</v>
      </c>
      <c r="E41" s="256" t="s">
        <v>232</v>
      </c>
      <c r="F41" s="256" t="s">
        <v>232</v>
      </c>
      <c r="G41" s="256" t="s">
        <v>232</v>
      </c>
      <c r="H41" s="256" t="s">
        <v>232</v>
      </c>
      <c r="I41" s="282" t="s">
        <v>232</v>
      </c>
      <c r="J41" s="1132">
        <v>1.9570794080680716</v>
      </c>
      <c r="K41" s="1111">
        <v>67.08868158114629</v>
      </c>
      <c r="L41" s="1331"/>
    </row>
    <row r="42" spans="1:13" ht="27">
      <c r="A42" s="1124" t="s">
        <v>243</v>
      </c>
      <c r="B42" s="267">
        <v>38211311836.770004</v>
      </c>
      <c r="C42" s="253">
        <v>40891983952</v>
      </c>
      <c r="D42" s="253">
        <v>40725353359.440002</v>
      </c>
      <c r="E42" s="256" t="s">
        <v>232</v>
      </c>
      <c r="F42" s="256" t="s">
        <v>232</v>
      </c>
      <c r="G42" s="256" t="s">
        <v>232</v>
      </c>
      <c r="H42" s="256" t="s">
        <v>232</v>
      </c>
      <c r="I42" s="282" t="s">
        <v>232</v>
      </c>
      <c r="J42" s="1131">
        <v>25.012879107738051</v>
      </c>
      <c r="K42" s="1109">
        <v>107.01538886359415</v>
      </c>
      <c r="L42" s="1331"/>
    </row>
    <row r="43" spans="1:13">
      <c r="A43" s="1125" t="s">
        <v>244</v>
      </c>
      <c r="B43" s="268">
        <v>9264218614</v>
      </c>
      <c r="C43" s="256">
        <v>9262773812</v>
      </c>
      <c r="D43" s="256">
        <v>9258556152</v>
      </c>
      <c r="E43" s="256" t="s">
        <v>232</v>
      </c>
      <c r="F43" s="256" t="s">
        <v>232</v>
      </c>
      <c r="G43" s="256" t="s">
        <v>232</v>
      </c>
      <c r="H43" s="256" t="s">
        <v>232</v>
      </c>
      <c r="I43" s="282" t="s">
        <v>232</v>
      </c>
      <c r="J43" s="1132">
        <v>5.6658694240377203</v>
      </c>
      <c r="K43" s="1111">
        <v>99.984404491515164</v>
      </c>
      <c r="L43" s="1331"/>
    </row>
    <row r="44" spans="1:13">
      <c r="A44" s="1125" t="s">
        <v>245</v>
      </c>
      <c r="B44" s="268">
        <v>23329223227</v>
      </c>
      <c r="C44" s="256">
        <v>23329374174</v>
      </c>
      <c r="D44" s="256">
        <v>23168675261.439999</v>
      </c>
      <c r="E44" s="256" t="s">
        <v>232</v>
      </c>
      <c r="F44" s="256" t="s">
        <v>232</v>
      </c>
      <c r="G44" s="256" t="s">
        <v>232</v>
      </c>
      <c r="H44" s="256" t="s">
        <v>232</v>
      </c>
      <c r="I44" s="282" t="s">
        <v>232</v>
      </c>
      <c r="J44" s="1132">
        <v>14.270151738257933</v>
      </c>
      <c r="K44" s="1111">
        <v>100.00064702968689</v>
      </c>
      <c r="L44" s="1331"/>
    </row>
    <row r="45" spans="1:13">
      <c r="A45" s="1125" t="s">
        <v>246</v>
      </c>
      <c r="B45" s="268">
        <v>0</v>
      </c>
      <c r="C45" s="256">
        <v>0</v>
      </c>
      <c r="D45" s="256">
        <v>0</v>
      </c>
      <c r="E45" s="256" t="s">
        <v>232</v>
      </c>
      <c r="F45" s="256" t="s">
        <v>232</v>
      </c>
      <c r="G45" s="256" t="s">
        <v>232</v>
      </c>
      <c r="H45" s="256" t="s">
        <v>232</v>
      </c>
      <c r="I45" s="282" t="s">
        <v>232</v>
      </c>
      <c r="J45" s="1132">
        <v>0</v>
      </c>
      <c r="K45" s="1111" t="s">
        <v>273</v>
      </c>
      <c r="L45" s="1331"/>
    </row>
    <row r="46" spans="1:13">
      <c r="A46" s="1125" t="s">
        <v>247</v>
      </c>
      <c r="B46" s="268">
        <v>336407702</v>
      </c>
      <c r="C46" s="256">
        <v>336407702</v>
      </c>
      <c r="D46" s="256">
        <v>336407702</v>
      </c>
      <c r="E46" s="256" t="s">
        <v>232</v>
      </c>
      <c r="F46" s="256" t="s">
        <v>232</v>
      </c>
      <c r="G46" s="256" t="s">
        <v>232</v>
      </c>
      <c r="H46" s="256" t="s">
        <v>232</v>
      </c>
      <c r="I46" s="282" t="s">
        <v>232</v>
      </c>
      <c r="J46" s="1132">
        <v>0.20577444202548698</v>
      </c>
      <c r="K46" s="1111">
        <v>100</v>
      </c>
      <c r="L46" s="1331"/>
      <c r="M46" s="1107"/>
    </row>
    <row r="47" spans="1:13">
      <c r="A47" s="1126" t="s">
        <v>249</v>
      </c>
      <c r="B47" s="1121">
        <v>5281462293.7700005</v>
      </c>
      <c r="C47" s="1112">
        <v>7963428264</v>
      </c>
      <c r="D47" s="1112">
        <v>7961714244</v>
      </c>
      <c r="E47" s="1112" t="s">
        <v>232</v>
      </c>
      <c r="F47" s="1112" t="s">
        <v>232</v>
      </c>
      <c r="G47" s="1112" t="s">
        <v>232</v>
      </c>
      <c r="H47" s="1112" t="s">
        <v>232</v>
      </c>
      <c r="I47" s="1128" t="s">
        <v>232</v>
      </c>
      <c r="J47" s="1133">
        <v>4.8710835034169122</v>
      </c>
      <c r="K47" s="1113">
        <v>150.78074633598425</v>
      </c>
      <c r="L47" s="1331"/>
      <c r="M47" s="1107"/>
    </row>
    <row r="48" spans="1:13">
      <c r="A48" s="1095"/>
      <c r="B48" s="1088"/>
      <c r="C48" s="1089"/>
      <c r="D48" s="1089"/>
      <c r="E48" s="1090"/>
      <c r="F48" s="1090"/>
      <c r="G48" s="1090"/>
      <c r="H48" s="1090"/>
      <c r="I48" s="1090"/>
      <c r="J48" s="1091"/>
      <c r="K48" s="1091"/>
      <c r="L48" s="1096"/>
      <c r="M48" s="1107"/>
    </row>
    <row r="49" spans="1:12">
      <c r="A49" s="1309" t="s">
        <v>222</v>
      </c>
      <c r="B49" s="1310">
        <v>159266998771.89999</v>
      </c>
      <c r="C49" s="1311">
        <v>163483714832.92999</v>
      </c>
      <c r="D49" s="1311">
        <v>162622004440.01999</v>
      </c>
      <c r="E49" s="1311">
        <v>3125845381.1199999</v>
      </c>
      <c r="F49" s="1311">
        <v>819998073.26999998</v>
      </c>
      <c r="G49" s="1311">
        <v>129653812.81</v>
      </c>
      <c r="H49" s="1311">
        <v>85218809.709999993</v>
      </c>
      <c r="I49" s="1312">
        <v>2198072.17</v>
      </c>
      <c r="J49" s="1313">
        <v>100</v>
      </c>
      <c r="K49" s="1314">
        <v>102.64757676954102</v>
      </c>
      <c r="L49" s="1315"/>
    </row>
    <row r="50" spans="1:12">
      <c r="A50" s="1352" t="s">
        <v>740</v>
      </c>
      <c r="B50" s="1316">
        <v>16795094012.790001</v>
      </c>
      <c r="C50" s="1317">
        <v>17496141904.419998</v>
      </c>
      <c r="D50" s="1317">
        <v>17413025950.560001</v>
      </c>
      <c r="E50" s="1317">
        <v>0</v>
      </c>
      <c r="F50" s="1317">
        <v>216.89</v>
      </c>
      <c r="G50" s="1317">
        <v>0</v>
      </c>
      <c r="H50" s="1317">
        <v>122480.7</v>
      </c>
      <c r="I50" s="1318">
        <v>0</v>
      </c>
      <c r="J50" s="1319">
        <v>10.702070186195577</v>
      </c>
      <c r="K50" s="1320">
        <v>104.17412305698394</v>
      </c>
      <c r="L50" s="1315"/>
    </row>
    <row r="51" spans="1:12">
      <c r="A51" s="1373" t="s">
        <v>739</v>
      </c>
      <c r="B51" s="1321">
        <v>142471904759.10999</v>
      </c>
      <c r="C51" s="1322">
        <v>145987572928.51001</v>
      </c>
      <c r="D51" s="1322">
        <v>145208978489.45999</v>
      </c>
      <c r="E51" s="1322">
        <v>3125845381.1199999</v>
      </c>
      <c r="F51" s="1322">
        <v>819997856.38</v>
      </c>
      <c r="G51" s="1322">
        <v>129653812.81</v>
      </c>
      <c r="H51" s="1322">
        <v>85096329.00999999</v>
      </c>
      <c r="I51" s="1323">
        <v>2198072.17</v>
      </c>
      <c r="J51" s="1324">
        <v>89.29792981380443</v>
      </c>
      <c r="K51" s="1325">
        <v>102.46762207281799</v>
      </c>
      <c r="L51" s="1326"/>
    </row>
    <row r="52" spans="1:12">
      <c r="A52" s="1927" t="s">
        <v>3</v>
      </c>
      <c r="B52" s="1927"/>
      <c r="C52" s="1927"/>
      <c r="D52" s="1927"/>
      <c r="E52" s="1927"/>
      <c r="F52" s="1927"/>
      <c r="G52" s="1927"/>
      <c r="H52" s="1927"/>
      <c r="I52" s="1927"/>
      <c r="J52" s="1927"/>
      <c r="K52" s="1927"/>
      <c r="L52" s="1927"/>
    </row>
    <row r="53" spans="1:12">
      <c r="A53" s="1092"/>
      <c r="B53" s="1088"/>
      <c r="C53" s="1089"/>
      <c r="D53" s="1089"/>
      <c r="E53" s="1093"/>
      <c r="F53" s="1093"/>
      <c r="G53" s="1093"/>
      <c r="H53" s="1093"/>
      <c r="I53" s="1093"/>
      <c r="J53" s="1091"/>
      <c r="K53" s="1091"/>
      <c r="L53" s="1096"/>
    </row>
    <row r="54" spans="1:12" ht="30" customHeight="1">
      <c r="A54" s="1692" t="s">
        <v>218</v>
      </c>
      <c r="B54" s="1699" t="s">
        <v>1080</v>
      </c>
      <c r="C54" s="1702" t="s">
        <v>1088</v>
      </c>
      <c r="D54" s="1702" t="s">
        <v>1089</v>
      </c>
      <c r="E54" s="1702" t="s">
        <v>250</v>
      </c>
      <c r="F54" s="1702"/>
      <c r="G54" s="1702"/>
      <c r="H54" s="1702" t="s">
        <v>1090</v>
      </c>
      <c r="I54" s="1707"/>
      <c r="J54" s="1710" t="s">
        <v>219</v>
      </c>
      <c r="K54" s="1713" t="s">
        <v>1094</v>
      </c>
    </row>
    <row r="55" spans="1:12">
      <c r="A55" s="1698"/>
      <c r="B55" s="1700"/>
      <c r="C55" s="1703"/>
      <c r="D55" s="1705"/>
      <c r="E55" s="1705" t="s">
        <v>1091</v>
      </c>
      <c r="F55" s="1703" t="s">
        <v>252</v>
      </c>
      <c r="G55" s="1703"/>
      <c r="H55" s="1705"/>
      <c r="I55" s="1708"/>
      <c r="J55" s="1711"/>
      <c r="K55" s="1714"/>
      <c r="L55" s="1101"/>
    </row>
    <row r="56" spans="1:12" ht="54">
      <c r="A56" s="1698"/>
      <c r="B56" s="1929"/>
      <c r="C56" s="1930"/>
      <c r="D56" s="1931"/>
      <c r="E56" s="1930"/>
      <c r="F56" s="1343" t="s">
        <v>1092</v>
      </c>
      <c r="G56" s="1343" t="s">
        <v>1093</v>
      </c>
      <c r="H56" s="1931"/>
      <c r="I56" s="1932"/>
      <c r="J56" s="1933"/>
      <c r="K56" s="1934"/>
      <c r="L56" s="1101"/>
    </row>
    <row r="57" spans="1:12">
      <c r="A57" s="1925"/>
      <c r="B57" s="1926" t="s">
        <v>4</v>
      </c>
      <c r="C57" s="1695"/>
      <c r="D57" s="1695"/>
      <c r="E57" s="1695"/>
      <c r="F57" s="1695"/>
      <c r="G57" s="1695"/>
      <c r="H57" s="1695"/>
      <c r="I57" s="1696"/>
      <c r="J57" s="1694" t="s">
        <v>5</v>
      </c>
      <c r="K57" s="1697"/>
    </row>
    <row r="58" spans="1:12">
      <c r="A58" s="1328" t="s">
        <v>887</v>
      </c>
      <c r="B58" s="1327" t="s">
        <v>888</v>
      </c>
      <c r="C58" s="1294" t="s">
        <v>889</v>
      </c>
      <c r="D58" s="1294" t="s">
        <v>890</v>
      </c>
      <c r="E58" s="1295" t="s">
        <v>891</v>
      </c>
      <c r="F58" s="1294" t="s">
        <v>892</v>
      </c>
      <c r="G58" s="1295" t="s">
        <v>893</v>
      </c>
      <c r="H58" s="1718" t="s">
        <v>894</v>
      </c>
      <c r="I58" s="1935"/>
      <c r="J58" s="1330" t="s">
        <v>932</v>
      </c>
      <c r="K58" s="1296" t="s">
        <v>966</v>
      </c>
    </row>
    <row r="59" spans="1:12" ht="27">
      <c r="A59" s="1123" t="s">
        <v>253</v>
      </c>
      <c r="B59" s="1177">
        <v>168209291084.25</v>
      </c>
      <c r="C59" s="1175">
        <v>153062115957.10999</v>
      </c>
      <c r="D59" s="1175">
        <v>152788989425.54001</v>
      </c>
      <c r="E59" s="1175">
        <v>5638573805.5500002</v>
      </c>
      <c r="F59" s="1175">
        <v>2059936.25</v>
      </c>
      <c r="G59" s="1175">
        <v>7466241.3499999996</v>
      </c>
      <c r="H59" s="1719">
        <v>1486636594.9000001</v>
      </c>
      <c r="I59" s="1720"/>
      <c r="J59" s="1181">
        <v>100</v>
      </c>
      <c r="K59" s="1176">
        <v>90.832669492087376</v>
      </c>
    </row>
    <row r="60" spans="1:12">
      <c r="A60" s="1124" t="s">
        <v>254</v>
      </c>
      <c r="B60" s="1178">
        <v>31435408928.810001</v>
      </c>
      <c r="C60" s="1169">
        <v>23388582280.790001</v>
      </c>
      <c r="D60" s="1169">
        <v>23252898024.57</v>
      </c>
      <c r="E60" s="1169">
        <v>506636151.23000002</v>
      </c>
      <c r="F60" s="1169">
        <v>138434.12</v>
      </c>
      <c r="G60" s="1169">
        <v>983771.11</v>
      </c>
      <c r="H60" s="1721">
        <v>1344901020.9100001</v>
      </c>
      <c r="I60" s="1722"/>
      <c r="J60" s="1182">
        <v>15.218961858440746</v>
      </c>
      <c r="K60" s="1168">
        <v>73.970400948909329</v>
      </c>
    </row>
    <row r="61" spans="1:12">
      <c r="A61" s="1125" t="s">
        <v>255</v>
      </c>
      <c r="B61" s="268">
        <v>29824294273.650002</v>
      </c>
      <c r="C61" s="256">
        <v>21918157036.41</v>
      </c>
      <c r="D61" s="256">
        <v>21782472780.189999</v>
      </c>
      <c r="E61" s="256">
        <v>503567751.23000002</v>
      </c>
      <c r="F61" s="256">
        <v>138434.12</v>
      </c>
      <c r="G61" s="256">
        <v>983771.11</v>
      </c>
      <c r="H61" s="1723">
        <v>1344701020.9100001</v>
      </c>
      <c r="I61" s="1724"/>
      <c r="J61" s="1183">
        <v>14.256572323757295</v>
      </c>
      <c r="K61" s="1147">
        <v>73.036004072139889</v>
      </c>
    </row>
    <row r="62" spans="1:12" ht="27">
      <c r="A62" s="1124" t="s">
        <v>256</v>
      </c>
      <c r="B62" s="1178">
        <v>136773882155.44</v>
      </c>
      <c r="C62" s="1169">
        <v>129673533676.31998</v>
      </c>
      <c r="D62" s="1169">
        <v>129536091400.97</v>
      </c>
      <c r="E62" s="1169">
        <v>5131937654.3199997</v>
      </c>
      <c r="F62" s="1169">
        <v>1921502.13</v>
      </c>
      <c r="G62" s="1169">
        <v>6482470.2399999993</v>
      </c>
      <c r="H62" s="1721">
        <v>141735573.99000001</v>
      </c>
      <c r="I62" s="1722"/>
      <c r="J62" s="1182">
        <v>84.78103814155925</v>
      </c>
      <c r="K62" s="1168">
        <v>94.708206976062556</v>
      </c>
    </row>
    <row r="63" spans="1:12" ht="27">
      <c r="A63" s="1125" t="s">
        <v>257</v>
      </c>
      <c r="B63" s="268">
        <v>49461551383.400101</v>
      </c>
      <c r="C63" s="256">
        <v>47671580547.269997</v>
      </c>
      <c r="D63" s="256">
        <v>47623218543.269997</v>
      </c>
      <c r="E63" s="256">
        <v>3697287204.8800001</v>
      </c>
      <c r="F63" s="256">
        <v>1273264.5900000001</v>
      </c>
      <c r="G63" s="256">
        <v>1715554.17</v>
      </c>
      <c r="H63" s="1723">
        <v>545552.05000000005</v>
      </c>
      <c r="I63" s="1724"/>
      <c r="J63" s="1183">
        <v>31.169273860848879</v>
      </c>
      <c r="K63" s="1147">
        <v>96.283309381300427</v>
      </c>
    </row>
    <row r="64" spans="1:12">
      <c r="A64" s="1125" t="s">
        <v>258</v>
      </c>
      <c r="B64" s="1344">
        <v>9682285959.8299999</v>
      </c>
      <c r="C64" s="1332">
        <v>9384284743.9899998</v>
      </c>
      <c r="D64" s="1332">
        <v>9379190806.0400009</v>
      </c>
      <c r="E64" s="1332">
        <v>4356483.22</v>
      </c>
      <c r="F64" s="1332">
        <v>0</v>
      </c>
      <c r="G64" s="1332">
        <v>82310.42</v>
      </c>
      <c r="H64" s="1936">
        <v>19853926.32</v>
      </c>
      <c r="I64" s="1938"/>
      <c r="J64" s="1183">
        <v>6.1386562220904306</v>
      </c>
      <c r="K64" s="1147">
        <v>96.869590972137317</v>
      </c>
    </row>
    <row r="65" spans="1:12">
      <c r="A65" s="1125" t="s">
        <v>259</v>
      </c>
      <c r="B65" s="268">
        <v>683228357</v>
      </c>
      <c r="C65" s="256">
        <v>484915464.04000002</v>
      </c>
      <c r="D65" s="256">
        <v>480859519.93000001</v>
      </c>
      <c r="E65" s="256">
        <v>23252986.030000001</v>
      </c>
      <c r="F65" s="256">
        <v>435.86</v>
      </c>
      <c r="G65" s="256">
        <v>25438.68</v>
      </c>
      <c r="H65" s="1723">
        <v>0</v>
      </c>
      <c r="I65" s="1724"/>
      <c r="J65" s="1183">
        <v>0.31472131711712215</v>
      </c>
      <c r="K65" s="1147">
        <v>70.38049797016842</v>
      </c>
    </row>
    <row r="66" spans="1:12" ht="27">
      <c r="A66" s="1125" t="s">
        <v>260</v>
      </c>
      <c r="B66" s="1344">
        <v>70480775.209999993</v>
      </c>
      <c r="C66" s="1332">
        <v>4722014.47</v>
      </c>
      <c r="D66" s="1332">
        <v>4324515.05</v>
      </c>
      <c r="E66" s="1332">
        <v>0</v>
      </c>
      <c r="F66" s="1332">
        <v>0</v>
      </c>
      <c r="G66" s="1332">
        <v>0</v>
      </c>
      <c r="H66" s="1936">
        <v>0</v>
      </c>
      <c r="I66" s="1938"/>
      <c r="J66" s="1183">
        <v>2.8303839604276616E-3</v>
      </c>
      <c r="K66" s="1147">
        <v>6.1357370674697496</v>
      </c>
    </row>
    <row r="67" spans="1:12">
      <c r="A67" s="1125" t="s">
        <v>261</v>
      </c>
      <c r="B67" s="1344">
        <v>41333299704.209999</v>
      </c>
      <c r="C67" s="1332">
        <v>40896183020.480003</v>
      </c>
      <c r="D67" s="1332">
        <v>40883962522.07</v>
      </c>
      <c r="E67" s="1332">
        <v>460214743.74000001</v>
      </c>
      <c r="F67" s="1332">
        <v>23149</v>
      </c>
      <c r="G67" s="1332">
        <v>102998.17</v>
      </c>
      <c r="H67" s="1936">
        <v>0</v>
      </c>
      <c r="I67" s="1937"/>
      <c r="J67" s="1183">
        <v>26.758448155057888</v>
      </c>
      <c r="K67" s="1147">
        <v>98.912893029698679</v>
      </c>
    </row>
    <row r="68" spans="1:12">
      <c r="A68" s="1347" t="s">
        <v>262</v>
      </c>
      <c r="B68" s="1345">
        <v>35543035975.789894</v>
      </c>
      <c r="C68" s="1333">
        <v>31231847886.069984</v>
      </c>
      <c r="D68" s="1333">
        <v>31164535494.610008</v>
      </c>
      <c r="E68" s="1112">
        <v>946826236.44999957</v>
      </c>
      <c r="F68" s="1112">
        <v>624652.67999999982</v>
      </c>
      <c r="G68" s="1112">
        <v>4556168.8</v>
      </c>
      <c r="H68" s="1945">
        <v>121336095.62</v>
      </c>
      <c r="I68" s="1946" t="e">
        <v>#REF!</v>
      </c>
      <c r="J68" s="1164">
        <v>20.39710820248451</v>
      </c>
      <c r="K68" s="1150">
        <v>87.681129760096198</v>
      </c>
    </row>
    <row r="69" spans="1:12">
      <c r="A69" s="1336" t="s">
        <v>263</v>
      </c>
      <c r="B69" s="1348">
        <v>-8942292312.3500061</v>
      </c>
      <c r="C69" s="1338"/>
      <c r="D69" s="1335">
        <v>10694725407.389984</v>
      </c>
      <c r="E69" s="1289"/>
      <c r="F69" s="1289"/>
      <c r="G69" s="1289"/>
      <c r="H69" s="1947"/>
      <c r="I69" s="1947"/>
      <c r="J69" s="1102"/>
      <c r="K69" s="1102"/>
      <c r="L69" s="1103"/>
    </row>
    <row r="70" spans="1:12" ht="40.5">
      <c r="A70" s="1290" t="s">
        <v>1073</v>
      </c>
      <c r="B70" s="1349">
        <v>5698022603.6699829</v>
      </c>
      <c r="C70" s="1350"/>
      <c r="D70" s="1351">
        <v>16451481527.540009</v>
      </c>
      <c r="E70" s="1578"/>
      <c r="F70" s="1102"/>
      <c r="G70" s="1102"/>
      <c r="H70" s="1102"/>
      <c r="I70" s="1102"/>
      <c r="J70" s="1102"/>
      <c r="K70" s="1102"/>
      <c r="L70" s="1103"/>
    </row>
    <row r="71" spans="1:12">
      <c r="A71" s="1288"/>
      <c r="B71" s="1289"/>
      <c r="C71" s="1289"/>
      <c r="D71" s="1289"/>
      <c r="E71" s="1289"/>
      <c r="F71" s="1289"/>
      <c r="G71" s="1289"/>
      <c r="H71" s="1289"/>
      <c r="I71" s="1289"/>
      <c r="J71" s="1102"/>
      <c r="K71" s="1102"/>
      <c r="L71" s="1103"/>
    </row>
    <row r="72" spans="1:12">
      <c r="A72" s="1290" t="s">
        <v>1074</v>
      </c>
      <c r="B72" s="1289"/>
      <c r="C72" s="1289"/>
      <c r="D72" s="1289"/>
      <c r="E72" s="1289"/>
      <c r="F72" s="1289"/>
      <c r="G72" s="1289"/>
      <c r="H72" s="1289"/>
      <c r="I72" s="1289"/>
      <c r="J72" s="1102"/>
      <c r="K72" s="1102"/>
      <c r="L72" s="1103"/>
    </row>
    <row r="73" spans="1:12">
      <c r="A73" s="1098" t="s">
        <v>1104</v>
      </c>
      <c r="B73" s="1298">
        <v>9940617203.5499992</v>
      </c>
      <c r="C73" s="1297">
        <v>7383097651.73001</v>
      </c>
      <c r="D73" s="1297">
        <v>7333351362.9900103</v>
      </c>
      <c r="E73" s="1297">
        <v>165210838.56999999</v>
      </c>
      <c r="F73" s="1297">
        <v>0</v>
      </c>
      <c r="G73" s="1297">
        <v>173842.15</v>
      </c>
      <c r="H73" s="1302">
        <v>199353018.19</v>
      </c>
      <c r="I73" s="1354">
        <v>0</v>
      </c>
      <c r="J73" s="1192">
        <v>100</v>
      </c>
      <c r="K73" s="1166">
        <v>73.771589960944468</v>
      </c>
      <c r="L73" s="1103"/>
    </row>
    <row r="74" spans="1:12">
      <c r="A74" s="1352" t="s">
        <v>740</v>
      </c>
      <c r="B74" s="1299">
        <v>8711644884.3299999</v>
      </c>
      <c r="C74" s="1171">
        <v>6533323168.4200001</v>
      </c>
      <c r="D74" s="1171">
        <v>6485946378.7799997</v>
      </c>
      <c r="E74" s="1171">
        <v>155047980.69</v>
      </c>
      <c r="F74" s="1171">
        <v>0</v>
      </c>
      <c r="G74" s="1171">
        <v>173819.09</v>
      </c>
      <c r="H74" s="1172">
        <v>198239219.19999999</v>
      </c>
      <c r="I74" s="1355">
        <v>0</v>
      </c>
      <c r="J74" s="1152">
        <v>1.9433812728154896</v>
      </c>
      <c r="K74" s="1153">
        <v>74.45145509140923</v>
      </c>
      <c r="L74" s="1103"/>
    </row>
    <row r="75" spans="1:12">
      <c r="A75" s="1353" t="s">
        <v>739</v>
      </c>
      <c r="B75" s="1121">
        <v>1228972319.2199993</v>
      </c>
      <c r="C75" s="1112">
        <v>849774483.31000996</v>
      </c>
      <c r="D75" s="1112">
        <v>847404984.21001053</v>
      </c>
      <c r="E75" s="1112">
        <v>10162857.879999995</v>
      </c>
      <c r="F75" s="1112">
        <v>0</v>
      </c>
      <c r="G75" s="1112">
        <v>23.059999999997672</v>
      </c>
      <c r="H75" s="1128">
        <v>1113798.9900000095</v>
      </c>
      <c r="I75" s="1356">
        <v>0</v>
      </c>
      <c r="J75" s="1149">
        <v>86.259782725868007</v>
      </c>
      <c r="K75" s="1150">
        <v>68.952324715323059</v>
      </c>
      <c r="L75" s="1107"/>
    </row>
    <row r="76" spans="1:12">
      <c r="A76" s="1357"/>
      <c r="B76" s="1358"/>
      <c r="C76" s="1358"/>
      <c r="D76" s="1358"/>
      <c r="E76" s="1358"/>
      <c r="F76" s="1358"/>
      <c r="G76" s="1358"/>
      <c r="H76" s="1358"/>
      <c r="I76" s="1358"/>
      <c r="J76" s="1331"/>
      <c r="K76" s="1331"/>
      <c r="L76" s="1107"/>
    </row>
    <row r="78" spans="1:12" ht="27">
      <c r="A78" s="1939" t="s">
        <v>68</v>
      </c>
      <c r="B78" s="1220" t="s">
        <v>1095</v>
      </c>
      <c r="C78" s="1368" t="s">
        <v>264</v>
      </c>
      <c r="D78" s="1369" t="s">
        <v>22</v>
      </c>
      <c r="E78" s="1217" t="s">
        <v>265</v>
      </c>
    </row>
    <row r="79" spans="1:12">
      <c r="A79" s="1940"/>
      <c r="B79" s="1943" t="s">
        <v>4</v>
      </c>
      <c r="C79" s="1944"/>
      <c r="D79" s="1941" t="s">
        <v>5</v>
      </c>
      <c r="E79" s="1942"/>
      <c r="G79" s="1291"/>
    </row>
    <row r="80" spans="1:12">
      <c r="A80" s="1222" t="s">
        <v>887</v>
      </c>
      <c r="B80" s="1221" t="s">
        <v>888</v>
      </c>
      <c r="C80" s="1364" t="s">
        <v>889</v>
      </c>
      <c r="D80" s="1365" t="s">
        <v>890</v>
      </c>
      <c r="E80" s="1219" t="s">
        <v>891</v>
      </c>
      <c r="G80" s="1107"/>
    </row>
    <row r="81" spans="1:5" ht="27">
      <c r="A81" s="1359" t="s">
        <v>266</v>
      </c>
      <c r="B81" s="1177">
        <v>16395208250.34</v>
      </c>
      <c r="C81" s="1207">
        <v>21613816616.950001</v>
      </c>
      <c r="D81" s="1366">
        <f>C81/$C$81*100</f>
        <v>100</v>
      </c>
      <c r="E81" s="1176">
        <v>131.83008283229205</v>
      </c>
    </row>
    <row r="82" spans="1:5" ht="27">
      <c r="A82" s="1360" t="s">
        <v>267</v>
      </c>
      <c r="B82" s="1199">
        <v>5748892282.3500004</v>
      </c>
      <c r="C82" s="533">
        <v>4465542486.6300001</v>
      </c>
      <c r="D82" s="1370">
        <f t="shared" ref="D82:D89" si="0">C82/$C$81*100</f>
        <v>20.660592091486656</v>
      </c>
      <c r="E82" s="1147">
        <v>77.67657258668622</v>
      </c>
    </row>
    <row r="83" spans="1:5">
      <c r="A83" s="1361" t="s">
        <v>268</v>
      </c>
      <c r="B83" s="1199">
        <v>219461404.91</v>
      </c>
      <c r="C83" s="533">
        <v>206269000</v>
      </c>
      <c r="D83" s="1370">
        <f t="shared" si="0"/>
        <v>0.95433862355545107</v>
      </c>
      <c r="E83" s="1147">
        <v>93.988735780029231</v>
      </c>
    </row>
    <row r="84" spans="1:5">
      <c r="A84" s="1360" t="s">
        <v>269</v>
      </c>
      <c r="B84" s="1199">
        <v>53282301.990000002</v>
      </c>
      <c r="C84" s="533">
        <v>48746343.210000001</v>
      </c>
      <c r="D84" s="1370">
        <f t="shared" si="0"/>
        <v>0.2255332506697226</v>
      </c>
      <c r="E84" s="1147">
        <v>91.486931662878774</v>
      </c>
    </row>
    <row r="85" spans="1:5">
      <c r="A85" s="1360" t="s">
        <v>270</v>
      </c>
      <c r="B85" s="1199">
        <v>1493403390.52</v>
      </c>
      <c r="C85" s="533">
        <v>3100387160.75</v>
      </c>
      <c r="D85" s="1370">
        <f t="shared" si="0"/>
        <v>14.34446870581206</v>
      </c>
      <c r="E85" s="1147">
        <v>207.60547220067926</v>
      </c>
    </row>
    <row r="86" spans="1:5" ht="40.5">
      <c r="A86" s="1360" t="s">
        <v>1102</v>
      </c>
      <c r="B86" s="1199">
        <v>3709830348.9699998</v>
      </c>
      <c r="C86" s="533">
        <v>4733679708.1400003</v>
      </c>
      <c r="D86" s="1370">
        <f t="shared" si="0"/>
        <v>21.901174568251637</v>
      </c>
      <c r="E86" s="1147">
        <v>127.5982797826392</v>
      </c>
    </row>
    <row r="87" spans="1:5">
      <c r="A87" s="1360" t="s">
        <v>272</v>
      </c>
      <c r="B87" s="1199">
        <v>650003.68000000005</v>
      </c>
      <c r="C87" s="533">
        <v>43650003.68</v>
      </c>
      <c r="D87" s="1370">
        <f t="shared" si="0"/>
        <v>0.20195416873190625</v>
      </c>
      <c r="E87" s="1147">
        <v>6715.3471623422192</v>
      </c>
    </row>
    <row r="88" spans="1:5" ht="40.5">
      <c r="A88" s="1360" t="s">
        <v>361</v>
      </c>
      <c r="B88" s="1199">
        <v>5362277635.1099997</v>
      </c>
      <c r="C88" s="533">
        <v>9202302966.6000004</v>
      </c>
      <c r="D88" s="1370">
        <f t="shared" si="0"/>
        <v>42.576020374778992</v>
      </c>
      <c r="E88" s="1147">
        <v>171.6118334930494</v>
      </c>
    </row>
    <row r="89" spans="1:5">
      <c r="A89" s="1360" t="s">
        <v>275</v>
      </c>
      <c r="B89" s="1199">
        <v>26872287.719999999</v>
      </c>
      <c r="C89" s="533">
        <v>19507947.940000001</v>
      </c>
      <c r="D89" s="1370">
        <f t="shared" si="0"/>
        <v>9.025684026902249E-2</v>
      </c>
      <c r="E89" s="1147">
        <v>72.595039705089917</v>
      </c>
    </row>
    <row r="90" spans="1:5" ht="27">
      <c r="A90" s="1362" t="s">
        <v>276</v>
      </c>
      <c r="B90" s="1179">
        <v>7383884277.71</v>
      </c>
      <c r="C90" s="1208">
        <v>6381204529.2799997</v>
      </c>
      <c r="D90" s="1367">
        <f>C90/$C$90*100</f>
        <v>100</v>
      </c>
      <c r="E90" s="1168">
        <v>86.420700667576469</v>
      </c>
    </row>
    <row r="91" spans="1:5" ht="27">
      <c r="A91" s="1360" t="s">
        <v>277</v>
      </c>
      <c r="B91" s="1199">
        <v>4555163874.6800003</v>
      </c>
      <c r="C91" s="533">
        <v>4530891681.3500004</v>
      </c>
      <c r="D91" s="1371">
        <f t="shared" ref="D91:D94" si="1">C91/$C$90*100</f>
        <v>71.003705657139122</v>
      </c>
      <c r="E91" s="1147">
        <v>99.467149942400155</v>
      </c>
    </row>
    <row r="92" spans="1:5">
      <c r="A92" s="1360" t="s">
        <v>278</v>
      </c>
      <c r="B92" s="1199">
        <v>109221711.44</v>
      </c>
      <c r="C92" s="533">
        <v>109221711.44</v>
      </c>
      <c r="D92" s="1371">
        <f t="shared" si="1"/>
        <v>1.7116159016505248</v>
      </c>
      <c r="E92" s="1147">
        <v>100</v>
      </c>
    </row>
    <row r="93" spans="1:5">
      <c r="A93" s="1361" t="s">
        <v>360</v>
      </c>
      <c r="B93" s="1199">
        <v>81141206.200000003</v>
      </c>
      <c r="C93" s="533">
        <v>73963049.549999997</v>
      </c>
      <c r="D93" s="1371">
        <f t="shared" si="1"/>
        <v>1.1590766165012008</v>
      </c>
      <c r="E93" s="1147">
        <v>91.15350019285269</v>
      </c>
    </row>
    <row r="94" spans="1:5">
      <c r="A94" s="1363" t="s">
        <v>280</v>
      </c>
      <c r="B94" s="1157">
        <v>2747579196.8299999</v>
      </c>
      <c r="C94" s="1162">
        <v>1776349798.3800001</v>
      </c>
      <c r="D94" s="1372">
        <f t="shared" si="1"/>
        <v>27.837217726359697</v>
      </c>
      <c r="E94" s="1150">
        <v>64.651450281376825</v>
      </c>
    </row>
  </sheetData>
  <mergeCells count="32">
    <mergeCell ref="A78:A79"/>
    <mergeCell ref="D79:E79"/>
    <mergeCell ref="B79:C79"/>
    <mergeCell ref="H68:I68"/>
    <mergeCell ref="H69:I69"/>
    <mergeCell ref="H58:I58"/>
    <mergeCell ref="H59:I59"/>
    <mergeCell ref="H60:I60"/>
    <mergeCell ref="H61:I61"/>
    <mergeCell ref="H67:I67"/>
    <mergeCell ref="H62:I62"/>
    <mergeCell ref="H63:I63"/>
    <mergeCell ref="H64:I64"/>
    <mergeCell ref="H65:I65"/>
    <mergeCell ref="H66:I66"/>
    <mergeCell ref="J54:J56"/>
    <mergeCell ref="K54:K56"/>
    <mergeCell ref="E55:E56"/>
    <mergeCell ref="F55:G55"/>
    <mergeCell ref="J57:K57"/>
    <mergeCell ref="A54:A57"/>
    <mergeCell ref="B54:B56"/>
    <mergeCell ref="C54:C56"/>
    <mergeCell ref="D54:D56"/>
    <mergeCell ref="E54:G54"/>
    <mergeCell ref="B57:I57"/>
    <mergeCell ref="H54:I56"/>
    <mergeCell ref="A3:A4"/>
    <mergeCell ref="B4:I4"/>
    <mergeCell ref="J4:L4"/>
    <mergeCell ref="A52:L52"/>
    <mergeCell ref="A1:L1"/>
  </mergeCells>
  <printOptions horizontalCentered="1"/>
  <pageMargins left="0.27559055118110237" right="0.27559055118110237" top="0.59055118110236227" bottom="0.55118110236220474" header="0.31496062992125984" footer="0.19685039370078741"/>
  <pageSetup paperSize="9" scale="77" fitToWidth="4" orientation="landscape" r:id="rId1"/>
  <headerFooter alignWithMargins="0"/>
  <rowBreaks count="2" manualBreakCount="2">
    <brk id="35" max="11" man="1"/>
    <brk id="71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4"/>
  <sheetViews>
    <sheetView showGridLines="0" zoomScaleNormal="100" zoomScaleSheetLayoutView="75" workbookViewId="0">
      <selection activeCell="O3" sqref="O3"/>
    </sheetView>
  </sheetViews>
  <sheetFormatPr defaultColWidth="9.140625" defaultRowHeight="13.5" customHeight="1"/>
  <cols>
    <col min="1" max="1" width="26.7109375" style="1223" customWidth="1"/>
    <col min="2" max="3" width="12.28515625" style="1223" bestFit="1" customWidth="1"/>
    <col min="4" max="4" width="11.42578125" style="1223" bestFit="1" customWidth="1"/>
    <col min="5" max="5" width="11.7109375" style="1223" customWidth="1"/>
    <col min="6" max="7" width="11.42578125" style="1223" bestFit="1" customWidth="1"/>
    <col min="8" max="8" width="10.42578125" style="1223" customWidth="1"/>
    <col min="9" max="9" width="10.28515625" style="1223" bestFit="1" customWidth="1"/>
    <col min="10" max="10" width="12.28515625" style="1223" bestFit="1" customWidth="1"/>
    <col min="11" max="11" width="11.42578125" style="1223" bestFit="1" customWidth="1"/>
    <col min="12" max="12" width="13.28515625" style="1223" customWidth="1"/>
    <col min="13" max="13" width="11.28515625" style="1223" customWidth="1"/>
    <col min="14" max="14" width="10.7109375" style="1223" bestFit="1" customWidth="1"/>
    <col min="15" max="15" width="9.42578125" style="1223" customWidth="1"/>
    <col min="16" max="16" width="9.85546875" style="1223" customWidth="1"/>
    <col min="17" max="17" width="8.7109375" style="1223" customWidth="1"/>
    <col min="18" max="18" width="9.140625" style="1223"/>
    <col min="19" max="16384" width="9.140625" style="32"/>
  </cols>
  <sheetData>
    <row r="2" spans="1:17" ht="13.5" customHeight="1">
      <c r="A2" s="1749" t="s">
        <v>281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</row>
    <row r="3" spans="1:17" ht="13.5" customHeight="1">
      <c r="B3" s="1224"/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7" ht="13.5" customHeight="1">
      <c r="A4" s="1751" t="s">
        <v>68</v>
      </c>
      <c r="B4" s="1751" t="s">
        <v>282</v>
      </c>
      <c r="C4" s="1754" t="s">
        <v>283</v>
      </c>
      <c r="D4" s="1755"/>
      <c r="E4" s="1755"/>
      <c r="F4" s="1755"/>
      <c r="G4" s="1755"/>
      <c r="H4" s="1755"/>
      <c r="I4" s="1755"/>
      <c r="J4" s="1755"/>
      <c r="K4" s="1755"/>
      <c r="L4" s="1755"/>
      <c r="M4" s="1755"/>
      <c r="N4" s="1756"/>
      <c r="O4" s="1757" t="s">
        <v>284</v>
      </c>
      <c r="P4" s="1755"/>
      <c r="Q4" s="1758"/>
    </row>
    <row r="5" spans="1:17" ht="11.25" customHeight="1">
      <c r="A5" s="1752"/>
      <c r="B5" s="1752"/>
      <c r="C5" s="1759" t="s">
        <v>285</v>
      </c>
      <c r="D5" s="1745" t="s">
        <v>286</v>
      </c>
      <c r="E5" s="1745" t="s">
        <v>287</v>
      </c>
      <c r="F5" s="1745" t="s">
        <v>288</v>
      </c>
      <c r="G5" s="1745" t="s">
        <v>289</v>
      </c>
      <c r="H5" s="1745" t="s">
        <v>290</v>
      </c>
      <c r="I5" s="1745" t="s">
        <v>291</v>
      </c>
      <c r="J5" s="1745" t="s">
        <v>292</v>
      </c>
      <c r="K5" s="1745" t="s">
        <v>293</v>
      </c>
      <c r="L5" s="1745" t="s">
        <v>294</v>
      </c>
      <c r="M5" s="1745" t="s">
        <v>295</v>
      </c>
      <c r="N5" s="1761" t="s">
        <v>296</v>
      </c>
      <c r="O5" s="1743" t="s">
        <v>297</v>
      </c>
      <c r="P5" s="1745" t="s">
        <v>298</v>
      </c>
      <c r="Q5" s="1747" t="s">
        <v>299</v>
      </c>
    </row>
    <row r="6" spans="1:17" ht="16.5" customHeight="1">
      <c r="A6" s="1752"/>
      <c r="B6" s="1752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7" ht="16.5" customHeight="1">
      <c r="A7" s="1752"/>
      <c r="B7" s="1752"/>
      <c r="C7" s="1759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61"/>
      <c r="O7" s="1743"/>
      <c r="P7" s="1745"/>
      <c r="Q7" s="1747"/>
    </row>
    <row r="8" spans="1:17" ht="36.6" customHeight="1">
      <c r="A8" s="1752"/>
      <c r="B8" s="1753"/>
      <c r="C8" s="1765"/>
      <c r="D8" s="1766"/>
      <c r="E8" s="1766"/>
      <c r="F8" s="1766"/>
      <c r="G8" s="1766"/>
      <c r="H8" s="1766"/>
      <c r="I8" s="1766"/>
      <c r="J8" s="1766"/>
      <c r="K8" s="1766"/>
      <c r="L8" s="1766"/>
      <c r="M8" s="1766"/>
      <c r="N8" s="1957"/>
      <c r="O8" s="1744"/>
      <c r="P8" s="1746"/>
      <c r="Q8" s="1748"/>
    </row>
    <row r="9" spans="1:17">
      <c r="A9" s="1753"/>
      <c r="B9" s="1951" t="s">
        <v>4</v>
      </c>
      <c r="C9" s="1952"/>
      <c r="D9" s="1952"/>
      <c r="E9" s="1952"/>
      <c r="F9" s="1952"/>
      <c r="G9" s="1952"/>
      <c r="H9" s="1952"/>
      <c r="I9" s="1952"/>
      <c r="J9" s="1952"/>
      <c r="K9" s="1952"/>
      <c r="L9" s="1952"/>
      <c r="M9" s="1952"/>
      <c r="N9" s="1952"/>
      <c r="O9" s="1953"/>
      <c r="P9" s="1953"/>
      <c r="Q9" s="1954"/>
    </row>
    <row r="10" spans="1:17">
      <c r="A10" s="1261" t="s">
        <v>887</v>
      </c>
      <c r="B10" s="1287" t="s">
        <v>888</v>
      </c>
      <c r="C10" s="1262" t="s">
        <v>889</v>
      </c>
      <c r="D10" s="1263" t="s">
        <v>890</v>
      </c>
      <c r="E10" s="1263" t="s">
        <v>891</v>
      </c>
      <c r="F10" s="1263" t="s">
        <v>892</v>
      </c>
      <c r="G10" s="1263" t="s">
        <v>893</v>
      </c>
      <c r="H10" s="1263" t="s">
        <v>894</v>
      </c>
      <c r="I10" s="1263" t="s">
        <v>932</v>
      </c>
      <c r="J10" s="1263" t="s">
        <v>966</v>
      </c>
      <c r="K10" s="1263" t="s">
        <v>967</v>
      </c>
      <c r="L10" s="1263" t="s">
        <v>969</v>
      </c>
      <c r="M10" s="1263" t="s">
        <v>1070</v>
      </c>
      <c r="N10" s="1264" t="s">
        <v>1096</v>
      </c>
      <c r="O10" s="1380" t="s">
        <v>1097</v>
      </c>
      <c r="P10" s="1285" t="s">
        <v>1098</v>
      </c>
      <c r="Q10" s="1286" t="s">
        <v>1099</v>
      </c>
    </row>
    <row r="11" spans="1:17" ht="27">
      <c r="A11" s="1374" t="s">
        <v>368</v>
      </c>
      <c r="B11" s="1252">
        <f>34175694154.25</f>
        <v>34175694154.25</v>
      </c>
      <c r="C11" s="1237">
        <f>34175693192.95</f>
        <v>34175693192.950001</v>
      </c>
      <c r="D11" s="1232">
        <f>2622235316.59</f>
        <v>2622235316.5900002</v>
      </c>
      <c r="E11" s="1232">
        <f>247193033.38</f>
        <v>247193033.38</v>
      </c>
      <c r="F11" s="1232">
        <f>383752872.72</f>
        <v>383752872.72000003</v>
      </c>
      <c r="G11" s="1232">
        <f>1986261724.98</f>
        <v>1986261724.98</v>
      </c>
      <c r="H11" s="1232">
        <f>5027685.51</f>
        <v>5027685.51</v>
      </c>
      <c r="I11" s="1232">
        <f>0</f>
        <v>0</v>
      </c>
      <c r="J11" s="1232">
        <f>29765243106.52</f>
        <v>29765243106.52</v>
      </c>
      <c r="K11" s="1232">
        <f>1497537700.24</f>
        <v>1497537700.24</v>
      </c>
      <c r="L11" s="1232">
        <f>257980093.75</f>
        <v>257980093.75</v>
      </c>
      <c r="M11" s="1232">
        <f>17890195.6</f>
        <v>17890195.600000001</v>
      </c>
      <c r="N11" s="1246">
        <f>14806780.25</f>
        <v>14806780.25</v>
      </c>
      <c r="O11" s="1249">
        <f>961.3</f>
        <v>961.3</v>
      </c>
      <c r="P11" s="1232">
        <f>0</f>
        <v>0</v>
      </c>
      <c r="Q11" s="1233">
        <f>961.3</f>
        <v>961.3</v>
      </c>
    </row>
    <row r="12" spans="1:17" ht="15" customHeight="1">
      <c r="A12" s="1375" t="s">
        <v>367</v>
      </c>
      <c r="B12" s="1253">
        <f>693948000</f>
        <v>693948000</v>
      </c>
      <c r="C12" s="1238">
        <f>693948000</f>
        <v>693948000</v>
      </c>
      <c r="D12" s="1228">
        <f>0</f>
        <v>0</v>
      </c>
      <c r="E12" s="1228">
        <f>0</f>
        <v>0</v>
      </c>
      <c r="F12" s="1228">
        <f>0</f>
        <v>0</v>
      </c>
      <c r="G12" s="1228">
        <f>0</f>
        <v>0</v>
      </c>
      <c r="H12" s="1228">
        <f>0</f>
        <v>0</v>
      </c>
      <c r="I12" s="1228">
        <f>0</f>
        <v>0</v>
      </c>
      <c r="J12" s="1228">
        <f>646261000</f>
        <v>646261000</v>
      </c>
      <c r="K12" s="1228">
        <f>47687000</f>
        <v>47687000</v>
      </c>
      <c r="L12" s="1228">
        <f>0</f>
        <v>0</v>
      </c>
      <c r="M12" s="1228">
        <f>0</f>
        <v>0</v>
      </c>
      <c r="N12" s="1247">
        <f>0</f>
        <v>0</v>
      </c>
      <c r="O12" s="1250">
        <f>0</f>
        <v>0</v>
      </c>
      <c r="P12" s="1228">
        <f>0</f>
        <v>0</v>
      </c>
      <c r="Q12" s="1229">
        <f>0</f>
        <v>0</v>
      </c>
    </row>
    <row r="13" spans="1:17">
      <c r="A13" s="1203" t="s">
        <v>711</v>
      </c>
      <c r="B13" s="1253">
        <f>4000000</f>
        <v>4000000</v>
      </c>
      <c r="C13" s="1238">
        <f>4000000</f>
        <v>4000000</v>
      </c>
      <c r="D13" s="1228">
        <f>0</f>
        <v>0</v>
      </c>
      <c r="E13" s="1228">
        <f>0</f>
        <v>0</v>
      </c>
      <c r="F13" s="1228">
        <f>0</f>
        <v>0</v>
      </c>
      <c r="G13" s="1228">
        <f>0</f>
        <v>0</v>
      </c>
      <c r="H13" s="1228">
        <f>0</f>
        <v>0</v>
      </c>
      <c r="I13" s="1228">
        <f>0</f>
        <v>0</v>
      </c>
      <c r="J13" s="1228">
        <f>4000000</f>
        <v>4000000</v>
      </c>
      <c r="K13" s="1228">
        <f>0</f>
        <v>0</v>
      </c>
      <c r="L13" s="1228">
        <f>0</f>
        <v>0</v>
      </c>
      <c r="M13" s="1228">
        <f>0</f>
        <v>0</v>
      </c>
      <c r="N13" s="1247">
        <f>0</f>
        <v>0</v>
      </c>
      <c r="O13" s="1250">
        <f>0</f>
        <v>0</v>
      </c>
      <c r="P13" s="1228">
        <f>0</f>
        <v>0</v>
      </c>
      <c r="Q13" s="1229">
        <f>0</f>
        <v>0</v>
      </c>
    </row>
    <row r="14" spans="1:17" ht="15" customHeight="1">
      <c r="A14" s="1203" t="s">
        <v>302</v>
      </c>
      <c r="B14" s="1253">
        <f>689948000</f>
        <v>689948000</v>
      </c>
      <c r="C14" s="1238">
        <f>689948000</f>
        <v>689948000</v>
      </c>
      <c r="D14" s="1228">
        <f>0</f>
        <v>0</v>
      </c>
      <c r="E14" s="1228">
        <f>0</f>
        <v>0</v>
      </c>
      <c r="F14" s="1228">
        <f>0</f>
        <v>0</v>
      </c>
      <c r="G14" s="1228">
        <f>0</f>
        <v>0</v>
      </c>
      <c r="H14" s="1228">
        <f>0</f>
        <v>0</v>
      </c>
      <c r="I14" s="1228">
        <f>0</f>
        <v>0</v>
      </c>
      <c r="J14" s="1228">
        <f>642261000</f>
        <v>642261000</v>
      </c>
      <c r="K14" s="1228">
        <f>47687000</f>
        <v>47687000</v>
      </c>
      <c r="L14" s="1228">
        <f>0</f>
        <v>0</v>
      </c>
      <c r="M14" s="1228">
        <f>0</f>
        <v>0</v>
      </c>
      <c r="N14" s="1247">
        <f>0</f>
        <v>0</v>
      </c>
      <c r="O14" s="1250">
        <f>0</f>
        <v>0</v>
      </c>
      <c r="P14" s="1228">
        <f>0</f>
        <v>0</v>
      </c>
      <c r="Q14" s="1229">
        <f>0</f>
        <v>0</v>
      </c>
    </row>
    <row r="15" spans="1:17" ht="15" customHeight="1">
      <c r="A15" s="1375" t="s">
        <v>366</v>
      </c>
      <c r="B15" s="1253">
        <f>33449535963.01</f>
        <v>33449535963.009998</v>
      </c>
      <c r="C15" s="1238">
        <f>33449535963.01</f>
        <v>33449535963.009998</v>
      </c>
      <c r="D15" s="1228">
        <f>2609713916.39</f>
        <v>2609713916.3899999</v>
      </c>
      <c r="E15" s="1228">
        <f>246880857.72</f>
        <v>246880857.72</v>
      </c>
      <c r="F15" s="1228">
        <f>383747382.72</f>
        <v>383747382.72000003</v>
      </c>
      <c r="G15" s="1228">
        <f>1979085675.95</f>
        <v>1979085675.95</v>
      </c>
      <c r="H15" s="1228">
        <f>0</f>
        <v>0</v>
      </c>
      <c r="I15" s="1228">
        <f>0</f>
        <v>0</v>
      </c>
      <c r="J15" s="1228">
        <f>29118961963.35</f>
        <v>29118961963.349998</v>
      </c>
      <c r="K15" s="1228">
        <f>1449844309.17</f>
        <v>1449844309.1700001</v>
      </c>
      <c r="L15" s="1228">
        <f>245562130.45</f>
        <v>245562130.44999999</v>
      </c>
      <c r="M15" s="1228">
        <f>12420509.07</f>
        <v>12420509.07</v>
      </c>
      <c r="N15" s="1247">
        <f>13033134.58</f>
        <v>13033134.58</v>
      </c>
      <c r="O15" s="1250">
        <f>0</f>
        <v>0</v>
      </c>
      <c r="P15" s="1228">
        <f>0</f>
        <v>0</v>
      </c>
      <c r="Q15" s="1229">
        <f>0</f>
        <v>0</v>
      </c>
    </row>
    <row r="16" spans="1:17" ht="15" customHeight="1">
      <c r="A16" s="1203" t="s">
        <v>710</v>
      </c>
      <c r="B16" s="1253">
        <f>92953061.65</f>
        <v>92953061.650000006</v>
      </c>
      <c r="C16" s="1238">
        <f>92953061.65</f>
        <v>92953061.650000006</v>
      </c>
      <c r="D16" s="1228">
        <f>21350411.81</f>
        <v>21350411.809999999</v>
      </c>
      <c r="E16" s="1228">
        <f>12817117.62</f>
        <v>12817117.619999999</v>
      </c>
      <c r="F16" s="1228">
        <f>1566851.07</f>
        <v>1566851.07</v>
      </c>
      <c r="G16" s="1228">
        <f>6966443.12</f>
        <v>6966443.1200000001</v>
      </c>
      <c r="H16" s="1228">
        <f>0</f>
        <v>0</v>
      </c>
      <c r="I16" s="1228">
        <f>0</f>
        <v>0</v>
      </c>
      <c r="J16" s="1228">
        <f>64030577.63</f>
        <v>64030577.630000003</v>
      </c>
      <c r="K16" s="1228">
        <f>6270931.13</f>
        <v>6270931.1299999999</v>
      </c>
      <c r="L16" s="1228">
        <f>138788.13</f>
        <v>138788.13</v>
      </c>
      <c r="M16" s="1228">
        <f>450000</f>
        <v>450000</v>
      </c>
      <c r="N16" s="1247">
        <f>712352.95</f>
        <v>712352.95</v>
      </c>
      <c r="O16" s="1250">
        <f>0</f>
        <v>0</v>
      </c>
      <c r="P16" s="1228">
        <f>0</f>
        <v>0</v>
      </c>
      <c r="Q16" s="1229">
        <f>0</f>
        <v>0</v>
      </c>
    </row>
    <row r="17" spans="1:17">
      <c r="A17" s="1376" t="s">
        <v>304</v>
      </c>
      <c r="B17" s="1253">
        <f>33356582901.36</f>
        <v>33356582901.360001</v>
      </c>
      <c r="C17" s="1238">
        <f>33356582901.36</f>
        <v>33356582901.360001</v>
      </c>
      <c r="D17" s="1228">
        <f>2588363504.58</f>
        <v>2588363504.5799999</v>
      </c>
      <c r="E17" s="1228">
        <f>234063740.1</f>
        <v>234063740.09999999</v>
      </c>
      <c r="F17" s="1228">
        <f>382180531.65</f>
        <v>382180531.64999998</v>
      </c>
      <c r="G17" s="1228">
        <f>1972119232.83</f>
        <v>1972119232.8299999</v>
      </c>
      <c r="H17" s="1228">
        <f>0</f>
        <v>0</v>
      </c>
      <c r="I17" s="1228">
        <f>0</f>
        <v>0</v>
      </c>
      <c r="J17" s="1228">
        <f>29054931385.72</f>
        <v>29054931385.720001</v>
      </c>
      <c r="K17" s="1228">
        <f>1443573378.04</f>
        <v>1443573378.04</v>
      </c>
      <c r="L17" s="1228">
        <f>245423342.32</f>
        <v>245423342.31999999</v>
      </c>
      <c r="M17" s="1228">
        <f>11970509.07</f>
        <v>11970509.07</v>
      </c>
      <c r="N17" s="1247">
        <f>12320781.63</f>
        <v>12320781.630000001</v>
      </c>
      <c r="O17" s="1250">
        <f>0</f>
        <v>0</v>
      </c>
      <c r="P17" s="1228">
        <f>0</f>
        <v>0</v>
      </c>
      <c r="Q17" s="1229">
        <f>0</f>
        <v>0</v>
      </c>
    </row>
    <row r="18" spans="1:17">
      <c r="A18" s="1377" t="s">
        <v>305</v>
      </c>
      <c r="B18" s="1253">
        <f>0</f>
        <v>0</v>
      </c>
      <c r="C18" s="1238">
        <f>0</f>
        <v>0</v>
      </c>
      <c r="D18" s="1228">
        <f>0</f>
        <v>0</v>
      </c>
      <c r="E18" s="1228">
        <f>0</f>
        <v>0</v>
      </c>
      <c r="F18" s="1228">
        <f>0</f>
        <v>0</v>
      </c>
      <c r="G18" s="1228">
        <f>0</f>
        <v>0</v>
      </c>
      <c r="H18" s="1228">
        <f>0</f>
        <v>0</v>
      </c>
      <c r="I18" s="1228">
        <f>0</f>
        <v>0</v>
      </c>
      <c r="J18" s="1228">
        <f>0</f>
        <v>0</v>
      </c>
      <c r="K18" s="1228">
        <f>0</f>
        <v>0</v>
      </c>
      <c r="L18" s="1228">
        <f>0</f>
        <v>0</v>
      </c>
      <c r="M18" s="1228">
        <f>0</f>
        <v>0</v>
      </c>
      <c r="N18" s="1247">
        <f>0</f>
        <v>0</v>
      </c>
      <c r="O18" s="1250">
        <f>0</f>
        <v>0</v>
      </c>
      <c r="P18" s="1228">
        <f>0</f>
        <v>0</v>
      </c>
      <c r="Q18" s="1229">
        <f>0</f>
        <v>0</v>
      </c>
    </row>
    <row r="19" spans="1:17" ht="15" customHeight="1">
      <c r="A19" s="1378" t="s">
        <v>365</v>
      </c>
      <c r="B19" s="1253">
        <f>32210191.24</f>
        <v>32210191.239999998</v>
      </c>
      <c r="C19" s="1238">
        <f>32209229.94</f>
        <v>32209229.940000001</v>
      </c>
      <c r="D19" s="1228">
        <f>12521400.2</f>
        <v>12521400.199999999</v>
      </c>
      <c r="E19" s="1228">
        <f>312175.66</f>
        <v>312175.65999999997</v>
      </c>
      <c r="F19" s="1228">
        <f>5490</f>
        <v>5490</v>
      </c>
      <c r="G19" s="1228">
        <f>7176049.03</f>
        <v>7176049.0300000003</v>
      </c>
      <c r="H19" s="1228">
        <f>5027685.51</f>
        <v>5027685.51</v>
      </c>
      <c r="I19" s="1228">
        <f>0</f>
        <v>0</v>
      </c>
      <c r="J19" s="1228">
        <f>20143.17</f>
        <v>20143.169999999998</v>
      </c>
      <c r="K19" s="1228">
        <f>6391.07</f>
        <v>6391.07</v>
      </c>
      <c r="L19" s="1228">
        <f>12417963.3</f>
        <v>12417963.300000001</v>
      </c>
      <c r="M19" s="1228">
        <f>5469686.53</f>
        <v>5469686.5300000003</v>
      </c>
      <c r="N19" s="1247">
        <f>1773645.67</f>
        <v>1773645.67</v>
      </c>
      <c r="O19" s="1250">
        <f>961.3</f>
        <v>961.3</v>
      </c>
      <c r="P19" s="1228">
        <f>0</f>
        <v>0</v>
      </c>
      <c r="Q19" s="1229">
        <f>961.3</f>
        <v>961.3</v>
      </c>
    </row>
    <row r="20" spans="1:17" ht="19.5" customHeight="1">
      <c r="A20" s="1203" t="s">
        <v>307</v>
      </c>
      <c r="B20" s="1253">
        <f>12862310.49</f>
        <v>12862310.49</v>
      </c>
      <c r="C20" s="1238">
        <f>12862310.49</f>
        <v>12862310.49</v>
      </c>
      <c r="D20" s="1228">
        <f>1066461.93</f>
        <v>1066461.93</v>
      </c>
      <c r="E20" s="1228">
        <f>41.23</f>
        <v>41.23</v>
      </c>
      <c r="F20" s="1228">
        <f>1500</f>
        <v>1500</v>
      </c>
      <c r="G20" s="1228">
        <f>1064920.7</f>
        <v>1064920.7</v>
      </c>
      <c r="H20" s="1228">
        <f>0</f>
        <v>0</v>
      </c>
      <c r="I20" s="1228">
        <f>0</f>
        <v>0</v>
      </c>
      <c r="J20" s="1228">
        <f>17813.79</f>
        <v>17813.79</v>
      </c>
      <c r="K20" s="1228">
        <f>6319.56</f>
        <v>6319.56</v>
      </c>
      <c r="L20" s="1228">
        <f>7403479.77</f>
        <v>7403479.7699999996</v>
      </c>
      <c r="M20" s="1228">
        <f>2599068.04</f>
        <v>2599068.04</v>
      </c>
      <c r="N20" s="1247">
        <f>1769167.4</f>
        <v>1769167.4</v>
      </c>
      <c r="O20" s="1250">
        <f>0</f>
        <v>0</v>
      </c>
      <c r="P20" s="1228">
        <f>0</f>
        <v>0</v>
      </c>
      <c r="Q20" s="1229">
        <f>0</f>
        <v>0</v>
      </c>
    </row>
    <row r="21" spans="1:17" ht="13.5" customHeight="1">
      <c r="A21" s="1379" t="s">
        <v>308</v>
      </c>
      <c r="B21" s="1254">
        <f>19347880.75</f>
        <v>19347880.75</v>
      </c>
      <c r="C21" s="1239">
        <f>19346919.45</f>
        <v>19346919.449999999</v>
      </c>
      <c r="D21" s="1230">
        <f>11454938.27</f>
        <v>11454938.27</v>
      </c>
      <c r="E21" s="1230">
        <f>312134.43</f>
        <v>312134.43</v>
      </c>
      <c r="F21" s="1230">
        <f>3990</f>
        <v>3990</v>
      </c>
      <c r="G21" s="1230">
        <f>6111128.33</f>
        <v>6111128.3300000001</v>
      </c>
      <c r="H21" s="1230">
        <f>5027685.51</f>
        <v>5027685.51</v>
      </c>
      <c r="I21" s="1230">
        <f>0</f>
        <v>0</v>
      </c>
      <c r="J21" s="1230">
        <f>2329.38</f>
        <v>2329.38</v>
      </c>
      <c r="K21" s="1230">
        <f>71.51</f>
        <v>71.510000000000005</v>
      </c>
      <c r="L21" s="1230">
        <f>5014483.53</f>
        <v>5014483.53</v>
      </c>
      <c r="M21" s="1230">
        <f>2870618.49</f>
        <v>2870618.49</v>
      </c>
      <c r="N21" s="1248">
        <f>4478.27</f>
        <v>4478.2700000000004</v>
      </c>
      <c r="O21" s="1251">
        <f>961.3</f>
        <v>961.3</v>
      </c>
      <c r="P21" s="1230">
        <f>0</f>
        <v>0</v>
      </c>
      <c r="Q21" s="1231">
        <f>961.3</f>
        <v>961.3</v>
      </c>
    </row>
    <row r="22" spans="1:17" ht="13.5" customHeight="1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7">
      <c r="A23" s="1749" t="s">
        <v>309</v>
      </c>
      <c r="B23" s="1749"/>
      <c r="C23" s="1749"/>
      <c r="D23" s="1749"/>
      <c r="E23" s="1749"/>
      <c r="F23" s="1749"/>
      <c r="G23" s="1749"/>
      <c r="H23" s="1749"/>
      <c r="I23" s="1749"/>
      <c r="J23" s="1749"/>
      <c r="K23" s="1749"/>
      <c r="L23" s="1749"/>
      <c r="M23" s="1749"/>
    </row>
    <row r="24" spans="1:17" ht="14.1" customHeight="1"/>
    <row r="25" spans="1:17" ht="14.1" customHeight="1">
      <c r="A25" s="1751" t="s">
        <v>68</v>
      </c>
      <c r="B25" s="1948" t="s">
        <v>310</v>
      </c>
      <c r="C25" s="1754" t="s">
        <v>311</v>
      </c>
      <c r="D25" s="1755"/>
      <c r="E25" s="1755"/>
      <c r="F25" s="1755"/>
      <c r="G25" s="1755"/>
      <c r="H25" s="1755"/>
      <c r="I25" s="1755"/>
      <c r="J25" s="1755"/>
      <c r="K25" s="1755"/>
      <c r="L25" s="1755"/>
      <c r="M25" s="1755"/>
      <c r="N25" s="1756"/>
      <c r="O25" s="1757" t="s">
        <v>312</v>
      </c>
      <c r="P25" s="1755"/>
      <c r="Q25" s="1758"/>
    </row>
    <row r="26" spans="1:17" ht="14.1" customHeight="1">
      <c r="A26" s="1752"/>
      <c r="B26" s="1949"/>
      <c r="C26" s="1759" t="s">
        <v>313</v>
      </c>
      <c r="D26" s="1745" t="s">
        <v>314</v>
      </c>
      <c r="E26" s="1745" t="s">
        <v>315</v>
      </c>
      <c r="F26" s="1745" t="s">
        <v>316</v>
      </c>
      <c r="G26" s="1745" t="s">
        <v>317</v>
      </c>
      <c r="H26" s="1745" t="s">
        <v>290</v>
      </c>
      <c r="I26" s="1745" t="s">
        <v>318</v>
      </c>
      <c r="J26" s="1745" t="s">
        <v>292</v>
      </c>
      <c r="K26" s="1745" t="s">
        <v>293</v>
      </c>
      <c r="L26" s="1745" t="s">
        <v>294</v>
      </c>
      <c r="M26" s="1745" t="s">
        <v>295</v>
      </c>
      <c r="N26" s="1763" t="s">
        <v>296</v>
      </c>
      <c r="O26" s="1743" t="s">
        <v>297</v>
      </c>
      <c r="P26" s="1745" t="s">
        <v>298</v>
      </c>
      <c r="Q26" s="1747" t="s">
        <v>299</v>
      </c>
    </row>
    <row r="27" spans="1:17" ht="24.75" customHeight="1">
      <c r="A27" s="1752"/>
      <c r="B27" s="1949"/>
      <c r="C27" s="1759"/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63"/>
      <c r="O27" s="1743"/>
      <c r="P27" s="1745"/>
      <c r="Q27" s="1747"/>
    </row>
    <row r="28" spans="1:17" ht="42" customHeight="1">
      <c r="A28" s="1752"/>
      <c r="B28" s="1950"/>
      <c r="C28" s="1765"/>
      <c r="D28" s="1766"/>
      <c r="E28" s="1766"/>
      <c r="F28" s="1766"/>
      <c r="G28" s="1766"/>
      <c r="H28" s="1766"/>
      <c r="I28" s="1766"/>
      <c r="J28" s="1766"/>
      <c r="K28" s="1766"/>
      <c r="L28" s="1766"/>
      <c r="M28" s="1766"/>
      <c r="N28" s="1955"/>
      <c r="O28" s="1744"/>
      <c r="P28" s="1746"/>
      <c r="Q28" s="1748"/>
    </row>
    <row r="29" spans="1:17">
      <c r="A29" s="1753"/>
      <c r="B29" s="1956" t="s">
        <v>4</v>
      </c>
      <c r="C29" s="1959"/>
      <c r="D29" s="1959"/>
      <c r="E29" s="1959"/>
      <c r="F29" s="1959"/>
      <c r="G29" s="1959"/>
      <c r="H29" s="1959"/>
      <c r="I29" s="1959"/>
      <c r="J29" s="1959"/>
      <c r="K29" s="1959"/>
      <c r="L29" s="1959"/>
      <c r="M29" s="1959"/>
      <c r="N29" s="1959"/>
      <c r="O29" s="1959"/>
      <c r="P29" s="1959"/>
      <c r="Q29" s="1960"/>
    </row>
    <row r="30" spans="1:17" ht="14.1" customHeight="1">
      <c r="A30" s="1261" t="s">
        <v>887</v>
      </c>
      <c r="B30" s="1287" t="s">
        <v>888</v>
      </c>
      <c r="C30" s="1262" t="s">
        <v>889</v>
      </c>
      <c r="D30" s="1263" t="s">
        <v>890</v>
      </c>
      <c r="E30" s="1263" t="s">
        <v>891</v>
      </c>
      <c r="F30" s="1263" t="s">
        <v>892</v>
      </c>
      <c r="G30" s="1263" t="s">
        <v>893</v>
      </c>
      <c r="H30" s="1263" t="s">
        <v>894</v>
      </c>
      <c r="I30" s="1263" t="s">
        <v>932</v>
      </c>
      <c r="J30" s="1263" t="s">
        <v>966</v>
      </c>
      <c r="K30" s="1263" t="s">
        <v>967</v>
      </c>
      <c r="L30" s="1263" t="s">
        <v>969</v>
      </c>
      <c r="M30" s="1263" t="s">
        <v>1070</v>
      </c>
      <c r="N30" s="1264" t="s">
        <v>1096</v>
      </c>
      <c r="O30" s="1380" t="s">
        <v>1097</v>
      </c>
      <c r="P30" s="1285" t="s">
        <v>1098</v>
      </c>
      <c r="Q30" s="1286" t="s">
        <v>1099</v>
      </c>
    </row>
    <row r="31" spans="1:17">
      <c r="A31" s="1381" t="s">
        <v>320</v>
      </c>
      <c r="B31" s="1276">
        <f>14932745.51</f>
        <v>14932745.51</v>
      </c>
      <c r="C31" s="1273">
        <f>14932745.51</f>
        <v>14932745.51</v>
      </c>
      <c r="D31" s="1255">
        <f>0</f>
        <v>0</v>
      </c>
      <c r="E31" s="1255">
        <f>0</f>
        <v>0</v>
      </c>
      <c r="F31" s="1255">
        <f>0</f>
        <v>0</v>
      </c>
      <c r="G31" s="1255">
        <f>0</f>
        <v>0</v>
      </c>
      <c r="H31" s="1255">
        <f>0</f>
        <v>0</v>
      </c>
      <c r="I31" s="1255">
        <f>0</f>
        <v>0</v>
      </c>
      <c r="J31" s="1255">
        <f>13505289.17</f>
        <v>13505289.17</v>
      </c>
      <c r="K31" s="1255">
        <f>25550</f>
        <v>25550</v>
      </c>
      <c r="L31" s="1255">
        <f>712507.76</f>
        <v>712507.76</v>
      </c>
      <c r="M31" s="1255">
        <f>689398.58</f>
        <v>689398.58</v>
      </c>
      <c r="N31" s="1279">
        <f>0</f>
        <v>0</v>
      </c>
      <c r="O31" s="1282">
        <f>0</f>
        <v>0</v>
      </c>
      <c r="P31" s="1255">
        <f>0</f>
        <v>0</v>
      </c>
      <c r="Q31" s="1256">
        <f>0</f>
        <v>0</v>
      </c>
    </row>
    <row r="32" spans="1:17">
      <c r="A32" s="1382" t="s">
        <v>709</v>
      </c>
      <c r="B32" s="1276">
        <f>13354898.02</f>
        <v>13354898.02</v>
      </c>
      <c r="C32" s="1273">
        <f>13354898.02</f>
        <v>13354898.02</v>
      </c>
      <c r="D32" s="1255">
        <f>0</f>
        <v>0</v>
      </c>
      <c r="E32" s="1255">
        <f>0</f>
        <v>0</v>
      </c>
      <c r="F32" s="1255">
        <f>0</f>
        <v>0</v>
      </c>
      <c r="G32" s="1255">
        <f>0</f>
        <v>0</v>
      </c>
      <c r="H32" s="1255">
        <f>0</f>
        <v>0</v>
      </c>
      <c r="I32" s="1255">
        <f>0</f>
        <v>0</v>
      </c>
      <c r="J32" s="1255">
        <f>13290614.91</f>
        <v>13290614.91</v>
      </c>
      <c r="K32" s="1255">
        <f>0</f>
        <v>0</v>
      </c>
      <c r="L32" s="1255">
        <f>38172</f>
        <v>38172</v>
      </c>
      <c r="M32" s="1255">
        <f>26111.11</f>
        <v>26111.11</v>
      </c>
      <c r="N32" s="1279">
        <f>0</f>
        <v>0</v>
      </c>
      <c r="O32" s="1282">
        <f>0</f>
        <v>0</v>
      </c>
      <c r="P32" s="1255">
        <f>0</f>
        <v>0</v>
      </c>
      <c r="Q32" s="1256">
        <f>0</f>
        <v>0</v>
      </c>
    </row>
    <row r="33" spans="1:17">
      <c r="A33" s="1382" t="s">
        <v>321</v>
      </c>
      <c r="B33" s="1276">
        <f>1577847.49</f>
        <v>1577847.49</v>
      </c>
      <c r="C33" s="1273">
        <f>1577847.49</f>
        <v>1577847.49</v>
      </c>
      <c r="D33" s="1255">
        <f>0</f>
        <v>0</v>
      </c>
      <c r="E33" s="1255">
        <f>0</f>
        <v>0</v>
      </c>
      <c r="F33" s="1255">
        <f>0</f>
        <v>0</v>
      </c>
      <c r="G33" s="1255">
        <f>0</f>
        <v>0</v>
      </c>
      <c r="H33" s="1255">
        <f>0</f>
        <v>0</v>
      </c>
      <c r="I33" s="1255">
        <f>0</f>
        <v>0</v>
      </c>
      <c r="J33" s="1255">
        <f>214674.26</f>
        <v>214674.26</v>
      </c>
      <c r="K33" s="1255">
        <f>25550</f>
        <v>25550</v>
      </c>
      <c r="L33" s="1255">
        <f>674335.76</f>
        <v>674335.76</v>
      </c>
      <c r="M33" s="1255">
        <f>663287.47</f>
        <v>663287.47</v>
      </c>
      <c r="N33" s="1279">
        <f>0</f>
        <v>0</v>
      </c>
      <c r="O33" s="1282">
        <f>0</f>
        <v>0</v>
      </c>
      <c r="P33" s="1255">
        <f>0</f>
        <v>0</v>
      </c>
      <c r="Q33" s="1256">
        <f>0</f>
        <v>0</v>
      </c>
    </row>
    <row r="34" spans="1:17" ht="13.5" customHeight="1">
      <c r="A34" s="1377" t="s">
        <v>322</v>
      </c>
      <c r="B34" s="1276">
        <f>398381658.26</f>
        <v>398381658.25999999</v>
      </c>
      <c r="C34" s="1273">
        <f>398377774.6</f>
        <v>398377774.60000002</v>
      </c>
      <c r="D34" s="1255">
        <f>36914714.35</f>
        <v>36914714.350000001</v>
      </c>
      <c r="E34" s="1255">
        <f>217525.98</f>
        <v>217525.98</v>
      </c>
      <c r="F34" s="1255">
        <f>391800</f>
        <v>391800</v>
      </c>
      <c r="G34" s="1255">
        <f>21205388.37</f>
        <v>21205388.370000001</v>
      </c>
      <c r="H34" s="1255">
        <f>15100000</f>
        <v>15100000</v>
      </c>
      <c r="I34" s="1255">
        <f>0</f>
        <v>0</v>
      </c>
      <c r="J34" s="1255">
        <f>9731874.82</f>
        <v>9731874.8200000003</v>
      </c>
      <c r="K34" s="1255">
        <f>82280</f>
        <v>82280</v>
      </c>
      <c r="L34" s="1255">
        <f>124728481.46</f>
        <v>124728481.45999999</v>
      </c>
      <c r="M34" s="1255">
        <f>199185941.71</f>
        <v>199185941.71000001</v>
      </c>
      <c r="N34" s="1279">
        <f>27734482.26</f>
        <v>27734482.260000002</v>
      </c>
      <c r="O34" s="1282">
        <f>3883.66</f>
        <v>3883.66</v>
      </c>
      <c r="P34" s="1255">
        <f>3883.66</f>
        <v>3883.66</v>
      </c>
      <c r="Q34" s="1256">
        <f>0</f>
        <v>0</v>
      </c>
    </row>
    <row r="35" spans="1:17" ht="13.5" customHeight="1">
      <c r="A35" s="1382" t="s">
        <v>708</v>
      </c>
      <c r="B35" s="1276">
        <f>16867921.58</f>
        <v>16867921.579999998</v>
      </c>
      <c r="C35" s="1273">
        <f>16867921.58</f>
        <v>16867921.579999998</v>
      </c>
      <c r="D35" s="1255">
        <f>3937012.12</f>
        <v>3937012.12</v>
      </c>
      <c r="E35" s="1255">
        <f>366.11</f>
        <v>366.11</v>
      </c>
      <c r="F35" s="1255">
        <f>0</f>
        <v>0</v>
      </c>
      <c r="G35" s="1255">
        <f>3936646.01</f>
        <v>3936646.01</v>
      </c>
      <c r="H35" s="1255">
        <f>0</f>
        <v>0</v>
      </c>
      <c r="I35" s="1255">
        <f>0</f>
        <v>0</v>
      </c>
      <c r="J35" s="1255">
        <f>0</f>
        <v>0</v>
      </c>
      <c r="K35" s="1255">
        <f>0</f>
        <v>0</v>
      </c>
      <c r="L35" s="1255">
        <f>1640446.59</f>
        <v>1640446.59</v>
      </c>
      <c r="M35" s="1255">
        <f>1331676.76</f>
        <v>1331676.76</v>
      </c>
      <c r="N35" s="1279">
        <f>9958786.11</f>
        <v>9958786.1099999994</v>
      </c>
      <c r="O35" s="1282">
        <f>0</f>
        <v>0</v>
      </c>
      <c r="P35" s="1255">
        <f>0</f>
        <v>0</v>
      </c>
      <c r="Q35" s="1256">
        <f>0</f>
        <v>0</v>
      </c>
    </row>
    <row r="36" spans="1:17" ht="13.5" customHeight="1">
      <c r="A36" s="1382" t="s">
        <v>323</v>
      </c>
      <c r="B36" s="1276">
        <f>381513736.68</f>
        <v>381513736.68000001</v>
      </c>
      <c r="C36" s="1273">
        <f>381509853.02</f>
        <v>381509853.01999998</v>
      </c>
      <c r="D36" s="1255">
        <f>32977702.23</f>
        <v>32977702.23</v>
      </c>
      <c r="E36" s="1255">
        <f>217159.87</f>
        <v>217159.87</v>
      </c>
      <c r="F36" s="1255">
        <f>391800</f>
        <v>391800</v>
      </c>
      <c r="G36" s="1255">
        <f>17268742.36</f>
        <v>17268742.359999999</v>
      </c>
      <c r="H36" s="1255">
        <f>15100000</f>
        <v>15100000</v>
      </c>
      <c r="I36" s="1255">
        <f>0</f>
        <v>0</v>
      </c>
      <c r="J36" s="1255">
        <f>9731874.82</f>
        <v>9731874.8200000003</v>
      </c>
      <c r="K36" s="1255">
        <f>82280</f>
        <v>82280</v>
      </c>
      <c r="L36" s="1255">
        <f>123088034.87</f>
        <v>123088034.87</v>
      </c>
      <c r="M36" s="1255">
        <f>197854264.95</f>
        <v>197854264.94999999</v>
      </c>
      <c r="N36" s="1279">
        <f>17775696.15</f>
        <v>17775696.149999999</v>
      </c>
      <c r="O36" s="1282">
        <f>3883.66</f>
        <v>3883.66</v>
      </c>
      <c r="P36" s="1255">
        <f>3883.66</f>
        <v>3883.66</v>
      </c>
      <c r="Q36" s="1256">
        <f>0</f>
        <v>0</v>
      </c>
    </row>
    <row r="37" spans="1:17" ht="13.5" customHeight="1">
      <c r="A37" s="1381" t="s">
        <v>324</v>
      </c>
      <c r="B37" s="1276">
        <f>29230241041.41</f>
        <v>29230241041.41</v>
      </c>
      <c r="C37" s="1273">
        <f>29230241041.41</f>
        <v>29230241041.41</v>
      </c>
      <c r="D37" s="1255">
        <f>18862994.88</f>
        <v>18862994.879999999</v>
      </c>
      <c r="E37" s="1255">
        <f>17958749.35</f>
        <v>17958749.350000001</v>
      </c>
      <c r="F37" s="1255">
        <f>11874.58</f>
        <v>11874.58</v>
      </c>
      <c r="G37" s="1255">
        <f>892370.95</f>
        <v>892370.95</v>
      </c>
      <c r="H37" s="1255">
        <f>0</f>
        <v>0</v>
      </c>
      <c r="I37" s="1255">
        <f>629.48</f>
        <v>629.48</v>
      </c>
      <c r="J37" s="1255">
        <f>29201944719.08</f>
        <v>29201944719.080002</v>
      </c>
      <c r="K37" s="1255">
        <f>1844530.72</f>
        <v>1844530.72</v>
      </c>
      <c r="L37" s="1255">
        <f>7477788.38</f>
        <v>7477788.3799999999</v>
      </c>
      <c r="M37" s="1255">
        <f>110378.87</f>
        <v>110378.87</v>
      </c>
      <c r="N37" s="1279">
        <f>0</f>
        <v>0</v>
      </c>
      <c r="O37" s="1282">
        <f>0</f>
        <v>0</v>
      </c>
      <c r="P37" s="1255">
        <f>0</f>
        <v>0</v>
      </c>
      <c r="Q37" s="1256">
        <f>0</f>
        <v>0</v>
      </c>
    </row>
    <row r="38" spans="1:17" ht="11.25" customHeight="1">
      <c r="A38" s="1382" t="s">
        <v>325</v>
      </c>
      <c r="B38" s="1276">
        <f>838960.75</f>
        <v>838960.75</v>
      </c>
      <c r="C38" s="1273">
        <f>838960.75</f>
        <v>838960.75</v>
      </c>
      <c r="D38" s="1255">
        <f>838960.75</f>
        <v>838960.75</v>
      </c>
      <c r="E38" s="1255">
        <f>0</f>
        <v>0</v>
      </c>
      <c r="F38" s="1255">
        <f>0</f>
        <v>0</v>
      </c>
      <c r="G38" s="1255">
        <f>838960.75</f>
        <v>838960.75</v>
      </c>
      <c r="H38" s="1255">
        <f>0</f>
        <v>0</v>
      </c>
      <c r="I38" s="1255">
        <f>0</f>
        <v>0</v>
      </c>
      <c r="J38" s="1255">
        <f>0</f>
        <v>0</v>
      </c>
      <c r="K38" s="1255">
        <f>0</f>
        <v>0</v>
      </c>
      <c r="L38" s="1255">
        <f>0</f>
        <v>0</v>
      </c>
      <c r="M38" s="1255">
        <f>0</f>
        <v>0</v>
      </c>
      <c r="N38" s="1279">
        <f>0</f>
        <v>0</v>
      </c>
      <c r="O38" s="1282">
        <f>0</f>
        <v>0</v>
      </c>
      <c r="P38" s="1255">
        <f>0</f>
        <v>0</v>
      </c>
      <c r="Q38" s="1256">
        <f>0</f>
        <v>0</v>
      </c>
    </row>
    <row r="39" spans="1:17" ht="11.25" customHeight="1">
      <c r="A39" s="1382" t="s">
        <v>326</v>
      </c>
      <c r="B39" s="1276">
        <f>27248557689.9</f>
        <v>27248557689.900002</v>
      </c>
      <c r="C39" s="1273">
        <f>27248557689.9</f>
        <v>27248557689.900002</v>
      </c>
      <c r="D39" s="1255">
        <f>17860591.79</f>
        <v>17860591.789999999</v>
      </c>
      <c r="E39" s="1255">
        <f>17854341.79</f>
        <v>17854341.789999999</v>
      </c>
      <c r="F39" s="1255">
        <f>6250</f>
        <v>6250</v>
      </c>
      <c r="G39" s="1255">
        <f>0</f>
        <v>0</v>
      </c>
      <c r="H39" s="1255">
        <f>0</f>
        <v>0</v>
      </c>
      <c r="I39" s="1255">
        <f>629.48</f>
        <v>629.48</v>
      </c>
      <c r="J39" s="1255">
        <f>27221664052.21</f>
        <v>27221664052.209999</v>
      </c>
      <c r="K39" s="1255">
        <f>1842024.4</f>
        <v>1842024.4</v>
      </c>
      <c r="L39" s="1255">
        <f>7190352.02</f>
        <v>7190352.0199999996</v>
      </c>
      <c r="M39" s="1255">
        <f>40</f>
        <v>40</v>
      </c>
      <c r="N39" s="1279">
        <f>0</f>
        <v>0</v>
      </c>
      <c r="O39" s="1282">
        <f>0</f>
        <v>0</v>
      </c>
      <c r="P39" s="1255">
        <f>0</f>
        <v>0</v>
      </c>
      <c r="Q39" s="1256">
        <f>0</f>
        <v>0</v>
      </c>
    </row>
    <row r="40" spans="1:17" ht="11.25" customHeight="1">
      <c r="A40" s="1382" t="s">
        <v>327</v>
      </c>
      <c r="B40" s="1276">
        <f>1980844390.76</f>
        <v>1980844390.76</v>
      </c>
      <c r="C40" s="1273">
        <f>1980844390.76</f>
        <v>1980844390.76</v>
      </c>
      <c r="D40" s="1255">
        <f>163442.34</f>
        <v>163442.34</v>
      </c>
      <c r="E40" s="1255">
        <f>104407.56</f>
        <v>104407.56</v>
      </c>
      <c r="F40" s="1255">
        <f>5624.58</f>
        <v>5624.58</v>
      </c>
      <c r="G40" s="1255">
        <f>53410.2</f>
        <v>53410.2</v>
      </c>
      <c r="H40" s="1255">
        <f>0</f>
        <v>0</v>
      </c>
      <c r="I40" s="1255">
        <f>0</f>
        <v>0</v>
      </c>
      <c r="J40" s="1255">
        <f>1980280666.87</f>
        <v>1980280666.8699999</v>
      </c>
      <c r="K40" s="1255">
        <f>2506.32</f>
        <v>2506.3200000000002</v>
      </c>
      <c r="L40" s="1255">
        <f>287436.36</f>
        <v>287436.36</v>
      </c>
      <c r="M40" s="1255">
        <f>110338.87</f>
        <v>110338.87</v>
      </c>
      <c r="N40" s="1279">
        <f>0</f>
        <v>0</v>
      </c>
      <c r="O40" s="1282">
        <f>0</f>
        <v>0</v>
      </c>
      <c r="P40" s="1255">
        <f>0</f>
        <v>0</v>
      </c>
      <c r="Q40" s="1256">
        <f>0</f>
        <v>0</v>
      </c>
    </row>
    <row r="41" spans="1:17" ht="13.5" customHeight="1">
      <c r="A41" s="1381" t="s">
        <v>364</v>
      </c>
      <c r="B41" s="1276">
        <f>9463478680.89</f>
        <v>9463478680.8899994</v>
      </c>
      <c r="C41" s="1273">
        <f>9438955127.2</f>
        <v>9438955127.2000008</v>
      </c>
      <c r="D41" s="1255">
        <f>157797447.23</f>
        <v>157797447.22999999</v>
      </c>
      <c r="E41" s="1255">
        <f>117796169.07</f>
        <v>117796169.06999999</v>
      </c>
      <c r="F41" s="1255">
        <f>1960764.8</f>
        <v>1960764.8</v>
      </c>
      <c r="G41" s="1255">
        <f>34436648.21</f>
        <v>34436648.210000001</v>
      </c>
      <c r="H41" s="1255">
        <f>3603865.15</f>
        <v>3603865.15</v>
      </c>
      <c r="I41" s="1255">
        <f>0</f>
        <v>0</v>
      </c>
      <c r="J41" s="1255">
        <f>6241875.49</f>
        <v>6241875.4900000002</v>
      </c>
      <c r="K41" s="1255">
        <f>9421966.43</f>
        <v>9421966.4299999997</v>
      </c>
      <c r="L41" s="1255">
        <f>2013118990.08</f>
        <v>2013118990.0799999</v>
      </c>
      <c r="M41" s="1255">
        <f>7166203144.61</f>
        <v>7166203144.6099997</v>
      </c>
      <c r="N41" s="1279">
        <f>86171703.36</f>
        <v>86171703.359999999</v>
      </c>
      <c r="O41" s="1282">
        <f>24523553.69</f>
        <v>24523553.690000001</v>
      </c>
      <c r="P41" s="1255">
        <f>16494838.96</f>
        <v>16494838.960000001</v>
      </c>
      <c r="Q41" s="1256">
        <f>8028714.73</f>
        <v>8028714.7300000004</v>
      </c>
    </row>
    <row r="42" spans="1:17">
      <c r="A42" s="1383" t="s">
        <v>328</v>
      </c>
      <c r="B42" s="1276">
        <f>1235307521.98</f>
        <v>1235307521.98</v>
      </c>
      <c r="C42" s="1273">
        <f>1235099818.11</f>
        <v>1235099818.1099999</v>
      </c>
      <c r="D42" s="1255">
        <f>4412211.57</f>
        <v>4412211.57</v>
      </c>
      <c r="E42" s="1255">
        <f>1930431.17</f>
        <v>1930431.17</v>
      </c>
      <c r="F42" s="1255">
        <f>170528.64</f>
        <v>170528.64000000001</v>
      </c>
      <c r="G42" s="1255">
        <f>2234835.73</f>
        <v>2234835.73</v>
      </c>
      <c r="H42" s="1255">
        <f>76416.03</f>
        <v>76416.03</v>
      </c>
      <c r="I42" s="1255">
        <f>0</f>
        <v>0</v>
      </c>
      <c r="J42" s="1255">
        <f>7544.93</f>
        <v>7544.93</v>
      </c>
      <c r="K42" s="1255">
        <f>416184.63</f>
        <v>416184.63</v>
      </c>
      <c r="L42" s="1255">
        <f>207269391.53</f>
        <v>207269391.53</v>
      </c>
      <c r="M42" s="1255">
        <f>992446320.66</f>
        <v>992446320.65999997</v>
      </c>
      <c r="N42" s="1279">
        <f>30548164.79</f>
        <v>30548164.789999999</v>
      </c>
      <c r="O42" s="1282">
        <f>207703.87</f>
        <v>207703.87</v>
      </c>
      <c r="P42" s="1255">
        <f>113642.54</f>
        <v>113642.54</v>
      </c>
      <c r="Q42" s="1256">
        <f>94061.33</f>
        <v>94061.33</v>
      </c>
    </row>
    <row r="43" spans="1:17">
      <c r="A43" s="1382" t="s">
        <v>329</v>
      </c>
      <c r="B43" s="1276">
        <f>8228171158.91</f>
        <v>8228171158.9099998</v>
      </c>
      <c r="C43" s="1273">
        <f>8203855309.09</f>
        <v>8203855309.0900002</v>
      </c>
      <c r="D43" s="1255">
        <f>153385235.66</f>
        <v>153385235.66</v>
      </c>
      <c r="E43" s="1255">
        <f>115865737.9</f>
        <v>115865737.90000001</v>
      </c>
      <c r="F43" s="1255">
        <f>1790236.16</f>
        <v>1790236.16</v>
      </c>
      <c r="G43" s="1255">
        <f>32201812.48</f>
        <v>32201812.48</v>
      </c>
      <c r="H43" s="1255">
        <f>3527449.12</f>
        <v>3527449.12</v>
      </c>
      <c r="I43" s="1255">
        <f>0</f>
        <v>0</v>
      </c>
      <c r="J43" s="1255">
        <f>6234330.56</f>
        <v>6234330.5599999996</v>
      </c>
      <c r="K43" s="1255">
        <f>9005781.8</f>
        <v>9005781.8000000007</v>
      </c>
      <c r="L43" s="1255">
        <f>1805849598.55</f>
        <v>1805849598.55</v>
      </c>
      <c r="M43" s="1255">
        <f>6173756823.95</f>
        <v>6173756823.9499998</v>
      </c>
      <c r="N43" s="1279">
        <f>55623538.57</f>
        <v>55623538.57</v>
      </c>
      <c r="O43" s="1282">
        <f>24315849.82</f>
        <v>24315849.82</v>
      </c>
      <c r="P43" s="1255">
        <f>16381196.42</f>
        <v>16381196.42</v>
      </c>
      <c r="Q43" s="1256">
        <f>7934653.4</f>
        <v>7934653.4000000004</v>
      </c>
    </row>
    <row r="44" spans="1:17" ht="27">
      <c r="A44" s="1381" t="s">
        <v>330</v>
      </c>
      <c r="B44" s="1276">
        <f>2117545111.74</f>
        <v>2117545111.74</v>
      </c>
      <c r="C44" s="1273">
        <f>2116568301.94</f>
        <v>2116568301.9400001</v>
      </c>
      <c r="D44" s="1255">
        <f>421857201.12</f>
        <v>421857201.12</v>
      </c>
      <c r="E44" s="1255">
        <f>314789710.69</f>
        <v>314789710.69</v>
      </c>
      <c r="F44" s="1255">
        <f>6377181.81</f>
        <v>6377181.8099999996</v>
      </c>
      <c r="G44" s="1255">
        <f>97962923.16</f>
        <v>97962923.159999996</v>
      </c>
      <c r="H44" s="1255">
        <f>2727385.46</f>
        <v>2727385.46</v>
      </c>
      <c r="I44" s="1255">
        <f>0</f>
        <v>0</v>
      </c>
      <c r="J44" s="1255">
        <f>1787573.81</f>
        <v>1787573.81</v>
      </c>
      <c r="K44" s="1255">
        <f>6505806.74</f>
        <v>6505806.7400000002</v>
      </c>
      <c r="L44" s="1255">
        <f>929813573.55</f>
        <v>929813573.54999995</v>
      </c>
      <c r="M44" s="1255">
        <f>730059586.46</f>
        <v>730059586.46000004</v>
      </c>
      <c r="N44" s="1279">
        <f>26544560.26</f>
        <v>26544560.260000002</v>
      </c>
      <c r="O44" s="1282">
        <f>976809.8</f>
        <v>976809.8</v>
      </c>
      <c r="P44" s="1255">
        <f>81273.79</f>
        <v>81273.789999999994</v>
      </c>
      <c r="Q44" s="1256">
        <f>895536.01</f>
        <v>895536.01</v>
      </c>
    </row>
    <row r="45" spans="1:17">
      <c r="A45" s="1383" t="s">
        <v>331</v>
      </c>
      <c r="B45" s="1276">
        <f>453418855.34</f>
        <v>453418855.33999997</v>
      </c>
      <c r="C45" s="1273">
        <f>453338915.19</f>
        <v>453338915.19</v>
      </c>
      <c r="D45" s="1255">
        <f>27202080.44</f>
        <v>27202080.440000001</v>
      </c>
      <c r="E45" s="1255">
        <f>3141393.29</f>
        <v>3141393.29</v>
      </c>
      <c r="F45" s="1255">
        <f>2892792.03</f>
        <v>2892792.03</v>
      </c>
      <c r="G45" s="1255">
        <f>20790656.37</f>
        <v>20790656.370000001</v>
      </c>
      <c r="H45" s="1255">
        <f>377238.75</f>
        <v>377238.75</v>
      </c>
      <c r="I45" s="1255">
        <f>0</f>
        <v>0</v>
      </c>
      <c r="J45" s="1255">
        <f>683673.34</f>
        <v>683673.34</v>
      </c>
      <c r="K45" s="1255">
        <f>1373622.31</f>
        <v>1373622.31</v>
      </c>
      <c r="L45" s="1255">
        <f>168525895.36</f>
        <v>168525895.36000001</v>
      </c>
      <c r="M45" s="1255">
        <f>247112870.75</f>
        <v>247112870.75</v>
      </c>
      <c r="N45" s="1279">
        <f>8440772.99</f>
        <v>8440772.9900000002</v>
      </c>
      <c r="O45" s="1282">
        <f>79940.15</f>
        <v>79940.149999999994</v>
      </c>
      <c r="P45" s="1255">
        <f>75109.8</f>
        <v>75109.8</v>
      </c>
      <c r="Q45" s="1256">
        <f>4830.35</f>
        <v>4830.3500000000004</v>
      </c>
    </row>
    <row r="46" spans="1:17" ht="27">
      <c r="A46" s="1383" t="s">
        <v>369</v>
      </c>
      <c r="B46" s="1276">
        <f>415292417.27</f>
        <v>415292417.26999998</v>
      </c>
      <c r="C46" s="1273">
        <f>415290933.99</f>
        <v>415290933.99000001</v>
      </c>
      <c r="D46" s="1255">
        <f>182319412.49</f>
        <v>182319412.49000001</v>
      </c>
      <c r="E46" s="1255">
        <f>174634321.51</f>
        <v>174634321.50999999</v>
      </c>
      <c r="F46" s="1255">
        <f>1143929.18</f>
        <v>1143929.18</v>
      </c>
      <c r="G46" s="1255">
        <f>5878606.69</f>
        <v>5878606.6900000004</v>
      </c>
      <c r="H46" s="1255">
        <f>662555.11</f>
        <v>662555.11</v>
      </c>
      <c r="I46" s="1255">
        <f>0</f>
        <v>0</v>
      </c>
      <c r="J46" s="1255">
        <f>19647.46</f>
        <v>19647.46</v>
      </c>
      <c r="K46" s="1255">
        <f>879420.17</f>
        <v>879420.17</v>
      </c>
      <c r="L46" s="1255">
        <f>134486925.54</f>
        <v>134486925.53999999</v>
      </c>
      <c r="M46" s="1255">
        <f>96964392.08</f>
        <v>96964392.079999998</v>
      </c>
      <c r="N46" s="1279">
        <f>621136.25</f>
        <v>621136.25</v>
      </c>
      <c r="O46" s="1282">
        <f>1483.28</f>
        <v>1483.28</v>
      </c>
      <c r="P46" s="1255">
        <f>550</f>
        <v>550</v>
      </c>
      <c r="Q46" s="1256">
        <f>933.28</f>
        <v>933.28</v>
      </c>
    </row>
    <row r="47" spans="1:17" ht="27">
      <c r="A47" s="1384" t="s">
        <v>333</v>
      </c>
      <c r="B47" s="1277">
        <f>1248833839.13</f>
        <v>1248833839.1300001</v>
      </c>
      <c r="C47" s="1274">
        <f>1247938452.76</f>
        <v>1247938452.76</v>
      </c>
      <c r="D47" s="1257">
        <f>212335708.19</f>
        <v>212335708.19</v>
      </c>
      <c r="E47" s="1257">
        <f>137013995.89</f>
        <v>137013995.88999999</v>
      </c>
      <c r="F47" s="1257">
        <f>2340460.6</f>
        <v>2340460.6</v>
      </c>
      <c r="G47" s="1257">
        <f>71293660.1</f>
        <v>71293660.099999994</v>
      </c>
      <c r="H47" s="1257">
        <f>1687591.6</f>
        <v>1687591.6</v>
      </c>
      <c r="I47" s="1257">
        <f>0</f>
        <v>0</v>
      </c>
      <c r="J47" s="1257">
        <f>1084253.01</f>
        <v>1084253.01</v>
      </c>
      <c r="K47" s="1257">
        <f>4252764.26</f>
        <v>4252764.26</v>
      </c>
      <c r="L47" s="1257">
        <f>626800752.65</f>
        <v>626800752.64999998</v>
      </c>
      <c r="M47" s="1257">
        <f>385982323.63</f>
        <v>385982323.63</v>
      </c>
      <c r="N47" s="1280">
        <f>17482651.02</f>
        <v>17482651.02</v>
      </c>
      <c r="O47" s="1283">
        <f>895386.37</f>
        <v>895386.37</v>
      </c>
      <c r="P47" s="1257">
        <f>5613.99</f>
        <v>5613.99</v>
      </c>
      <c r="Q47" s="1258">
        <f>889772.38</f>
        <v>889772.38</v>
      </c>
    </row>
    <row r="48" spans="1:17" ht="22.5" customHeight="1"/>
    <row r="49" spans="1:18" ht="13.5" customHeight="1">
      <c r="A49" s="1749" t="s">
        <v>334</v>
      </c>
      <c r="B49" s="1749"/>
      <c r="C49" s="1749"/>
      <c r="D49" s="1749"/>
      <c r="E49" s="1749"/>
      <c r="F49" s="1749"/>
      <c r="G49" s="1749"/>
      <c r="H49" s="1749"/>
      <c r="I49" s="1749"/>
      <c r="J49" s="1749"/>
      <c r="K49" s="1749"/>
      <c r="L49" s="1749"/>
      <c r="R49" s="32"/>
    </row>
    <row r="50" spans="1:18" ht="13.5" customHeight="1">
      <c r="R50" s="32"/>
    </row>
    <row r="51" spans="1:18" ht="13.5" customHeight="1">
      <c r="A51" s="1757" t="s">
        <v>68</v>
      </c>
      <c r="B51" s="1755"/>
      <c r="C51" s="1755"/>
      <c r="D51" s="1758"/>
      <c r="E51" s="1754" t="s">
        <v>335</v>
      </c>
      <c r="F51" s="1755" t="s">
        <v>336</v>
      </c>
      <c r="G51" s="1755"/>
      <c r="H51" s="1755"/>
      <c r="I51" s="1755"/>
      <c r="J51" s="1755"/>
      <c r="K51" s="1758"/>
      <c r="R51" s="32"/>
    </row>
    <row r="52" spans="1:18" ht="13.5" customHeight="1">
      <c r="A52" s="1743"/>
      <c r="B52" s="1745"/>
      <c r="C52" s="1745"/>
      <c r="D52" s="1747"/>
      <c r="E52" s="1759"/>
      <c r="F52" s="1745" t="s">
        <v>337</v>
      </c>
      <c r="G52" s="1745" t="s">
        <v>287</v>
      </c>
      <c r="H52" s="1745" t="s">
        <v>288</v>
      </c>
      <c r="I52" s="1745" t="s">
        <v>317</v>
      </c>
      <c r="J52" s="1745" t="s">
        <v>338</v>
      </c>
      <c r="K52" s="1767" t="s">
        <v>339</v>
      </c>
      <c r="R52" s="32"/>
    </row>
    <row r="53" spans="1:18" ht="13.5" customHeight="1">
      <c r="A53" s="1743"/>
      <c r="B53" s="1745"/>
      <c r="C53" s="1745"/>
      <c r="D53" s="1747"/>
      <c r="E53" s="1759"/>
      <c r="F53" s="1745"/>
      <c r="G53" s="1745"/>
      <c r="H53" s="1745"/>
      <c r="I53" s="1745"/>
      <c r="J53" s="1745"/>
      <c r="K53" s="1767"/>
      <c r="R53" s="32"/>
    </row>
    <row r="54" spans="1:18" ht="13.5" customHeight="1">
      <c r="A54" s="1743"/>
      <c r="B54" s="1745"/>
      <c r="C54" s="1745"/>
      <c r="D54" s="1747"/>
      <c r="E54" s="1759"/>
      <c r="F54" s="1745"/>
      <c r="G54" s="1745"/>
      <c r="H54" s="1745"/>
      <c r="I54" s="1745"/>
      <c r="J54" s="1745"/>
      <c r="K54" s="1767"/>
      <c r="R54" s="32"/>
    </row>
    <row r="55" spans="1:18" ht="30.6" customHeight="1">
      <c r="A55" s="1743"/>
      <c r="B55" s="1745"/>
      <c r="C55" s="1745"/>
      <c r="D55" s="1747"/>
      <c r="E55" s="1760"/>
      <c r="F55" s="1746"/>
      <c r="G55" s="1746"/>
      <c r="H55" s="1746"/>
      <c r="I55" s="1746"/>
      <c r="J55" s="1746"/>
      <c r="K55" s="1958"/>
      <c r="R55" s="32"/>
    </row>
    <row r="56" spans="1:18" ht="13.5" customHeight="1">
      <c r="A56" s="1961"/>
      <c r="B56" s="1766"/>
      <c r="C56" s="1766"/>
      <c r="D56" s="1962"/>
      <c r="E56" s="1956" t="s">
        <v>4</v>
      </c>
      <c r="F56" s="1953"/>
      <c r="G56" s="1953"/>
      <c r="H56" s="1953"/>
      <c r="I56" s="1953"/>
      <c r="J56" s="1953"/>
      <c r="K56" s="1954"/>
      <c r="R56" s="32"/>
    </row>
    <row r="57" spans="1:18" ht="13.5" customHeight="1">
      <c r="A57" s="1790" t="s">
        <v>887</v>
      </c>
      <c r="B57" s="1791"/>
      <c r="C57" s="1791"/>
      <c r="D57" s="1792"/>
      <c r="E57" s="1262" t="s">
        <v>888</v>
      </c>
      <c r="F57" s="1263" t="s">
        <v>889</v>
      </c>
      <c r="G57" s="1263" t="s">
        <v>890</v>
      </c>
      <c r="H57" s="1263" t="s">
        <v>891</v>
      </c>
      <c r="I57" s="1263" t="s">
        <v>892</v>
      </c>
      <c r="J57" s="1263" t="s">
        <v>893</v>
      </c>
      <c r="K57" s="1266" t="s">
        <v>894</v>
      </c>
      <c r="R57" s="32"/>
    </row>
    <row r="58" spans="1:18" ht="25.15" customHeight="1">
      <c r="A58" s="1793" t="s">
        <v>340</v>
      </c>
      <c r="B58" s="1794"/>
      <c r="C58" s="1794"/>
      <c r="D58" s="1795"/>
      <c r="E58" s="1237">
        <f>1008308543.82</f>
        <v>1008308543.8200001</v>
      </c>
      <c r="F58" s="1232">
        <f>409022247.47</f>
        <v>409022247.47000003</v>
      </c>
      <c r="G58" s="1232">
        <f>28390214.19</f>
        <v>28390214.190000001</v>
      </c>
      <c r="H58" s="1232">
        <f>146772123.5</f>
        <v>146772123.5</v>
      </c>
      <c r="I58" s="1232">
        <f>223234473.48</f>
        <v>223234473.47999999</v>
      </c>
      <c r="J58" s="1232">
        <f>10625436.3</f>
        <v>10625436.300000001</v>
      </c>
      <c r="K58" s="1233">
        <f>599286296.35</f>
        <v>599286296.35000002</v>
      </c>
      <c r="R58" s="32"/>
    </row>
    <row r="59" spans="1:18" ht="24" customHeight="1">
      <c r="A59" s="1769" t="s">
        <v>341</v>
      </c>
      <c r="B59" s="1770"/>
      <c r="C59" s="1770"/>
      <c r="D59" s="1771"/>
      <c r="E59" s="1238">
        <f>13364035.7</f>
        <v>13364035.699999999</v>
      </c>
      <c r="F59" s="1228">
        <f>1170883</f>
        <v>1170883</v>
      </c>
      <c r="G59" s="1228">
        <f>0</f>
        <v>0</v>
      </c>
      <c r="H59" s="1228">
        <f>0</f>
        <v>0</v>
      </c>
      <c r="I59" s="1228">
        <f>1170883</f>
        <v>1170883</v>
      </c>
      <c r="J59" s="1228">
        <f>0</f>
        <v>0</v>
      </c>
      <c r="K59" s="1229">
        <f>12193152.7</f>
        <v>12193152.699999999</v>
      </c>
      <c r="R59" s="32"/>
    </row>
    <row r="60" spans="1:18">
      <c r="A60" s="1769" t="s">
        <v>342</v>
      </c>
      <c r="B60" s="1770"/>
      <c r="C60" s="1770"/>
      <c r="D60" s="1771"/>
      <c r="E60" s="1238">
        <f>97748380.84</f>
        <v>97748380.840000004</v>
      </c>
      <c r="F60" s="1228">
        <f>33109431.03</f>
        <v>33109431.030000001</v>
      </c>
      <c r="G60" s="1228">
        <f>200000</f>
        <v>200000</v>
      </c>
      <c r="H60" s="1228">
        <f>0</f>
        <v>0</v>
      </c>
      <c r="I60" s="1228">
        <f>32799844.99</f>
        <v>32799844.989999998</v>
      </c>
      <c r="J60" s="1228">
        <f>109586.04</f>
        <v>109586.04</v>
      </c>
      <c r="K60" s="1229">
        <f>64638949.81</f>
        <v>64638949.810000002</v>
      </c>
      <c r="R60" s="32"/>
    </row>
    <row r="61" spans="1:18" ht="13.5" customHeight="1">
      <c r="A61" s="1769" t="s">
        <v>343</v>
      </c>
      <c r="B61" s="1770"/>
      <c r="C61" s="1770"/>
      <c r="D61" s="1771"/>
      <c r="E61" s="1238">
        <f>17415753.64</f>
        <v>17415753.640000001</v>
      </c>
      <c r="F61" s="1228">
        <f>5158358.93</f>
        <v>5158358.93</v>
      </c>
      <c r="G61" s="1228">
        <f>0</f>
        <v>0</v>
      </c>
      <c r="H61" s="1228">
        <f>5158358.93</f>
        <v>5158358.93</v>
      </c>
      <c r="I61" s="1228">
        <f>0</f>
        <v>0</v>
      </c>
      <c r="J61" s="1228">
        <f>0</f>
        <v>0</v>
      </c>
      <c r="K61" s="1229">
        <f>12257394.71</f>
        <v>12257394.710000001</v>
      </c>
      <c r="R61" s="32"/>
    </row>
    <row r="62" spans="1:18">
      <c r="A62" s="1769" t="s">
        <v>344</v>
      </c>
      <c r="B62" s="1770"/>
      <c r="C62" s="1770"/>
      <c r="D62" s="1771"/>
      <c r="E62" s="1238">
        <f>59126.02</f>
        <v>59126.02</v>
      </c>
      <c r="F62" s="1228">
        <f>0</f>
        <v>0</v>
      </c>
      <c r="G62" s="1228">
        <f>0</f>
        <v>0</v>
      </c>
      <c r="H62" s="1228">
        <f>0</f>
        <v>0</v>
      </c>
      <c r="I62" s="1228">
        <f>0</f>
        <v>0</v>
      </c>
      <c r="J62" s="1228">
        <f>0</f>
        <v>0</v>
      </c>
      <c r="K62" s="1229">
        <f>59126.02</f>
        <v>59126.02</v>
      </c>
      <c r="R62" s="32"/>
    </row>
    <row r="63" spans="1:18" ht="25.9" customHeight="1">
      <c r="A63" s="1769" t="s">
        <v>345</v>
      </c>
      <c r="B63" s="1770"/>
      <c r="C63" s="1770"/>
      <c r="D63" s="1771"/>
      <c r="E63" s="1238">
        <f>4296761.96</f>
        <v>4296761.96</v>
      </c>
      <c r="F63" s="1228">
        <f>0</f>
        <v>0</v>
      </c>
      <c r="G63" s="1228">
        <f>0</f>
        <v>0</v>
      </c>
      <c r="H63" s="1228">
        <f>0</f>
        <v>0</v>
      </c>
      <c r="I63" s="1228">
        <f>0</f>
        <v>0</v>
      </c>
      <c r="J63" s="1228">
        <f>0</f>
        <v>0</v>
      </c>
      <c r="K63" s="1229">
        <f>4296761.96</f>
        <v>4296761.96</v>
      </c>
      <c r="R63" s="32"/>
    </row>
    <row r="64" spans="1:18" ht="27" customHeight="1">
      <c r="A64" s="1772" t="s">
        <v>346</v>
      </c>
      <c r="B64" s="1773"/>
      <c r="C64" s="1773"/>
      <c r="D64" s="1774"/>
      <c r="E64" s="1239">
        <f>1728179.48</f>
        <v>1728179.48</v>
      </c>
      <c r="F64" s="1230">
        <f>0</f>
        <v>0</v>
      </c>
      <c r="G64" s="1230">
        <f>0</f>
        <v>0</v>
      </c>
      <c r="H64" s="1230">
        <f>0</f>
        <v>0</v>
      </c>
      <c r="I64" s="1230">
        <f>0</f>
        <v>0</v>
      </c>
      <c r="J64" s="1230">
        <f>0</f>
        <v>0</v>
      </c>
      <c r="K64" s="1231">
        <f>1728179.48</f>
        <v>1728179.48</v>
      </c>
      <c r="R64" s="32"/>
    </row>
  </sheetData>
  <mergeCells count="62">
    <mergeCell ref="A60:D60"/>
    <mergeCell ref="A61:D61"/>
    <mergeCell ref="A62:D62"/>
    <mergeCell ref="A63:D63"/>
    <mergeCell ref="A64:D64"/>
    <mergeCell ref="A58:D58"/>
    <mergeCell ref="A59:D59"/>
    <mergeCell ref="Q26:Q28"/>
    <mergeCell ref="A49:L49"/>
    <mergeCell ref="E51:E55"/>
    <mergeCell ref="F51:K51"/>
    <mergeCell ref="F52:F55"/>
    <mergeCell ref="G52:G55"/>
    <mergeCell ref="H52:H55"/>
    <mergeCell ref="I52:I55"/>
    <mergeCell ref="J52:J55"/>
    <mergeCell ref="K52:K55"/>
    <mergeCell ref="A25:A29"/>
    <mergeCell ref="B29:Q29"/>
    <mergeCell ref="A51:D56"/>
    <mergeCell ref="M26:M28"/>
    <mergeCell ref="Q5:Q8"/>
    <mergeCell ref="N26:N28"/>
    <mergeCell ref="O26:O28"/>
    <mergeCell ref="P26:P28"/>
    <mergeCell ref="A57:D57"/>
    <mergeCell ref="H26:H28"/>
    <mergeCell ref="I26:I28"/>
    <mergeCell ref="J26:J28"/>
    <mergeCell ref="K26:K28"/>
    <mergeCell ref="L26:L28"/>
    <mergeCell ref="E56:K56"/>
    <mergeCell ref="L5:L8"/>
    <mergeCell ref="M5:M8"/>
    <mergeCell ref="N5:N8"/>
    <mergeCell ref="O5:O8"/>
    <mergeCell ref="P5:P8"/>
    <mergeCell ref="A2:M2"/>
    <mergeCell ref="C3:M3"/>
    <mergeCell ref="B4:B8"/>
    <mergeCell ref="C4:N4"/>
    <mergeCell ref="A4:A9"/>
    <mergeCell ref="B9:Q9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A23:M23"/>
    <mergeCell ref="B25:B28"/>
    <mergeCell ref="C25:N25"/>
    <mergeCell ref="O25:Q25"/>
    <mergeCell ref="C26:C28"/>
    <mergeCell ref="D26:D28"/>
    <mergeCell ref="E26:E28"/>
    <mergeCell ref="F26:F28"/>
    <mergeCell ref="G26:G28"/>
  </mergeCells>
  <printOptions horizontalCentered="1"/>
  <pageMargins left="0.27559055118110237" right="0.27559055118110237" top="0.59055118110236227" bottom="0.74803149606299213" header="0" footer="0.59055118110236227"/>
  <pageSetup paperSize="9" scale="65" firstPageNumber="5" orientation="landscape" useFirstPageNumber="1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6"/>
  <sheetViews>
    <sheetView showGridLines="0" zoomScaleNormal="100" zoomScaleSheetLayoutView="50" workbookViewId="0">
      <selection activeCell="O3" sqref="O3"/>
    </sheetView>
  </sheetViews>
  <sheetFormatPr defaultColWidth="9.140625" defaultRowHeight="13.5" customHeight="1"/>
  <cols>
    <col min="1" max="1" width="31.28515625" style="1223" customWidth="1"/>
    <col min="2" max="3" width="12.28515625" style="1223" bestFit="1" customWidth="1"/>
    <col min="4" max="7" width="11.42578125" style="1223" bestFit="1" customWidth="1"/>
    <col min="8" max="8" width="10.28515625" style="1223" bestFit="1" customWidth="1"/>
    <col min="9" max="9" width="10.28515625" style="1223" customWidth="1"/>
    <col min="10" max="10" width="12.28515625" style="1223" bestFit="1" customWidth="1"/>
    <col min="11" max="11" width="11.42578125" style="1223" bestFit="1" customWidth="1"/>
    <col min="12" max="12" width="13" style="1223" customWidth="1"/>
    <col min="13" max="13" width="12.28515625" style="1223" bestFit="1" customWidth="1"/>
    <col min="14" max="14" width="11.7109375" style="1223" customWidth="1"/>
    <col min="15" max="16" width="12.28515625" style="1223" bestFit="1" customWidth="1"/>
    <col min="17" max="17" width="9.5703125" style="1223" bestFit="1" customWidth="1"/>
    <col min="18" max="18" width="9.140625" style="1223"/>
    <col min="19" max="16384" width="9.140625" style="32"/>
  </cols>
  <sheetData>
    <row r="2" spans="1:18" ht="13.5" customHeight="1">
      <c r="A2" s="1749" t="s">
        <v>281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</row>
    <row r="3" spans="1:18" ht="13.5" customHeight="1">
      <c r="B3" s="1224"/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8" ht="13.5" customHeight="1">
      <c r="A4" s="1775" t="s">
        <v>68</v>
      </c>
      <c r="B4" s="1751" t="s">
        <v>282</v>
      </c>
      <c r="C4" s="1754" t="s">
        <v>283</v>
      </c>
      <c r="D4" s="1755"/>
      <c r="E4" s="1755"/>
      <c r="F4" s="1755"/>
      <c r="G4" s="1755"/>
      <c r="H4" s="1755"/>
      <c r="I4" s="1755"/>
      <c r="J4" s="1755"/>
      <c r="K4" s="1755"/>
      <c r="L4" s="1755"/>
      <c r="M4" s="1755"/>
      <c r="N4" s="1756"/>
      <c r="O4" s="1757" t="s">
        <v>284</v>
      </c>
      <c r="P4" s="1755"/>
      <c r="Q4" s="1758"/>
    </row>
    <row r="5" spans="1:18" ht="11.25" customHeight="1">
      <c r="A5" s="1776"/>
      <c r="B5" s="1752"/>
      <c r="C5" s="1759" t="s">
        <v>285</v>
      </c>
      <c r="D5" s="1745" t="s">
        <v>286</v>
      </c>
      <c r="E5" s="1745" t="s">
        <v>287</v>
      </c>
      <c r="F5" s="1745" t="s">
        <v>288</v>
      </c>
      <c r="G5" s="1745" t="s">
        <v>289</v>
      </c>
      <c r="H5" s="1745" t="s">
        <v>290</v>
      </c>
      <c r="I5" s="1745" t="s">
        <v>291</v>
      </c>
      <c r="J5" s="1745" t="s">
        <v>292</v>
      </c>
      <c r="K5" s="1745" t="s">
        <v>293</v>
      </c>
      <c r="L5" s="1745" t="s">
        <v>294</v>
      </c>
      <c r="M5" s="1745" t="s">
        <v>295</v>
      </c>
      <c r="N5" s="1761" t="s">
        <v>296</v>
      </c>
      <c r="O5" s="1743" t="s">
        <v>297</v>
      </c>
      <c r="P5" s="1745" t="s">
        <v>298</v>
      </c>
      <c r="Q5" s="1747" t="s">
        <v>299</v>
      </c>
    </row>
    <row r="6" spans="1:18" ht="19.899999999999999" customHeight="1">
      <c r="A6" s="1776"/>
      <c r="B6" s="1752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8" ht="13.5" customHeight="1">
      <c r="A7" s="1776"/>
      <c r="B7" s="1752"/>
      <c r="C7" s="1759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61"/>
      <c r="O7" s="1743"/>
      <c r="P7" s="1745"/>
      <c r="Q7" s="1747"/>
    </row>
    <row r="8" spans="1:18" ht="24.75" customHeight="1">
      <c r="A8" s="1776"/>
      <c r="B8" s="1752"/>
      <c r="C8" s="1759"/>
      <c r="D8" s="1745"/>
      <c r="E8" s="1745"/>
      <c r="F8" s="1745"/>
      <c r="G8" s="1745"/>
      <c r="H8" s="1745"/>
      <c r="I8" s="1745"/>
      <c r="J8" s="1745"/>
      <c r="K8" s="1745"/>
      <c r="L8" s="1745"/>
      <c r="M8" s="1745"/>
      <c r="N8" s="1761"/>
      <c r="O8" s="1743"/>
      <c r="P8" s="1745"/>
      <c r="Q8" s="1747"/>
    </row>
    <row r="9" spans="1:18" ht="20.100000000000001" customHeight="1">
      <c r="A9" s="1776"/>
      <c r="B9" s="1753"/>
      <c r="C9" s="1760"/>
      <c r="D9" s="1746"/>
      <c r="E9" s="1746"/>
      <c r="F9" s="1746"/>
      <c r="G9" s="1746"/>
      <c r="H9" s="1746"/>
      <c r="I9" s="1746"/>
      <c r="J9" s="1746"/>
      <c r="K9" s="1746"/>
      <c r="L9" s="1746"/>
      <c r="M9" s="1746"/>
      <c r="N9" s="1762"/>
      <c r="O9" s="1744"/>
      <c r="P9" s="1746"/>
      <c r="Q9" s="1748"/>
    </row>
    <row r="10" spans="1:18">
      <c r="A10" s="1777"/>
      <c r="B10" s="1778" t="s">
        <v>4</v>
      </c>
      <c r="C10" s="1779"/>
      <c r="D10" s="1779"/>
      <c r="E10" s="1779"/>
      <c r="F10" s="1779"/>
      <c r="G10" s="1779"/>
      <c r="H10" s="1779"/>
      <c r="I10" s="1779"/>
      <c r="J10" s="1779"/>
      <c r="K10" s="1779"/>
      <c r="L10" s="1779"/>
      <c r="M10" s="1779"/>
      <c r="N10" s="1779"/>
      <c r="O10" s="1779"/>
      <c r="P10" s="1779"/>
      <c r="Q10" s="1780"/>
    </row>
    <row r="11" spans="1:18">
      <c r="A11" s="1261" t="s">
        <v>887</v>
      </c>
      <c r="B11" s="1261" t="s">
        <v>888</v>
      </c>
      <c r="C11" s="1262" t="s">
        <v>889</v>
      </c>
      <c r="D11" s="1263" t="s">
        <v>890</v>
      </c>
      <c r="E11" s="1263" t="s">
        <v>891</v>
      </c>
      <c r="F11" s="1263" t="s">
        <v>892</v>
      </c>
      <c r="G11" s="1263" t="s">
        <v>893</v>
      </c>
      <c r="H11" s="1263" t="s">
        <v>894</v>
      </c>
      <c r="I11" s="1263" t="s">
        <v>932</v>
      </c>
      <c r="J11" s="1263" t="s">
        <v>966</v>
      </c>
      <c r="K11" s="1263" t="s">
        <v>967</v>
      </c>
      <c r="L11" s="1263" t="s">
        <v>969</v>
      </c>
      <c r="M11" s="1263" t="s">
        <v>1070</v>
      </c>
      <c r="N11" s="1264" t="s">
        <v>1096</v>
      </c>
      <c r="O11" s="1265" t="s">
        <v>1097</v>
      </c>
      <c r="P11" s="1263" t="s">
        <v>1098</v>
      </c>
      <c r="Q11" s="1266" t="s">
        <v>1099</v>
      </c>
    </row>
    <row r="12" spans="1:18" ht="27">
      <c r="A12" s="1240" t="s">
        <v>368</v>
      </c>
      <c r="B12" s="1252">
        <f>91122816387.6</f>
        <v>91122816387.600006</v>
      </c>
      <c r="C12" s="1237">
        <f>67051046210.65</f>
        <v>67051046210.650002</v>
      </c>
      <c r="D12" s="1232">
        <f>3623719662.81</f>
        <v>3623719662.8099999</v>
      </c>
      <c r="E12" s="1232">
        <f>654825576.01</f>
        <v>654825576.00999999</v>
      </c>
      <c r="F12" s="1232">
        <f>699232875.99</f>
        <v>699232875.99000001</v>
      </c>
      <c r="G12" s="1232">
        <f>2264633425.53</f>
        <v>2264633425.5300002</v>
      </c>
      <c r="H12" s="1232">
        <f>5027785.28</f>
        <v>5027785.28</v>
      </c>
      <c r="I12" s="1232">
        <f>0</f>
        <v>0</v>
      </c>
      <c r="J12" s="1232">
        <f>58899349572.27</f>
        <v>58899349572.269997</v>
      </c>
      <c r="K12" s="1232">
        <f>2403816209.34</f>
        <v>2403816209.3400002</v>
      </c>
      <c r="L12" s="1232">
        <f>2075216854.32</f>
        <v>2075216854.3199999</v>
      </c>
      <c r="M12" s="1232">
        <f>29891599.51</f>
        <v>29891599.510000002</v>
      </c>
      <c r="N12" s="1246">
        <f>19052312.4</f>
        <v>19052312.399999999</v>
      </c>
      <c r="O12" s="1249">
        <f>24071770176.95</f>
        <v>24071770176.950001</v>
      </c>
      <c r="P12" s="1232">
        <f>23995069215.65</f>
        <v>23995069215.650002</v>
      </c>
      <c r="Q12" s="1233">
        <f>76700961.3</f>
        <v>76700961.299999997</v>
      </c>
    </row>
    <row r="13" spans="1:18">
      <c r="A13" s="1241" t="s">
        <v>301</v>
      </c>
      <c r="B13" s="1253">
        <f>4036809000</f>
        <v>4036809000</v>
      </c>
      <c r="C13" s="1238">
        <f>4036809000</f>
        <v>4036809000</v>
      </c>
      <c r="D13" s="1228">
        <f>0</f>
        <v>0</v>
      </c>
      <c r="E13" s="1228">
        <f>0</f>
        <v>0</v>
      </c>
      <c r="F13" s="1228">
        <f>0</f>
        <v>0</v>
      </c>
      <c r="G13" s="1228">
        <f>0</f>
        <v>0</v>
      </c>
      <c r="H13" s="1228">
        <f>0</f>
        <v>0</v>
      </c>
      <c r="I13" s="1228">
        <f>0</f>
        <v>0</v>
      </c>
      <c r="J13" s="1228">
        <f>3989122000</f>
        <v>3989122000</v>
      </c>
      <c r="K13" s="1228">
        <f>47687000</f>
        <v>47687000</v>
      </c>
      <c r="L13" s="1228">
        <f>0</f>
        <v>0</v>
      </c>
      <c r="M13" s="1228">
        <f>0</f>
        <v>0</v>
      </c>
      <c r="N13" s="1247">
        <f>0</f>
        <v>0</v>
      </c>
      <c r="O13" s="1250">
        <f>0</f>
        <v>0</v>
      </c>
      <c r="P13" s="1228">
        <f>0</f>
        <v>0</v>
      </c>
      <c r="Q13" s="1229">
        <f>0</f>
        <v>0</v>
      </c>
    </row>
    <row r="14" spans="1:18">
      <c r="A14" s="1242" t="s">
        <v>711</v>
      </c>
      <c r="B14" s="1253">
        <f>4000000</f>
        <v>4000000</v>
      </c>
      <c r="C14" s="1238">
        <f>4000000</f>
        <v>4000000</v>
      </c>
      <c r="D14" s="1228">
        <f>0</f>
        <v>0</v>
      </c>
      <c r="E14" s="1228">
        <f>0</f>
        <v>0</v>
      </c>
      <c r="F14" s="1228">
        <f>0</f>
        <v>0</v>
      </c>
      <c r="G14" s="1228">
        <f>0</f>
        <v>0</v>
      </c>
      <c r="H14" s="1228">
        <f>0</f>
        <v>0</v>
      </c>
      <c r="I14" s="1228">
        <f>0</f>
        <v>0</v>
      </c>
      <c r="J14" s="1228">
        <f>4000000</f>
        <v>4000000</v>
      </c>
      <c r="K14" s="1228">
        <f>0</f>
        <v>0</v>
      </c>
      <c r="L14" s="1228">
        <f>0</f>
        <v>0</v>
      </c>
      <c r="M14" s="1228">
        <f>0</f>
        <v>0</v>
      </c>
      <c r="N14" s="1247">
        <f>0</f>
        <v>0</v>
      </c>
      <c r="O14" s="1250">
        <f>0</f>
        <v>0</v>
      </c>
      <c r="P14" s="1228">
        <f>0</f>
        <v>0</v>
      </c>
      <c r="Q14" s="1229">
        <f>0</f>
        <v>0</v>
      </c>
    </row>
    <row r="15" spans="1:18">
      <c r="A15" s="1242" t="s">
        <v>302</v>
      </c>
      <c r="B15" s="1253">
        <f>4032809000</f>
        <v>4032809000</v>
      </c>
      <c r="C15" s="1238">
        <f>4032809000</f>
        <v>4032809000</v>
      </c>
      <c r="D15" s="1228">
        <f>0</f>
        <v>0</v>
      </c>
      <c r="E15" s="1228">
        <f>0</f>
        <v>0</v>
      </c>
      <c r="F15" s="1228">
        <f>0</f>
        <v>0</v>
      </c>
      <c r="G15" s="1228">
        <f>0</f>
        <v>0</v>
      </c>
      <c r="H15" s="1228">
        <f>0</f>
        <v>0</v>
      </c>
      <c r="I15" s="1228">
        <f>0</f>
        <v>0</v>
      </c>
      <c r="J15" s="1228">
        <f>3985122000</f>
        <v>3985122000</v>
      </c>
      <c r="K15" s="1228">
        <f>47687000</f>
        <v>47687000</v>
      </c>
      <c r="L15" s="1228">
        <f>0</f>
        <v>0</v>
      </c>
      <c r="M15" s="1228">
        <f>0</f>
        <v>0</v>
      </c>
      <c r="N15" s="1247">
        <f>0</f>
        <v>0</v>
      </c>
      <c r="O15" s="1250">
        <f>0</f>
        <v>0</v>
      </c>
      <c r="P15" s="1228">
        <f>0</f>
        <v>0</v>
      </c>
      <c r="Q15" s="1229">
        <f>0</f>
        <v>0</v>
      </c>
    </row>
    <row r="16" spans="1:18" s="33" customFormat="1">
      <c r="A16" s="1241" t="s">
        <v>303</v>
      </c>
      <c r="B16" s="1253">
        <f>87024655627.02</f>
        <v>87024655627.020004</v>
      </c>
      <c r="C16" s="1238">
        <f>62952886411.37</f>
        <v>62952886411.370003</v>
      </c>
      <c r="D16" s="1228">
        <f>3600703972.96</f>
        <v>3600703972.96</v>
      </c>
      <c r="E16" s="1228">
        <f>653068945.77</f>
        <v>653068945.76999998</v>
      </c>
      <c r="F16" s="1228">
        <f>699227385.99</f>
        <v>699227385.99000001</v>
      </c>
      <c r="G16" s="1228">
        <f>2248407641.2</f>
        <v>2248407641.1999998</v>
      </c>
      <c r="H16" s="1228">
        <f>0</f>
        <v>0</v>
      </c>
      <c r="I16" s="1228">
        <f>0</f>
        <v>0</v>
      </c>
      <c r="J16" s="1228">
        <f>54910194439.1</f>
        <v>54910194439.099998</v>
      </c>
      <c r="K16" s="1228">
        <f>2356120802.61</f>
        <v>2356120802.6100001</v>
      </c>
      <c r="L16" s="1228">
        <f>2056108936.14</f>
        <v>2056108936.1400001</v>
      </c>
      <c r="M16" s="1228">
        <f>14725125.98</f>
        <v>14725125.98</v>
      </c>
      <c r="N16" s="1247">
        <f>15033134.58</f>
        <v>15033134.58</v>
      </c>
      <c r="O16" s="1250">
        <f>24071769215.65</f>
        <v>24071769215.650002</v>
      </c>
      <c r="P16" s="1228">
        <f>23995069215.65</f>
        <v>23995069215.650002</v>
      </c>
      <c r="Q16" s="1229">
        <f>76700000</f>
        <v>76700000</v>
      </c>
      <c r="R16" s="1225"/>
    </row>
    <row r="17" spans="1:18" s="33" customFormat="1">
      <c r="A17" s="1242" t="s">
        <v>710</v>
      </c>
      <c r="B17" s="1253">
        <f>102805693.42</f>
        <v>102805693.42</v>
      </c>
      <c r="C17" s="1238">
        <f>102805693.42</f>
        <v>102805693.42</v>
      </c>
      <c r="D17" s="1228">
        <f>21571595.81</f>
        <v>21571595.809999999</v>
      </c>
      <c r="E17" s="1228">
        <f>12817117.62</f>
        <v>12817117.619999999</v>
      </c>
      <c r="F17" s="1228">
        <f>1788035.07</f>
        <v>1788035.07</v>
      </c>
      <c r="G17" s="1228">
        <f>6966443.12</f>
        <v>6966443.1200000001</v>
      </c>
      <c r="H17" s="1228">
        <f>0</f>
        <v>0</v>
      </c>
      <c r="I17" s="1228">
        <f>0</f>
        <v>0</v>
      </c>
      <c r="J17" s="1228">
        <f>70990577.63</f>
        <v>70990577.629999995</v>
      </c>
      <c r="K17" s="1228">
        <f>6335674.98</f>
        <v>6335674.9800000004</v>
      </c>
      <c r="L17" s="1228">
        <f>1737152.05</f>
        <v>1737152.05</v>
      </c>
      <c r="M17" s="1228">
        <f>1458340</f>
        <v>1458340</v>
      </c>
      <c r="N17" s="1247">
        <f>712352.95</f>
        <v>712352.95</v>
      </c>
      <c r="O17" s="1250">
        <f>0</f>
        <v>0</v>
      </c>
      <c r="P17" s="1228">
        <f>0</f>
        <v>0</v>
      </c>
      <c r="Q17" s="1229">
        <f>0</f>
        <v>0</v>
      </c>
      <c r="R17" s="1225"/>
    </row>
    <row r="18" spans="1:18">
      <c r="A18" s="1242" t="s">
        <v>304</v>
      </c>
      <c r="B18" s="1253">
        <f>86921849933.6</f>
        <v>86921849933.600006</v>
      </c>
      <c r="C18" s="1238">
        <f>62850080717.95</f>
        <v>62850080717.949997</v>
      </c>
      <c r="D18" s="1228">
        <f>3579132377.15</f>
        <v>3579132377.1500001</v>
      </c>
      <c r="E18" s="1228">
        <f>640251828.15</f>
        <v>640251828.14999998</v>
      </c>
      <c r="F18" s="1228">
        <f>697439350.92</f>
        <v>697439350.91999996</v>
      </c>
      <c r="G18" s="1228">
        <f>2241441198.08</f>
        <v>2241441198.0799999</v>
      </c>
      <c r="H18" s="1228">
        <f>0</f>
        <v>0</v>
      </c>
      <c r="I18" s="1228">
        <f>0</f>
        <v>0</v>
      </c>
      <c r="J18" s="1228">
        <f>54839203861.47</f>
        <v>54839203861.470001</v>
      </c>
      <c r="K18" s="1228">
        <f>2349785127.63</f>
        <v>2349785127.6300001</v>
      </c>
      <c r="L18" s="1228">
        <f>2054371784.09</f>
        <v>2054371784.0899999</v>
      </c>
      <c r="M18" s="1228">
        <f>13266785.98</f>
        <v>13266785.98</v>
      </c>
      <c r="N18" s="1247">
        <f>14320781.63</f>
        <v>14320781.630000001</v>
      </c>
      <c r="O18" s="1250">
        <f>24071769215.65</f>
        <v>24071769215.650002</v>
      </c>
      <c r="P18" s="1228">
        <f>23995069215.65</f>
        <v>23995069215.650002</v>
      </c>
      <c r="Q18" s="1229">
        <f>76700000</f>
        <v>76700000</v>
      </c>
    </row>
    <row r="19" spans="1:18">
      <c r="A19" s="1243" t="s">
        <v>305</v>
      </c>
      <c r="B19" s="1253">
        <f>4000000</f>
        <v>4000000</v>
      </c>
      <c r="C19" s="1238">
        <f>4000000</f>
        <v>4000000</v>
      </c>
      <c r="D19" s="1228">
        <f>4000000</f>
        <v>4000000</v>
      </c>
      <c r="E19" s="1228">
        <f>0</f>
        <v>0</v>
      </c>
      <c r="F19" s="1228">
        <f>0</f>
        <v>0</v>
      </c>
      <c r="G19" s="1228">
        <f>4000000</f>
        <v>4000000</v>
      </c>
      <c r="H19" s="1228">
        <f>0</f>
        <v>0</v>
      </c>
      <c r="I19" s="1228">
        <f>0</f>
        <v>0</v>
      </c>
      <c r="J19" s="1228">
        <f>0</f>
        <v>0</v>
      </c>
      <c r="K19" s="1228">
        <f>0</f>
        <v>0</v>
      </c>
      <c r="L19" s="1228">
        <f>0</f>
        <v>0</v>
      </c>
      <c r="M19" s="1228">
        <f>0</f>
        <v>0</v>
      </c>
      <c r="N19" s="1247">
        <f>0</f>
        <v>0</v>
      </c>
      <c r="O19" s="1250">
        <f>0</f>
        <v>0</v>
      </c>
      <c r="P19" s="1228">
        <f>0</f>
        <v>0</v>
      </c>
      <c r="Q19" s="1229">
        <f>0</f>
        <v>0</v>
      </c>
    </row>
    <row r="20" spans="1:18" ht="13.5" customHeight="1">
      <c r="A20" s="1244" t="s">
        <v>306</v>
      </c>
      <c r="B20" s="1253">
        <f>57351760.58</f>
        <v>57351760.579999998</v>
      </c>
      <c r="C20" s="1238">
        <f>57350799.28</f>
        <v>57350799.280000001</v>
      </c>
      <c r="D20" s="1228">
        <f>19015689.85</f>
        <v>19015689.850000001</v>
      </c>
      <c r="E20" s="1228">
        <f>1756630.24</f>
        <v>1756630.24</v>
      </c>
      <c r="F20" s="1228">
        <f>5490</f>
        <v>5490</v>
      </c>
      <c r="G20" s="1228">
        <f>12225784.33</f>
        <v>12225784.33</v>
      </c>
      <c r="H20" s="1228">
        <f>5027785.28</f>
        <v>5027785.28</v>
      </c>
      <c r="I20" s="1228">
        <f>0</f>
        <v>0</v>
      </c>
      <c r="J20" s="1228">
        <f>33133.17</f>
        <v>33133.17</v>
      </c>
      <c r="K20" s="1228">
        <f>8406.73</f>
        <v>8406.73</v>
      </c>
      <c r="L20" s="1228">
        <f>19107918.18</f>
        <v>19107918.18</v>
      </c>
      <c r="M20" s="1228">
        <f>15166473.53</f>
        <v>15166473.529999999</v>
      </c>
      <c r="N20" s="1247">
        <f>4019177.82</f>
        <v>4019177.82</v>
      </c>
      <c r="O20" s="1250">
        <f>961.3</f>
        <v>961.3</v>
      </c>
      <c r="P20" s="1228">
        <f>0</f>
        <v>0</v>
      </c>
      <c r="Q20" s="1229">
        <f>961.3</f>
        <v>961.3</v>
      </c>
    </row>
    <row r="21" spans="1:18" ht="13.5" customHeight="1">
      <c r="A21" s="1244" t="s">
        <v>307</v>
      </c>
      <c r="B21" s="1253">
        <f>27449944.77</f>
        <v>27449944.77</v>
      </c>
      <c r="C21" s="1238">
        <f>27449944.77</f>
        <v>27449944.77</v>
      </c>
      <c r="D21" s="1228">
        <f>2174138.66</f>
        <v>2174138.66</v>
      </c>
      <c r="E21" s="1228">
        <f>196.71</f>
        <v>196.71</v>
      </c>
      <c r="F21" s="1228">
        <f>1500</f>
        <v>1500</v>
      </c>
      <c r="G21" s="1228">
        <f>2172441.95</f>
        <v>2172441.9500000002</v>
      </c>
      <c r="H21" s="1228">
        <f>0</f>
        <v>0</v>
      </c>
      <c r="I21" s="1228">
        <f>0</f>
        <v>0</v>
      </c>
      <c r="J21" s="1228">
        <f>17813.79</f>
        <v>17813.79</v>
      </c>
      <c r="K21" s="1228">
        <f>6319.56</f>
        <v>6319.56</v>
      </c>
      <c r="L21" s="1228">
        <f>10650949.22</f>
        <v>10650949.220000001</v>
      </c>
      <c r="M21" s="1228">
        <f>10593535.09</f>
        <v>10593535.09</v>
      </c>
      <c r="N21" s="1247">
        <f>4007188.45</f>
        <v>4007188.45</v>
      </c>
      <c r="O21" s="1250">
        <f>0</f>
        <v>0</v>
      </c>
      <c r="P21" s="1228">
        <f>0</f>
        <v>0</v>
      </c>
      <c r="Q21" s="1229">
        <f>0</f>
        <v>0</v>
      </c>
    </row>
    <row r="22" spans="1:18" ht="13.5" customHeight="1">
      <c r="A22" s="1245" t="s">
        <v>308</v>
      </c>
      <c r="B22" s="1254">
        <f>29901815.81</f>
        <v>29901815.809999999</v>
      </c>
      <c r="C22" s="1239">
        <f>29900854.51</f>
        <v>29900854.510000002</v>
      </c>
      <c r="D22" s="1230">
        <f>16841551.19</f>
        <v>16841551.190000001</v>
      </c>
      <c r="E22" s="1230">
        <f>1756433.53</f>
        <v>1756433.53</v>
      </c>
      <c r="F22" s="1230">
        <f>3990</f>
        <v>3990</v>
      </c>
      <c r="G22" s="1230">
        <f>10053342.38</f>
        <v>10053342.380000001</v>
      </c>
      <c r="H22" s="1230">
        <f>5027785.28</f>
        <v>5027785.28</v>
      </c>
      <c r="I22" s="1230">
        <f>0</f>
        <v>0</v>
      </c>
      <c r="J22" s="1230">
        <f>15319.38</f>
        <v>15319.38</v>
      </c>
      <c r="K22" s="1230">
        <f>2087.17</f>
        <v>2087.17</v>
      </c>
      <c r="L22" s="1230">
        <f>8456968.96</f>
        <v>8456968.9600000009</v>
      </c>
      <c r="M22" s="1230">
        <f>4572938.44</f>
        <v>4572938.4400000004</v>
      </c>
      <c r="N22" s="1248">
        <f>11989.37</f>
        <v>11989.37</v>
      </c>
      <c r="O22" s="1251">
        <f>961.3</f>
        <v>961.3</v>
      </c>
      <c r="P22" s="1230">
        <f>0</f>
        <v>0</v>
      </c>
      <c r="Q22" s="1231">
        <f>961.3</f>
        <v>961.3</v>
      </c>
    </row>
    <row r="23" spans="1:18" ht="13.5" customHeight="1">
      <c r="A23" s="1226"/>
      <c r="B23" s="1227"/>
      <c r="C23" s="1227"/>
      <c r="D23" s="1227"/>
      <c r="E23" s="1227"/>
      <c r="F23" s="1227"/>
      <c r="G23" s="1227"/>
      <c r="H23" s="1227"/>
      <c r="I23" s="1227"/>
      <c r="J23" s="1227"/>
      <c r="K23" s="1227"/>
      <c r="L23" s="1227"/>
      <c r="M23" s="1227"/>
      <c r="N23" s="1227"/>
      <c r="O23" s="1227"/>
      <c r="P23" s="1227"/>
      <c r="Q23" s="1227"/>
    </row>
    <row r="24" spans="1:18">
      <c r="A24" s="1749" t="s">
        <v>309</v>
      </c>
      <c r="B24" s="1749"/>
      <c r="C24" s="1749"/>
      <c r="D24" s="1749"/>
      <c r="E24" s="1749"/>
      <c r="F24" s="1749"/>
      <c r="G24" s="1749"/>
      <c r="H24" s="1749"/>
      <c r="I24" s="1749"/>
      <c r="J24" s="1749"/>
      <c r="K24" s="1749"/>
      <c r="L24" s="1749"/>
      <c r="M24" s="1749"/>
    </row>
    <row r="26" spans="1:18" ht="20.100000000000001" customHeight="1">
      <c r="A26" s="1775" t="s">
        <v>68</v>
      </c>
      <c r="B26" s="1751" t="s">
        <v>310</v>
      </c>
      <c r="C26" s="1754" t="s">
        <v>311</v>
      </c>
      <c r="D26" s="1755"/>
      <c r="E26" s="1755"/>
      <c r="F26" s="1755"/>
      <c r="G26" s="1755"/>
      <c r="H26" s="1755"/>
      <c r="I26" s="1755"/>
      <c r="J26" s="1755"/>
      <c r="K26" s="1755"/>
      <c r="L26" s="1755"/>
      <c r="M26" s="1755"/>
      <c r="N26" s="1756"/>
      <c r="O26" s="1757" t="s">
        <v>312</v>
      </c>
      <c r="P26" s="1755"/>
      <c r="Q26" s="1758"/>
    </row>
    <row r="27" spans="1:18" ht="20.100000000000001" customHeight="1">
      <c r="A27" s="1776"/>
      <c r="B27" s="1752"/>
      <c r="C27" s="1759" t="s">
        <v>313</v>
      </c>
      <c r="D27" s="1745" t="s">
        <v>314</v>
      </c>
      <c r="E27" s="1745" t="s">
        <v>315</v>
      </c>
      <c r="F27" s="1745" t="s">
        <v>316</v>
      </c>
      <c r="G27" s="1745" t="s">
        <v>317</v>
      </c>
      <c r="H27" s="1745" t="s">
        <v>290</v>
      </c>
      <c r="I27" s="1745" t="s">
        <v>318</v>
      </c>
      <c r="J27" s="1745" t="s">
        <v>292</v>
      </c>
      <c r="K27" s="1745" t="s">
        <v>293</v>
      </c>
      <c r="L27" s="1745" t="s">
        <v>294</v>
      </c>
      <c r="M27" s="1745" t="s">
        <v>295</v>
      </c>
      <c r="N27" s="1763" t="s">
        <v>296</v>
      </c>
      <c r="O27" s="1743" t="s">
        <v>297</v>
      </c>
      <c r="P27" s="1745" t="s">
        <v>298</v>
      </c>
      <c r="Q27" s="1747" t="s">
        <v>299</v>
      </c>
    </row>
    <row r="28" spans="1:18" ht="24.75" customHeight="1">
      <c r="A28" s="1776"/>
      <c r="B28" s="1752"/>
      <c r="C28" s="1759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63"/>
      <c r="O28" s="1743"/>
      <c r="P28" s="1745"/>
      <c r="Q28" s="1747"/>
    </row>
    <row r="29" spans="1:18" ht="20.100000000000001" customHeight="1">
      <c r="A29" s="1776"/>
      <c r="B29" s="1752"/>
      <c r="C29" s="1759"/>
      <c r="D29" s="1745"/>
      <c r="E29" s="1745"/>
      <c r="F29" s="1745"/>
      <c r="G29" s="1745"/>
      <c r="H29" s="1745"/>
      <c r="I29" s="1745"/>
      <c r="J29" s="1745"/>
      <c r="K29" s="1745"/>
      <c r="L29" s="1745"/>
      <c r="M29" s="1745"/>
      <c r="N29" s="1763"/>
      <c r="O29" s="1743"/>
      <c r="P29" s="1745"/>
      <c r="Q29" s="1747"/>
    </row>
    <row r="30" spans="1:18" ht="20.100000000000001" customHeight="1">
      <c r="A30" s="1776"/>
      <c r="B30" s="1753"/>
      <c r="C30" s="1760"/>
      <c r="D30" s="1746"/>
      <c r="E30" s="1746"/>
      <c r="F30" s="1746"/>
      <c r="G30" s="1746"/>
      <c r="H30" s="1746"/>
      <c r="I30" s="1746"/>
      <c r="J30" s="1746"/>
      <c r="K30" s="1746"/>
      <c r="L30" s="1746"/>
      <c r="M30" s="1746"/>
      <c r="N30" s="1764"/>
      <c r="O30" s="1744"/>
      <c r="P30" s="1746"/>
      <c r="Q30" s="1748"/>
    </row>
    <row r="31" spans="1:18">
      <c r="A31" s="1777"/>
      <c r="B31" s="1778" t="s">
        <v>4</v>
      </c>
      <c r="C31" s="1779"/>
      <c r="D31" s="1779"/>
      <c r="E31" s="1779"/>
      <c r="F31" s="1779"/>
      <c r="G31" s="1779"/>
      <c r="H31" s="1779"/>
      <c r="I31" s="1779"/>
      <c r="J31" s="1779"/>
      <c r="K31" s="1779"/>
      <c r="L31" s="1779"/>
      <c r="M31" s="1779"/>
      <c r="N31" s="1779"/>
      <c r="O31" s="1779"/>
      <c r="P31" s="1779"/>
      <c r="Q31" s="1780"/>
    </row>
    <row r="32" spans="1:18">
      <c r="A32" s="1261" t="s">
        <v>887</v>
      </c>
      <c r="B32" s="1261" t="s">
        <v>888</v>
      </c>
      <c r="C32" s="1262" t="s">
        <v>889</v>
      </c>
      <c r="D32" s="1263" t="s">
        <v>890</v>
      </c>
      <c r="E32" s="1263" t="s">
        <v>891</v>
      </c>
      <c r="F32" s="1263" t="s">
        <v>892</v>
      </c>
      <c r="G32" s="1263" t="s">
        <v>893</v>
      </c>
      <c r="H32" s="1263" t="s">
        <v>894</v>
      </c>
      <c r="I32" s="1263" t="s">
        <v>932</v>
      </c>
      <c r="J32" s="1263" t="s">
        <v>966</v>
      </c>
      <c r="K32" s="1263" t="s">
        <v>967</v>
      </c>
      <c r="L32" s="1263" t="s">
        <v>969</v>
      </c>
      <c r="M32" s="1263" t="s">
        <v>1070</v>
      </c>
      <c r="N32" s="1264" t="s">
        <v>1096</v>
      </c>
      <c r="O32" s="1265" t="s">
        <v>1097</v>
      </c>
      <c r="P32" s="1263" t="s">
        <v>1098</v>
      </c>
      <c r="Q32" s="1266" t="s">
        <v>1099</v>
      </c>
    </row>
    <row r="33" spans="1:17">
      <c r="A33" s="1269" t="s">
        <v>320</v>
      </c>
      <c r="B33" s="1276">
        <f>16991595.41</f>
        <v>16991595.41</v>
      </c>
      <c r="C33" s="1273">
        <f>16991595.41</f>
        <v>16991595.41</v>
      </c>
      <c r="D33" s="1255">
        <f>1950000</f>
        <v>1950000</v>
      </c>
      <c r="E33" s="1255">
        <f>50000</f>
        <v>50000</v>
      </c>
      <c r="F33" s="1255">
        <f>0</f>
        <v>0</v>
      </c>
      <c r="G33" s="1255">
        <f>1900000</f>
        <v>1900000</v>
      </c>
      <c r="H33" s="1255">
        <f>0</f>
        <v>0</v>
      </c>
      <c r="I33" s="1255">
        <f>0</f>
        <v>0</v>
      </c>
      <c r="J33" s="1255">
        <f>13505289.17</f>
        <v>13505289.17</v>
      </c>
      <c r="K33" s="1255">
        <f>25550</f>
        <v>25550</v>
      </c>
      <c r="L33" s="1255">
        <f>821357.66</f>
        <v>821357.66</v>
      </c>
      <c r="M33" s="1255">
        <f>689398.58</f>
        <v>689398.58</v>
      </c>
      <c r="N33" s="1279">
        <f>0</f>
        <v>0</v>
      </c>
      <c r="O33" s="1282">
        <f>0</f>
        <v>0</v>
      </c>
      <c r="P33" s="1255">
        <f>0</f>
        <v>0</v>
      </c>
      <c r="Q33" s="1256">
        <f>0</f>
        <v>0</v>
      </c>
    </row>
    <row r="34" spans="1:17">
      <c r="A34" s="1270" t="s">
        <v>709</v>
      </c>
      <c r="B34" s="1276">
        <f>13354898.02</f>
        <v>13354898.02</v>
      </c>
      <c r="C34" s="1273">
        <f>13354898.02</f>
        <v>13354898.02</v>
      </c>
      <c r="D34" s="1255">
        <f>0</f>
        <v>0</v>
      </c>
      <c r="E34" s="1255">
        <f>0</f>
        <v>0</v>
      </c>
      <c r="F34" s="1255">
        <f>0</f>
        <v>0</v>
      </c>
      <c r="G34" s="1255">
        <f>0</f>
        <v>0</v>
      </c>
      <c r="H34" s="1255">
        <f>0</f>
        <v>0</v>
      </c>
      <c r="I34" s="1255">
        <f>0</f>
        <v>0</v>
      </c>
      <c r="J34" s="1255">
        <f>13290614.91</f>
        <v>13290614.91</v>
      </c>
      <c r="K34" s="1255">
        <f>0</f>
        <v>0</v>
      </c>
      <c r="L34" s="1255">
        <f>38172</f>
        <v>38172</v>
      </c>
      <c r="M34" s="1255">
        <f>26111.11</f>
        <v>26111.11</v>
      </c>
      <c r="N34" s="1279">
        <f>0</f>
        <v>0</v>
      </c>
      <c r="O34" s="1282">
        <f>0</f>
        <v>0</v>
      </c>
      <c r="P34" s="1255">
        <f>0</f>
        <v>0</v>
      </c>
      <c r="Q34" s="1256">
        <f>0</f>
        <v>0</v>
      </c>
    </row>
    <row r="35" spans="1:17">
      <c r="A35" s="1270" t="s">
        <v>321</v>
      </c>
      <c r="B35" s="1276">
        <f>3636697.39</f>
        <v>3636697.39</v>
      </c>
      <c r="C35" s="1273">
        <f>3636697.39</f>
        <v>3636697.39</v>
      </c>
      <c r="D35" s="1255">
        <f>1950000</f>
        <v>1950000</v>
      </c>
      <c r="E35" s="1255">
        <f>50000</f>
        <v>50000</v>
      </c>
      <c r="F35" s="1255">
        <f>0</f>
        <v>0</v>
      </c>
      <c r="G35" s="1255">
        <f>1900000</f>
        <v>1900000</v>
      </c>
      <c r="H35" s="1255">
        <f>0</f>
        <v>0</v>
      </c>
      <c r="I35" s="1255">
        <f>0</f>
        <v>0</v>
      </c>
      <c r="J35" s="1255">
        <f>214674.26</f>
        <v>214674.26</v>
      </c>
      <c r="K35" s="1255">
        <f>25550</f>
        <v>25550</v>
      </c>
      <c r="L35" s="1255">
        <f>783185.66</f>
        <v>783185.66</v>
      </c>
      <c r="M35" s="1255">
        <f>663287.47</f>
        <v>663287.47</v>
      </c>
      <c r="N35" s="1279">
        <f>0</f>
        <v>0</v>
      </c>
      <c r="O35" s="1282">
        <f>0</f>
        <v>0</v>
      </c>
      <c r="P35" s="1255">
        <f>0</f>
        <v>0</v>
      </c>
      <c r="Q35" s="1256">
        <f>0</f>
        <v>0</v>
      </c>
    </row>
    <row r="36" spans="1:17">
      <c r="A36" s="1269" t="s">
        <v>322</v>
      </c>
      <c r="B36" s="1276">
        <f>1527408719.46</f>
        <v>1527408719.46</v>
      </c>
      <c r="C36" s="1273">
        <f>1527401968.57</f>
        <v>1527401968.5699999</v>
      </c>
      <c r="D36" s="1255">
        <f>569821786.3</f>
        <v>569821786.29999995</v>
      </c>
      <c r="E36" s="1255">
        <f>715892.3</f>
        <v>715892.3</v>
      </c>
      <c r="F36" s="1255">
        <f>1021770.56</f>
        <v>1021770.56</v>
      </c>
      <c r="G36" s="1255">
        <f>552984123.44</f>
        <v>552984123.44000006</v>
      </c>
      <c r="H36" s="1255">
        <f>15100000</f>
        <v>15100000</v>
      </c>
      <c r="I36" s="1255">
        <f>0</f>
        <v>0</v>
      </c>
      <c r="J36" s="1255">
        <f>9762782.84</f>
        <v>9762782.8399999999</v>
      </c>
      <c r="K36" s="1255">
        <f>2149980.92</f>
        <v>2149980.92</v>
      </c>
      <c r="L36" s="1255">
        <f>475090785.22</f>
        <v>475090785.22000003</v>
      </c>
      <c r="M36" s="1255">
        <f>437011193.91</f>
        <v>437011193.91000003</v>
      </c>
      <c r="N36" s="1279">
        <f>33565439.38</f>
        <v>33565439.380000003</v>
      </c>
      <c r="O36" s="1282">
        <f>6750.89</f>
        <v>6750.89</v>
      </c>
      <c r="P36" s="1255">
        <f>3883.66</f>
        <v>3883.66</v>
      </c>
      <c r="Q36" s="1256">
        <f>2867.23</f>
        <v>2867.23</v>
      </c>
    </row>
    <row r="37" spans="1:17">
      <c r="A37" s="1270" t="s">
        <v>708</v>
      </c>
      <c r="B37" s="1276">
        <f>85387378.39</f>
        <v>85387378.390000001</v>
      </c>
      <c r="C37" s="1273">
        <f>85387378.39</f>
        <v>85387378.390000001</v>
      </c>
      <c r="D37" s="1255">
        <f>36509554.56</f>
        <v>36509554.560000002</v>
      </c>
      <c r="E37" s="1255">
        <f>309244.01</f>
        <v>309244.01</v>
      </c>
      <c r="F37" s="1255">
        <f>500000</f>
        <v>500000</v>
      </c>
      <c r="G37" s="1255">
        <f>35700310.55</f>
        <v>35700310.549999997</v>
      </c>
      <c r="H37" s="1255">
        <f>0</f>
        <v>0</v>
      </c>
      <c r="I37" s="1255">
        <f>0</f>
        <v>0</v>
      </c>
      <c r="J37" s="1255">
        <f>0</f>
        <v>0</v>
      </c>
      <c r="K37" s="1255">
        <f>4560</f>
        <v>4560</v>
      </c>
      <c r="L37" s="1255">
        <f>18697352.09</f>
        <v>18697352.09</v>
      </c>
      <c r="M37" s="1255">
        <f>19985488.65</f>
        <v>19985488.649999999</v>
      </c>
      <c r="N37" s="1279">
        <f>10190423.09</f>
        <v>10190423.09</v>
      </c>
      <c r="O37" s="1282">
        <f>0</f>
        <v>0</v>
      </c>
      <c r="P37" s="1255">
        <f>0</f>
        <v>0</v>
      </c>
      <c r="Q37" s="1256">
        <f>0</f>
        <v>0</v>
      </c>
    </row>
    <row r="38" spans="1:17">
      <c r="A38" s="1270" t="s">
        <v>323</v>
      </c>
      <c r="B38" s="1276">
        <f>1442021341.07</f>
        <v>1442021341.0699999</v>
      </c>
      <c r="C38" s="1273">
        <f>1442014590.18</f>
        <v>1442014590.1800001</v>
      </c>
      <c r="D38" s="1255">
        <f>533312231.74</f>
        <v>533312231.74000001</v>
      </c>
      <c r="E38" s="1255">
        <f>406648.29</f>
        <v>406648.29</v>
      </c>
      <c r="F38" s="1255">
        <f>521770.56</f>
        <v>521770.56</v>
      </c>
      <c r="G38" s="1255">
        <f>517283812.89</f>
        <v>517283812.88999999</v>
      </c>
      <c r="H38" s="1255">
        <f>15100000</f>
        <v>15100000</v>
      </c>
      <c r="I38" s="1255">
        <f>0</f>
        <v>0</v>
      </c>
      <c r="J38" s="1255">
        <f>9762782.84</f>
        <v>9762782.8399999999</v>
      </c>
      <c r="K38" s="1255">
        <f>2145420.92</f>
        <v>2145420.92</v>
      </c>
      <c r="L38" s="1255">
        <f>456393433.13</f>
        <v>456393433.13</v>
      </c>
      <c r="M38" s="1255">
        <f>417025705.26</f>
        <v>417025705.25999999</v>
      </c>
      <c r="N38" s="1279">
        <f>23375016.29</f>
        <v>23375016.289999999</v>
      </c>
      <c r="O38" s="1282">
        <f>6750.89</f>
        <v>6750.89</v>
      </c>
      <c r="P38" s="1255">
        <f>3883.66</f>
        <v>3883.66</v>
      </c>
      <c r="Q38" s="1256">
        <f>2867.23</f>
        <v>2867.23</v>
      </c>
    </row>
    <row r="39" spans="1:17" ht="13.5" customHeight="1">
      <c r="A39" s="1269" t="s">
        <v>324</v>
      </c>
      <c r="B39" s="1276">
        <f>57262439965.35</f>
        <v>57262439965.349998</v>
      </c>
      <c r="C39" s="1273">
        <f>57262260089.39</f>
        <v>57262260089.389999</v>
      </c>
      <c r="D39" s="1255">
        <f>22904187.94</f>
        <v>22904187.940000001</v>
      </c>
      <c r="E39" s="1255">
        <f>19130174.95</f>
        <v>19130174.949999999</v>
      </c>
      <c r="F39" s="1255">
        <f>40711.39</f>
        <v>40711.39</v>
      </c>
      <c r="G39" s="1255">
        <f>3733301.6</f>
        <v>3733301.6</v>
      </c>
      <c r="H39" s="1255">
        <f>0</f>
        <v>0</v>
      </c>
      <c r="I39" s="1255">
        <f>14922222.25</f>
        <v>14922222.25</v>
      </c>
      <c r="J39" s="1255">
        <f>57212319985.14</f>
        <v>57212319985.139999</v>
      </c>
      <c r="K39" s="1255">
        <f>1888773.92</f>
        <v>1888773.92</v>
      </c>
      <c r="L39" s="1255">
        <f>9828071.65</f>
        <v>9828071.6500000004</v>
      </c>
      <c r="M39" s="1255">
        <f>145550.11</f>
        <v>145550.10999999999</v>
      </c>
      <c r="N39" s="1279">
        <f>251298.38</f>
        <v>251298.38</v>
      </c>
      <c r="O39" s="1282">
        <f>179875.96</f>
        <v>179875.96</v>
      </c>
      <c r="P39" s="1255">
        <f>179875.96</f>
        <v>179875.96</v>
      </c>
      <c r="Q39" s="1256">
        <f>0</f>
        <v>0</v>
      </c>
    </row>
    <row r="40" spans="1:17" ht="13.5" customHeight="1">
      <c r="A40" s="1270" t="s">
        <v>325</v>
      </c>
      <c r="B40" s="1276">
        <f>3588875.33</f>
        <v>3588875.33</v>
      </c>
      <c r="C40" s="1273">
        <f>3588875.33</f>
        <v>3588875.33</v>
      </c>
      <c r="D40" s="1255">
        <f>3588875.33</f>
        <v>3588875.33</v>
      </c>
      <c r="E40" s="1255">
        <f>0</f>
        <v>0</v>
      </c>
      <c r="F40" s="1255">
        <f>0</f>
        <v>0</v>
      </c>
      <c r="G40" s="1255">
        <f>3588875.33</f>
        <v>3588875.33</v>
      </c>
      <c r="H40" s="1255">
        <f>0</f>
        <v>0</v>
      </c>
      <c r="I40" s="1255">
        <f>0</f>
        <v>0</v>
      </c>
      <c r="J40" s="1255">
        <f>0</f>
        <v>0</v>
      </c>
      <c r="K40" s="1255">
        <f>0</f>
        <v>0</v>
      </c>
      <c r="L40" s="1255">
        <f>0</f>
        <v>0</v>
      </c>
      <c r="M40" s="1255">
        <f>0</f>
        <v>0</v>
      </c>
      <c r="N40" s="1279">
        <f>0</f>
        <v>0</v>
      </c>
      <c r="O40" s="1282">
        <f>0</f>
        <v>0</v>
      </c>
      <c r="P40" s="1255">
        <f>0</f>
        <v>0</v>
      </c>
      <c r="Q40" s="1256">
        <f>0</f>
        <v>0</v>
      </c>
    </row>
    <row r="41" spans="1:17" ht="13.5" customHeight="1">
      <c r="A41" s="1270" t="s">
        <v>326</v>
      </c>
      <c r="B41" s="1276">
        <f>54596381157.06</f>
        <v>54596381157.059998</v>
      </c>
      <c r="C41" s="1273">
        <f>54596381157.06</f>
        <v>54596381157.059998</v>
      </c>
      <c r="D41" s="1255">
        <f>18978732.4</f>
        <v>18978732.399999999</v>
      </c>
      <c r="E41" s="1255">
        <f>18952888.63</f>
        <v>18952888.629999999</v>
      </c>
      <c r="F41" s="1255">
        <f>6795.81</f>
        <v>6795.81</v>
      </c>
      <c r="G41" s="1255">
        <f>19047.96</f>
        <v>19047.96</v>
      </c>
      <c r="H41" s="1255">
        <f>0</f>
        <v>0</v>
      </c>
      <c r="I41" s="1255">
        <f>14869806.25</f>
        <v>14869806.25</v>
      </c>
      <c r="J41" s="1255">
        <f>54552291498.79</f>
        <v>54552291498.790001</v>
      </c>
      <c r="K41" s="1255">
        <f>1880227.6</f>
        <v>1880227.6</v>
      </c>
      <c r="L41" s="1255">
        <f>8256436.57</f>
        <v>8256436.5700000003</v>
      </c>
      <c r="M41" s="1255">
        <f>10172.33</f>
        <v>10172.33</v>
      </c>
      <c r="N41" s="1279">
        <f>94283.12</f>
        <v>94283.12</v>
      </c>
      <c r="O41" s="1282">
        <f>0</f>
        <v>0</v>
      </c>
      <c r="P41" s="1255">
        <f>0</f>
        <v>0</v>
      </c>
      <c r="Q41" s="1256">
        <f>0</f>
        <v>0</v>
      </c>
    </row>
    <row r="42" spans="1:17" ht="13.5" customHeight="1">
      <c r="A42" s="1270" t="s">
        <v>327</v>
      </c>
      <c r="B42" s="1276">
        <f>2662469932.96</f>
        <v>2662469932.96</v>
      </c>
      <c r="C42" s="1273">
        <f>2662290057</f>
        <v>2662290057</v>
      </c>
      <c r="D42" s="1255">
        <f>336580.21</f>
        <v>336580.21</v>
      </c>
      <c r="E42" s="1255">
        <f>177286.32</f>
        <v>177286.32</v>
      </c>
      <c r="F42" s="1255">
        <f>33915.58</f>
        <v>33915.58</v>
      </c>
      <c r="G42" s="1255">
        <f>125378.31</f>
        <v>125378.31</v>
      </c>
      <c r="H42" s="1255">
        <f>0</f>
        <v>0</v>
      </c>
      <c r="I42" s="1255">
        <f>52416</f>
        <v>52416</v>
      </c>
      <c r="J42" s="1255">
        <f>2660028486.35</f>
        <v>2660028486.3499999</v>
      </c>
      <c r="K42" s="1255">
        <f>8546.32</f>
        <v>8546.32</v>
      </c>
      <c r="L42" s="1255">
        <f>1571635.08</f>
        <v>1571635.08</v>
      </c>
      <c r="M42" s="1255">
        <f>135377.78</f>
        <v>135377.78</v>
      </c>
      <c r="N42" s="1279">
        <f>157015.26</f>
        <v>157015.26</v>
      </c>
      <c r="O42" s="1282">
        <f>179875.96</f>
        <v>179875.96</v>
      </c>
      <c r="P42" s="1255">
        <f>179875.96</f>
        <v>179875.96</v>
      </c>
      <c r="Q42" s="1256">
        <f>0</f>
        <v>0</v>
      </c>
    </row>
    <row r="43" spans="1:17" ht="13.5" customHeight="1">
      <c r="A43" s="1269" t="s">
        <v>364</v>
      </c>
      <c r="B43" s="1276">
        <f>23763906883.62</f>
        <v>23763906883.619999</v>
      </c>
      <c r="C43" s="1273">
        <f>23711728333.28</f>
        <v>23711728333.279999</v>
      </c>
      <c r="D43" s="1255">
        <f>624250952.68</f>
        <v>624250952.67999995</v>
      </c>
      <c r="E43" s="1255">
        <f>237781427.28</f>
        <v>237781427.28</v>
      </c>
      <c r="F43" s="1255">
        <f>13751174.15</f>
        <v>13751174.15</v>
      </c>
      <c r="G43" s="1255">
        <f>366078548.57</f>
        <v>366078548.56999999</v>
      </c>
      <c r="H43" s="1255">
        <f>6639802.68</f>
        <v>6639802.6799999997</v>
      </c>
      <c r="I43" s="1255">
        <f>191720.77</f>
        <v>191720.77</v>
      </c>
      <c r="J43" s="1255">
        <f>10036239.21</f>
        <v>10036239.210000001</v>
      </c>
      <c r="K43" s="1255">
        <f>29387079.73</f>
        <v>29387079.73</v>
      </c>
      <c r="L43" s="1255">
        <f>6214850648.44</f>
        <v>6214850648.4399996</v>
      </c>
      <c r="M43" s="1255">
        <f>16655730579.15</f>
        <v>16655730579.15</v>
      </c>
      <c r="N43" s="1279">
        <f>177281113.3</f>
        <v>177281113.30000001</v>
      </c>
      <c r="O43" s="1282">
        <f>52178550.34</f>
        <v>52178550.340000004</v>
      </c>
      <c r="P43" s="1255">
        <f>32126615.64</f>
        <v>32126615.640000001</v>
      </c>
      <c r="Q43" s="1256">
        <f>20051934.7</f>
        <v>20051934.699999999</v>
      </c>
    </row>
    <row r="44" spans="1:17">
      <c r="A44" s="1270" t="s">
        <v>328</v>
      </c>
      <c r="B44" s="1276">
        <f>6464010505.81</f>
        <v>6464010505.8100004</v>
      </c>
      <c r="C44" s="1273">
        <f>6461973795.76</f>
        <v>6461973795.7600002</v>
      </c>
      <c r="D44" s="1255">
        <f>80836932.04</f>
        <v>80836932.040000007</v>
      </c>
      <c r="E44" s="1255">
        <f>3612427.77</f>
        <v>3612427.77</v>
      </c>
      <c r="F44" s="1255">
        <f>2282668.04</f>
        <v>2282668.04</v>
      </c>
      <c r="G44" s="1255">
        <f>74352879.72</f>
        <v>74352879.719999999</v>
      </c>
      <c r="H44" s="1255">
        <f>588956.51</f>
        <v>588956.51</v>
      </c>
      <c r="I44" s="1255">
        <f>0</f>
        <v>0</v>
      </c>
      <c r="J44" s="1255">
        <f>73302.27</f>
        <v>73302.27</v>
      </c>
      <c r="K44" s="1255">
        <f>1240266</f>
        <v>1240266</v>
      </c>
      <c r="L44" s="1255">
        <f>983278387.26</f>
        <v>983278387.25999999</v>
      </c>
      <c r="M44" s="1255">
        <f>5332685654.54</f>
        <v>5332685654.54</v>
      </c>
      <c r="N44" s="1279">
        <f>63859253.65</f>
        <v>63859253.649999999</v>
      </c>
      <c r="O44" s="1282">
        <f>2036710.05</f>
        <v>2036710.05</v>
      </c>
      <c r="P44" s="1255">
        <f>641904.95</f>
        <v>641904.94999999995</v>
      </c>
      <c r="Q44" s="1256">
        <f>1394805.1</f>
        <v>1394805.1</v>
      </c>
    </row>
    <row r="45" spans="1:17">
      <c r="A45" s="1270" t="s">
        <v>329</v>
      </c>
      <c r="B45" s="1276">
        <f>17299896377.81</f>
        <v>17299896377.810001</v>
      </c>
      <c r="C45" s="1273">
        <f>17249754537.52</f>
        <v>17249754537.52</v>
      </c>
      <c r="D45" s="1255">
        <f>543414020.64</f>
        <v>543414020.63999999</v>
      </c>
      <c r="E45" s="1255">
        <f>234168999.51</f>
        <v>234168999.50999999</v>
      </c>
      <c r="F45" s="1255">
        <f>11468506.11</f>
        <v>11468506.109999999</v>
      </c>
      <c r="G45" s="1255">
        <f>291725668.85</f>
        <v>291725668.85000002</v>
      </c>
      <c r="H45" s="1255">
        <f>6050846.17</f>
        <v>6050846.1699999999</v>
      </c>
      <c r="I45" s="1255">
        <f>191720.77</f>
        <v>191720.77</v>
      </c>
      <c r="J45" s="1255">
        <f>9962936.94</f>
        <v>9962936.9399999995</v>
      </c>
      <c r="K45" s="1255">
        <f>28146813.73</f>
        <v>28146813.73</v>
      </c>
      <c r="L45" s="1255">
        <f>5231572261.18</f>
        <v>5231572261.1800003</v>
      </c>
      <c r="M45" s="1255">
        <f>11323044924.61</f>
        <v>11323044924.610001</v>
      </c>
      <c r="N45" s="1279">
        <f>113421859.65</f>
        <v>113421859.65000001</v>
      </c>
      <c r="O45" s="1282">
        <f>50141840.29</f>
        <v>50141840.289999999</v>
      </c>
      <c r="P45" s="1255">
        <f>31484710.69</f>
        <v>31484710.690000001</v>
      </c>
      <c r="Q45" s="1256">
        <f>18657129.6</f>
        <v>18657129.600000001</v>
      </c>
    </row>
    <row r="46" spans="1:17" ht="13.5" customHeight="1">
      <c r="A46" s="1269" t="s">
        <v>330</v>
      </c>
      <c r="B46" s="1276">
        <f>6882982042.06</f>
        <v>6882982042.0600004</v>
      </c>
      <c r="C46" s="1273">
        <f>6854735489.85</f>
        <v>6854735489.8500004</v>
      </c>
      <c r="D46" s="1255">
        <f>1475546264.77</f>
        <v>1475546264.77</v>
      </c>
      <c r="E46" s="1255">
        <f>839797456.82</f>
        <v>839797456.82000005</v>
      </c>
      <c r="F46" s="1255">
        <f>17570005.24</f>
        <v>17570005.239999998</v>
      </c>
      <c r="G46" s="1255">
        <f>603566414.03</f>
        <v>603566414.02999997</v>
      </c>
      <c r="H46" s="1255">
        <f>14612388.68</f>
        <v>14612388.68</v>
      </c>
      <c r="I46" s="1255">
        <f>2083.31</f>
        <v>2083.31</v>
      </c>
      <c r="J46" s="1255">
        <f>2889348.47</f>
        <v>2889348.47</v>
      </c>
      <c r="K46" s="1255">
        <f>15212050.61</f>
        <v>15212050.609999999</v>
      </c>
      <c r="L46" s="1255">
        <f>3177727536.08</f>
        <v>3177727536.0799999</v>
      </c>
      <c r="M46" s="1255">
        <f>1939569163.13</f>
        <v>1939569163.1300001</v>
      </c>
      <c r="N46" s="1279">
        <f>243789043.48</f>
        <v>243789043.47999999</v>
      </c>
      <c r="O46" s="1282">
        <f>28246552.21</f>
        <v>28246552.210000001</v>
      </c>
      <c r="P46" s="1255">
        <f>25108131.68</f>
        <v>25108131.68</v>
      </c>
      <c r="Q46" s="1256">
        <f>3138420.53</f>
        <v>3138420.53</v>
      </c>
    </row>
    <row r="47" spans="1:17">
      <c r="A47" s="1270" t="s">
        <v>331</v>
      </c>
      <c r="B47" s="1276">
        <f>1041762338.23</f>
        <v>1041762338.23</v>
      </c>
      <c r="C47" s="1273">
        <f>1041642797.79</f>
        <v>1041642797.79</v>
      </c>
      <c r="D47" s="1255">
        <f>67455616.99</f>
        <v>67455616.989999995</v>
      </c>
      <c r="E47" s="1255">
        <f>10050589.01</f>
        <v>10050589.01</v>
      </c>
      <c r="F47" s="1255">
        <f>4058534.09</f>
        <v>4058534.09</v>
      </c>
      <c r="G47" s="1255">
        <f>52132855.65</f>
        <v>52132855.649999999</v>
      </c>
      <c r="H47" s="1255">
        <f>1213638.24</f>
        <v>1213638.24</v>
      </c>
      <c r="I47" s="1255">
        <f>0</f>
        <v>0</v>
      </c>
      <c r="J47" s="1255">
        <f>968978.35</f>
        <v>968978.35</v>
      </c>
      <c r="K47" s="1255">
        <f>2458271.36</f>
        <v>2458271.36</v>
      </c>
      <c r="L47" s="1255">
        <f>435326558.64</f>
        <v>435326558.63999999</v>
      </c>
      <c r="M47" s="1255">
        <f>519765902.85</f>
        <v>519765902.85000002</v>
      </c>
      <c r="N47" s="1279">
        <f>15667469.6</f>
        <v>15667469.6</v>
      </c>
      <c r="O47" s="1282">
        <f>119540.44</f>
        <v>119540.44</v>
      </c>
      <c r="P47" s="1255">
        <f>114060.38</f>
        <v>114060.38</v>
      </c>
      <c r="Q47" s="1256">
        <f>5480.06</f>
        <v>5480.06</v>
      </c>
    </row>
    <row r="48" spans="1:17" ht="27">
      <c r="A48" s="1270" t="s">
        <v>332</v>
      </c>
      <c r="B48" s="1276">
        <f>665904617.91</f>
        <v>665904617.90999997</v>
      </c>
      <c r="C48" s="1273">
        <f>665902400.63</f>
        <v>665902400.63</v>
      </c>
      <c r="D48" s="1255">
        <f>288595924.97</f>
        <v>288595924.97000003</v>
      </c>
      <c r="E48" s="1255">
        <f>270094722.84</f>
        <v>270094722.83999997</v>
      </c>
      <c r="F48" s="1255">
        <f>3498934.16</f>
        <v>3498934.16</v>
      </c>
      <c r="G48" s="1255">
        <f>13513413.93</f>
        <v>13513413.93</v>
      </c>
      <c r="H48" s="1255">
        <f>1488854.04</f>
        <v>1488854.04</v>
      </c>
      <c r="I48" s="1255">
        <f>0</f>
        <v>0</v>
      </c>
      <c r="J48" s="1255">
        <f>22988.02</f>
        <v>22988.02</v>
      </c>
      <c r="K48" s="1255">
        <f>887749.37</f>
        <v>887749.37</v>
      </c>
      <c r="L48" s="1255">
        <f>227462667.65</f>
        <v>227462667.65000001</v>
      </c>
      <c r="M48" s="1255">
        <f>145816068.93</f>
        <v>145816068.93000001</v>
      </c>
      <c r="N48" s="1279">
        <f>3117001.69</f>
        <v>3117001.69</v>
      </c>
      <c r="O48" s="1282">
        <f>2217.28</f>
        <v>2217.2800000000002</v>
      </c>
      <c r="P48" s="1255">
        <f>1232</f>
        <v>1232</v>
      </c>
      <c r="Q48" s="1256">
        <f>985.28</f>
        <v>985.28</v>
      </c>
    </row>
    <row r="49" spans="1:18">
      <c r="A49" s="1271" t="s">
        <v>333</v>
      </c>
      <c r="B49" s="1277">
        <f>5175315085.92</f>
        <v>5175315085.9200001</v>
      </c>
      <c r="C49" s="1274">
        <f>5147190291.43</f>
        <v>5147190291.4300003</v>
      </c>
      <c r="D49" s="1257">
        <f>1119494722.81</f>
        <v>1119494722.8099999</v>
      </c>
      <c r="E49" s="1257">
        <f>559652144.97</f>
        <v>559652144.97000003</v>
      </c>
      <c r="F49" s="1257">
        <f>10012536.99</f>
        <v>10012536.99</v>
      </c>
      <c r="G49" s="1257">
        <f>537920144.45</f>
        <v>537920144.45000005</v>
      </c>
      <c r="H49" s="1257">
        <f>11909896.4</f>
        <v>11909896.4</v>
      </c>
      <c r="I49" s="1257">
        <f>2083.31</f>
        <v>2083.31</v>
      </c>
      <c r="J49" s="1257">
        <f>1897382.1</f>
        <v>1897382.1</v>
      </c>
      <c r="K49" s="1257">
        <f>11866029.88</f>
        <v>11866029.880000001</v>
      </c>
      <c r="L49" s="1257">
        <f>2514938309.79</f>
        <v>2514938309.79</v>
      </c>
      <c r="M49" s="1257">
        <f>1273987191.35</f>
        <v>1273987191.3499999</v>
      </c>
      <c r="N49" s="1280">
        <f>225004572.19</f>
        <v>225004572.19</v>
      </c>
      <c r="O49" s="1283">
        <f>28124794.49</f>
        <v>28124794.489999998</v>
      </c>
      <c r="P49" s="1257">
        <f>24992839.3</f>
        <v>24992839.300000001</v>
      </c>
      <c r="Q49" s="1258">
        <f>3131955.19</f>
        <v>3131955.19</v>
      </c>
    </row>
    <row r="50" spans="1:18" ht="24.6" customHeight="1"/>
    <row r="51" spans="1:18" ht="13.5" customHeight="1">
      <c r="A51" s="1749" t="s">
        <v>334</v>
      </c>
      <c r="B51" s="1749"/>
      <c r="C51" s="1749"/>
      <c r="D51" s="1749"/>
      <c r="E51" s="1749"/>
      <c r="F51" s="1749"/>
      <c r="G51" s="1749"/>
      <c r="H51" s="1749"/>
      <c r="I51" s="1749"/>
      <c r="J51" s="1749"/>
      <c r="K51" s="1749"/>
      <c r="L51" s="1749"/>
      <c r="R51" s="32"/>
    </row>
    <row r="52" spans="1:18" ht="13.5" customHeight="1">
      <c r="R52" s="32"/>
    </row>
    <row r="53" spans="1:18" ht="13.5" customHeight="1">
      <c r="A53" s="1781" t="s">
        <v>68</v>
      </c>
      <c r="B53" s="1782"/>
      <c r="C53" s="1782"/>
      <c r="D53" s="1783"/>
      <c r="E53" s="1751" t="s">
        <v>335</v>
      </c>
      <c r="F53" s="1754" t="s">
        <v>336</v>
      </c>
      <c r="G53" s="1755"/>
      <c r="H53" s="1755"/>
      <c r="I53" s="1755"/>
      <c r="J53" s="1755"/>
      <c r="K53" s="1758"/>
      <c r="R53" s="32"/>
    </row>
    <row r="54" spans="1:18" ht="13.5" customHeight="1">
      <c r="A54" s="1784"/>
      <c r="B54" s="1785"/>
      <c r="C54" s="1785"/>
      <c r="D54" s="1786"/>
      <c r="E54" s="1752"/>
      <c r="F54" s="1759" t="s">
        <v>337</v>
      </c>
      <c r="G54" s="1745" t="s">
        <v>287</v>
      </c>
      <c r="H54" s="1745" t="s">
        <v>288</v>
      </c>
      <c r="I54" s="1745" t="s">
        <v>317</v>
      </c>
      <c r="J54" s="1745" t="s">
        <v>338</v>
      </c>
      <c r="K54" s="1767" t="s">
        <v>339</v>
      </c>
      <c r="R54" s="32"/>
    </row>
    <row r="55" spans="1:18" ht="13.5" customHeight="1">
      <c r="A55" s="1784"/>
      <c r="B55" s="1785"/>
      <c r="C55" s="1785"/>
      <c r="D55" s="1786"/>
      <c r="E55" s="1752"/>
      <c r="F55" s="1759"/>
      <c r="G55" s="1745"/>
      <c r="H55" s="1745"/>
      <c r="I55" s="1745"/>
      <c r="J55" s="1745"/>
      <c r="K55" s="1767"/>
      <c r="R55" s="32"/>
    </row>
    <row r="56" spans="1:18" ht="27.6" customHeight="1">
      <c r="A56" s="1784"/>
      <c r="B56" s="1785"/>
      <c r="C56" s="1785"/>
      <c r="D56" s="1786"/>
      <c r="E56" s="1752"/>
      <c r="F56" s="1759"/>
      <c r="G56" s="1745"/>
      <c r="H56" s="1745"/>
      <c r="I56" s="1745"/>
      <c r="J56" s="1745"/>
      <c r="K56" s="1767"/>
      <c r="R56" s="32"/>
    </row>
    <row r="57" spans="1:18" ht="13.5" customHeight="1">
      <c r="A57" s="1784"/>
      <c r="B57" s="1785"/>
      <c r="C57" s="1785"/>
      <c r="D57" s="1786"/>
      <c r="E57" s="1796"/>
      <c r="F57" s="1765"/>
      <c r="G57" s="1766"/>
      <c r="H57" s="1766"/>
      <c r="I57" s="1766"/>
      <c r="J57" s="1766"/>
      <c r="K57" s="1768"/>
      <c r="R57" s="32"/>
    </row>
    <row r="58" spans="1:18">
      <c r="A58" s="1787"/>
      <c r="B58" s="1788"/>
      <c r="C58" s="1788"/>
      <c r="D58" s="1789"/>
      <c r="E58" s="1778" t="s">
        <v>4</v>
      </c>
      <c r="F58" s="1779"/>
      <c r="G58" s="1779"/>
      <c r="H58" s="1779"/>
      <c r="I58" s="1779"/>
      <c r="J58" s="1779"/>
      <c r="K58" s="1780"/>
      <c r="R58" s="32"/>
    </row>
    <row r="59" spans="1:18" ht="13.5" customHeight="1">
      <c r="A59" s="1790" t="s">
        <v>887</v>
      </c>
      <c r="B59" s="1791"/>
      <c r="C59" s="1791"/>
      <c r="D59" s="1792"/>
      <c r="E59" s="1287" t="s">
        <v>888</v>
      </c>
      <c r="F59" s="1284" t="s">
        <v>889</v>
      </c>
      <c r="G59" s="1285" t="s">
        <v>890</v>
      </c>
      <c r="H59" s="1285" t="s">
        <v>891</v>
      </c>
      <c r="I59" s="1285" t="s">
        <v>892</v>
      </c>
      <c r="J59" s="1285" t="s">
        <v>893</v>
      </c>
      <c r="K59" s="1286" t="s">
        <v>894</v>
      </c>
      <c r="R59" s="32"/>
    </row>
    <row r="60" spans="1:18" ht="25.9" customHeight="1">
      <c r="A60" s="1793" t="s">
        <v>340</v>
      </c>
      <c r="B60" s="1794"/>
      <c r="C60" s="1794"/>
      <c r="D60" s="1795"/>
      <c r="E60" s="1252">
        <f>4659657731.35</f>
        <v>4659657731.3500004</v>
      </c>
      <c r="F60" s="1237">
        <f>1185342821.94</f>
        <v>1185342821.9400001</v>
      </c>
      <c r="G60" s="1232">
        <f>70928246.07</f>
        <v>70928246.069999993</v>
      </c>
      <c r="H60" s="1232">
        <f>292850960.18</f>
        <v>292850960.18000001</v>
      </c>
      <c r="I60" s="1232">
        <f>807412123.79</f>
        <v>807412123.78999996</v>
      </c>
      <c r="J60" s="1232">
        <f>14151491.9</f>
        <v>14151491.9</v>
      </c>
      <c r="K60" s="1233">
        <f>3474314909.41</f>
        <v>3474314909.4099998</v>
      </c>
      <c r="R60" s="32"/>
    </row>
    <row r="61" spans="1:18" ht="25.15" customHeight="1">
      <c r="A61" s="1769" t="s">
        <v>341</v>
      </c>
      <c r="B61" s="1770"/>
      <c r="C61" s="1770"/>
      <c r="D61" s="1771"/>
      <c r="E61" s="1253">
        <f>19690846.25</f>
        <v>19690846.25</v>
      </c>
      <c r="F61" s="1238">
        <f>7497693.55</f>
        <v>7497693.5499999998</v>
      </c>
      <c r="G61" s="1228">
        <f>0</f>
        <v>0</v>
      </c>
      <c r="H61" s="1228">
        <f>0</f>
        <v>0</v>
      </c>
      <c r="I61" s="1228">
        <f>7497693.55</f>
        <v>7497693.5499999998</v>
      </c>
      <c r="J61" s="1228">
        <f>0</f>
        <v>0</v>
      </c>
      <c r="K61" s="1229">
        <f>12193152.7</f>
        <v>12193152.699999999</v>
      </c>
      <c r="R61" s="32"/>
    </row>
    <row r="62" spans="1:18" ht="19.899999999999999" customHeight="1">
      <c r="A62" s="1769" t="s">
        <v>342</v>
      </c>
      <c r="B62" s="1770"/>
      <c r="C62" s="1770"/>
      <c r="D62" s="1771"/>
      <c r="E62" s="1253">
        <f>248839351.83</f>
        <v>248839351.83000001</v>
      </c>
      <c r="F62" s="1238">
        <f>100335588.96</f>
        <v>100335588.95999999</v>
      </c>
      <c r="G62" s="1228">
        <f>200000</f>
        <v>200000</v>
      </c>
      <c r="H62" s="1228">
        <f>4000000</f>
        <v>4000000</v>
      </c>
      <c r="I62" s="1228">
        <f>96026002.92</f>
        <v>96026002.920000002</v>
      </c>
      <c r="J62" s="1228">
        <f>109586.04</f>
        <v>109586.04</v>
      </c>
      <c r="K62" s="1229">
        <f>148503762.87</f>
        <v>148503762.87</v>
      </c>
      <c r="R62" s="32"/>
    </row>
    <row r="63" spans="1:18" ht="19.899999999999999" customHeight="1">
      <c r="A63" s="1769" t="s">
        <v>343</v>
      </c>
      <c r="B63" s="1770"/>
      <c r="C63" s="1770"/>
      <c r="D63" s="1771"/>
      <c r="E63" s="1253">
        <f>92422965.71</f>
        <v>92422965.709999993</v>
      </c>
      <c r="F63" s="1238">
        <f>46019869.66</f>
        <v>46019869.659999996</v>
      </c>
      <c r="G63" s="1228">
        <f>0</f>
        <v>0</v>
      </c>
      <c r="H63" s="1228">
        <f>5158358.93</f>
        <v>5158358.93</v>
      </c>
      <c r="I63" s="1228">
        <f>40861510.73</f>
        <v>40861510.729999997</v>
      </c>
      <c r="J63" s="1228">
        <f>0</f>
        <v>0</v>
      </c>
      <c r="K63" s="1229">
        <f>46403096.05</f>
        <v>46403096.049999997</v>
      </c>
      <c r="R63" s="32"/>
    </row>
    <row r="64" spans="1:18" ht="19.899999999999999" customHeight="1">
      <c r="A64" s="1769" t="s">
        <v>344</v>
      </c>
      <c r="B64" s="1770"/>
      <c r="C64" s="1770"/>
      <c r="D64" s="1771"/>
      <c r="E64" s="1253">
        <f>15933639.65</f>
        <v>15933639.65</v>
      </c>
      <c r="F64" s="1238">
        <f>13002048.69</f>
        <v>13002048.689999999</v>
      </c>
      <c r="G64" s="1228">
        <f>0</f>
        <v>0</v>
      </c>
      <c r="H64" s="1228">
        <f>0</f>
        <v>0</v>
      </c>
      <c r="I64" s="1228">
        <f>13002048.69</f>
        <v>13002048.689999999</v>
      </c>
      <c r="J64" s="1228">
        <f>0</f>
        <v>0</v>
      </c>
      <c r="K64" s="1229">
        <f>2931590.96</f>
        <v>2931590.96</v>
      </c>
      <c r="R64" s="32"/>
    </row>
    <row r="65" spans="1:18" ht="24.6" customHeight="1">
      <c r="A65" s="1769" t="s">
        <v>345</v>
      </c>
      <c r="B65" s="1770"/>
      <c r="C65" s="1770"/>
      <c r="D65" s="1771"/>
      <c r="E65" s="1253">
        <f>32144821.42</f>
        <v>32144821.420000002</v>
      </c>
      <c r="F65" s="1238">
        <f>15318999.57</f>
        <v>15318999.57</v>
      </c>
      <c r="G65" s="1228">
        <f>0</f>
        <v>0</v>
      </c>
      <c r="H65" s="1228">
        <f>0</f>
        <v>0</v>
      </c>
      <c r="I65" s="1228">
        <f>15318999.57</f>
        <v>15318999.57</v>
      </c>
      <c r="J65" s="1228">
        <f>0</f>
        <v>0</v>
      </c>
      <c r="K65" s="1229">
        <f>16825821.85</f>
        <v>16825821.850000001</v>
      </c>
      <c r="R65" s="32"/>
    </row>
    <row r="66" spans="1:18" ht="25.9" customHeight="1">
      <c r="A66" s="1772" t="s">
        <v>346</v>
      </c>
      <c r="B66" s="1773"/>
      <c r="C66" s="1773"/>
      <c r="D66" s="1774"/>
      <c r="E66" s="1254">
        <f>3281947.94</f>
        <v>3281947.94</v>
      </c>
      <c r="F66" s="1239">
        <f>1553768.46</f>
        <v>1553768.46</v>
      </c>
      <c r="G66" s="1230">
        <f>0</f>
        <v>0</v>
      </c>
      <c r="H66" s="1230">
        <f>0</f>
        <v>0</v>
      </c>
      <c r="I66" s="1230">
        <f>1553768.46</f>
        <v>1553768.46</v>
      </c>
      <c r="J66" s="1230">
        <f>0</f>
        <v>0</v>
      </c>
      <c r="K66" s="1231">
        <f>1728179.48</f>
        <v>1728179.48</v>
      </c>
      <c r="R66" s="32"/>
    </row>
  </sheetData>
  <mergeCells count="62">
    <mergeCell ref="A64:D64"/>
    <mergeCell ref="A65:D65"/>
    <mergeCell ref="A66:D66"/>
    <mergeCell ref="A4:A10"/>
    <mergeCell ref="B10:Q10"/>
    <mergeCell ref="A26:A31"/>
    <mergeCell ref="B31:Q31"/>
    <mergeCell ref="A53:D58"/>
    <mergeCell ref="E58:K58"/>
    <mergeCell ref="A59:D59"/>
    <mergeCell ref="A60:D60"/>
    <mergeCell ref="A61:D61"/>
    <mergeCell ref="A62:D62"/>
    <mergeCell ref="A63:D63"/>
    <mergeCell ref="A51:L51"/>
    <mergeCell ref="E53:E57"/>
    <mergeCell ref="F53:K53"/>
    <mergeCell ref="F54:F57"/>
    <mergeCell ref="G54:G57"/>
    <mergeCell ref="H54:H57"/>
    <mergeCell ref="I54:I57"/>
    <mergeCell ref="J54:J57"/>
    <mergeCell ref="K54:K57"/>
    <mergeCell ref="O26:Q26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Q27:Q30"/>
    <mergeCell ref="A24:M24"/>
    <mergeCell ref="B26:B30"/>
    <mergeCell ref="C26:N26"/>
    <mergeCell ref="O4:Q4"/>
    <mergeCell ref="C5:C9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A2:M2"/>
    <mergeCell ref="C3:M3"/>
    <mergeCell ref="B4:B9"/>
    <mergeCell ref="C4:N4"/>
  </mergeCells>
  <printOptions horizontalCentered="1"/>
  <pageMargins left="0.27559055118110237" right="0.27559055118110237" top="0.59055118110236227" bottom="0.74803149606299213" header="0.31496062992125984" footer="0"/>
  <pageSetup paperSize="9" scale="65" firstPageNumber="5" orientation="landscape" useFirstPageNumber="1" r:id="rId1"/>
  <headerFooter alignWithMargins="0"/>
  <rowBreaks count="1" manualBreakCount="1">
    <brk id="4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96"/>
  <sheetViews>
    <sheetView showGridLines="0" view="pageBreakPreview" topLeftCell="A85" zoomScaleNormal="100" zoomScaleSheetLayoutView="100" workbookViewId="0">
      <selection activeCell="F100" sqref="F100"/>
    </sheetView>
  </sheetViews>
  <sheetFormatPr defaultColWidth="9.140625" defaultRowHeight="13.5"/>
  <cols>
    <col min="1" max="1" width="36.28515625" style="1097" customWidth="1"/>
    <col min="2" max="4" width="12.28515625" style="1097" bestFit="1" customWidth="1"/>
    <col min="5" max="5" width="11.42578125" style="1097" bestFit="1" customWidth="1"/>
    <col min="6" max="6" width="10.28515625" style="1097" bestFit="1" customWidth="1"/>
    <col min="7" max="7" width="9.5703125" style="1097" bestFit="1" customWidth="1"/>
    <col min="8" max="8" width="11.28515625" style="1097" customWidth="1"/>
    <col min="9" max="12" width="9.28515625" style="1097" bestFit="1" customWidth="1"/>
    <col min="13" max="16384" width="9.140625" style="1097"/>
  </cols>
  <sheetData>
    <row r="1" spans="1:12">
      <c r="A1" s="1928" t="s">
        <v>1105</v>
      </c>
      <c r="B1" s="1928"/>
      <c r="C1" s="1928"/>
      <c r="D1" s="1928"/>
      <c r="E1" s="1928"/>
      <c r="F1" s="1928"/>
      <c r="G1" s="1928"/>
      <c r="H1" s="1928"/>
      <c r="I1" s="1928"/>
      <c r="J1" s="1928"/>
      <c r="K1" s="1928"/>
      <c r="L1" s="1928"/>
    </row>
    <row r="3" spans="1:12" ht="65.45" customHeight="1">
      <c r="A3" s="1692" t="s">
        <v>218</v>
      </c>
      <c r="B3" s="1134" t="s">
        <v>1080</v>
      </c>
      <c r="C3" s="1135" t="s">
        <v>1081</v>
      </c>
      <c r="D3" s="1135" t="s">
        <v>1082</v>
      </c>
      <c r="E3" s="1135" t="s">
        <v>1083</v>
      </c>
      <c r="F3" s="1135" t="s">
        <v>1084</v>
      </c>
      <c r="G3" s="1135" t="s">
        <v>1085</v>
      </c>
      <c r="H3" s="1135" t="s">
        <v>1086</v>
      </c>
      <c r="I3" s="1136" t="s">
        <v>1087</v>
      </c>
      <c r="J3" s="1137" t="s">
        <v>219</v>
      </c>
      <c r="K3" s="1135" t="s">
        <v>1079</v>
      </c>
      <c r="L3" s="1138" t="s">
        <v>221</v>
      </c>
    </row>
    <row r="4" spans="1:12">
      <c r="A4" s="1925"/>
      <c r="B4" s="1926" t="s">
        <v>4</v>
      </c>
      <c r="C4" s="1695"/>
      <c r="D4" s="1695"/>
      <c r="E4" s="1695"/>
      <c r="F4" s="1695"/>
      <c r="G4" s="1695"/>
      <c r="H4" s="1695"/>
      <c r="I4" s="1696"/>
      <c r="J4" s="1694" t="s">
        <v>5</v>
      </c>
      <c r="K4" s="1695"/>
      <c r="L4" s="1697"/>
    </row>
    <row r="5" spans="1:12">
      <c r="A5" s="1328" t="s">
        <v>887</v>
      </c>
      <c r="B5" s="1327" t="s">
        <v>888</v>
      </c>
      <c r="C5" s="1294" t="s">
        <v>889</v>
      </c>
      <c r="D5" s="1294" t="s">
        <v>890</v>
      </c>
      <c r="E5" s="1295" t="s">
        <v>891</v>
      </c>
      <c r="F5" s="1294" t="s">
        <v>892</v>
      </c>
      <c r="G5" s="1295" t="s">
        <v>893</v>
      </c>
      <c r="H5" s="1294" t="s">
        <v>894</v>
      </c>
      <c r="I5" s="1329" t="s">
        <v>932</v>
      </c>
      <c r="J5" s="1129" t="s">
        <v>966</v>
      </c>
      <c r="K5" s="1118" t="s">
        <v>967</v>
      </c>
      <c r="L5" s="1296" t="s">
        <v>969</v>
      </c>
    </row>
    <row r="6" spans="1:12">
      <c r="A6" s="1123" t="s">
        <v>222</v>
      </c>
      <c r="B6" s="266">
        <f>34634809953.86</f>
        <v>34634809953.860001</v>
      </c>
      <c r="C6" s="263">
        <f>35204557635.24</f>
        <v>35204557635.239998</v>
      </c>
      <c r="D6" s="263">
        <f>34963238708.48</f>
        <v>34963238708.480003</v>
      </c>
      <c r="E6" s="263">
        <f>541377767.82</f>
        <v>541377767.82000005</v>
      </c>
      <c r="F6" s="263">
        <f>105452980.88</f>
        <v>105452980.88</v>
      </c>
      <c r="G6" s="263">
        <f>27447547.01</f>
        <v>27447547.010000002</v>
      </c>
      <c r="H6" s="263">
        <f>26794022.52</f>
        <v>26794022.52</v>
      </c>
      <c r="I6" s="280">
        <f>620823.4</f>
        <v>620823.4</v>
      </c>
      <c r="J6" s="1130">
        <v>100</v>
      </c>
      <c r="K6" s="1114">
        <v>101.64501460276239</v>
      </c>
      <c r="L6" s="1115"/>
    </row>
    <row r="7" spans="1:12" ht="27">
      <c r="A7" s="1124" t="s">
        <v>223</v>
      </c>
      <c r="B7" s="267">
        <f>B6-B22-B42</f>
        <v>17291129620.400002</v>
      </c>
      <c r="C7" s="253">
        <f>C6-C22-C42</f>
        <v>17991256203.779999</v>
      </c>
      <c r="D7" s="253">
        <f>D6-D22-D42</f>
        <v>17773780686.260006</v>
      </c>
      <c r="E7" s="253">
        <f>E6</f>
        <v>541377767.82000005</v>
      </c>
      <c r="F7" s="253">
        <f>F6</f>
        <v>105452980.88</v>
      </c>
      <c r="G7" s="253">
        <f>G6</f>
        <v>27447547.010000002</v>
      </c>
      <c r="H7" s="253">
        <f>H6</f>
        <v>26794022.52</v>
      </c>
      <c r="I7" s="281">
        <f>I6</f>
        <v>620823.4</v>
      </c>
      <c r="J7" s="1131">
        <v>51.104906331135467</v>
      </c>
      <c r="K7" s="1108">
        <v>104.04905057535392</v>
      </c>
      <c r="L7" s="1109">
        <v>100</v>
      </c>
    </row>
    <row r="8" spans="1:12">
      <c r="A8" s="1125" t="s">
        <v>224</v>
      </c>
      <c r="B8" s="268">
        <f>429220966.13</f>
        <v>429220966.13</v>
      </c>
      <c r="C8" s="256">
        <f>496997352.58</f>
        <v>496997352.57999998</v>
      </c>
      <c r="D8" s="256">
        <f>510113505.39</f>
        <v>510113505.38999999</v>
      </c>
      <c r="E8" s="256">
        <f>0</f>
        <v>0</v>
      </c>
      <c r="F8" s="256">
        <f>0</f>
        <v>0</v>
      </c>
      <c r="G8" s="256">
        <f>0</f>
        <v>0</v>
      </c>
      <c r="H8" s="256">
        <f>0</f>
        <v>0</v>
      </c>
      <c r="I8" s="282">
        <f>0</f>
        <v>0</v>
      </c>
      <c r="J8" s="1132">
        <v>1.4117415072487727</v>
      </c>
      <c r="K8" s="1110">
        <v>115.7905581968874</v>
      </c>
      <c r="L8" s="1111">
        <v>2.7624383030884738</v>
      </c>
    </row>
    <row r="9" spans="1:12">
      <c r="A9" s="1125" t="s">
        <v>225</v>
      </c>
      <c r="B9" s="268">
        <f>6549791216.95</f>
        <v>6549791216.9499998</v>
      </c>
      <c r="C9" s="256">
        <f>7046944313</f>
        <v>7046944313</v>
      </c>
      <c r="D9" s="256">
        <f>6894043279</f>
        <v>6894043279</v>
      </c>
      <c r="E9" s="256">
        <f>0</f>
        <v>0</v>
      </c>
      <c r="F9" s="256">
        <f>0</f>
        <v>0</v>
      </c>
      <c r="G9" s="256">
        <f>0</f>
        <v>0</v>
      </c>
      <c r="H9" s="256">
        <f>0</f>
        <v>0</v>
      </c>
      <c r="I9" s="282">
        <f>0</f>
        <v>0</v>
      </c>
      <c r="J9" s="1132">
        <v>20.017136377665945</v>
      </c>
      <c r="K9" s="1110">
        <v>107.59036554880457</v>
      </c>
      <c r="L9" s="1111">
        <v>39.168717476878705</v>
      </c>
    </row>
    <row r="10" spans="1:12">
      <c r="A10" s="1125" t="s">
        <v>80</v>
      </c>
      <c r="B10" s="268">
        <f>25258622.02</f>
        <v>25258622.02</v>
      </c>
      <c r="C10" s="256">
        <f>25359640.27</f>
        <v>25359640.27</v>
      </c>
      <c r="D10" s="256">
        <f>25291396.63</f>
        <v>25291396.629999999</v>
      </c>
      <c r="E10" s="256">
        <f>1345010.73</f>
        <v>1345010.73</v>
      </c>
      <c r="F10" s="256">
        <f>16122.73</f>
        <v>16122.73</v>
      </c>
      <c r="G10" s="256">
        <f>55168.81</f>
        <v>55168.81</v>
      </c>
      <c r="H10" s="256">
        <f>15901.06</f>
        <v>15901.06</v>
      </c>
      <c r="I10" s="282">
        <f>24.14</f>
        <v>24.14</v>
      </c>
      <c r="J10" s="1132">
        <v>7.2035105604096081E-2</v>
      </c>
      <c r="K10" s="1110">
        <v>100.3999357127242</v>
      </c>
      <c r="L10" s="1111">
        <v>0.14095536177552676</v>
      </c>
    </row>
    <row r="11" spans="1:12">
      <c r="A11" s="1125" t="s">
        <v>81</v>
      </c>
      <c r="B11" s="268">
        <f>4060143438.27</f>
        <v>4060143438.27</v>
      </c>
      <c r="C11" s="1146">
        <f>4108606619.34</f>
        <v>4108606619.3400002</v>
      </c>
      <c r="D11" s="256">
        <f>4082520190.84</f>
        <v>4082520190.8400002</v>
      </c>
      <c r="E11" s="256">
        <f>382759482.99</f>
        <v>382759482.99000001</v>
      </c>
      <c r="F11" s="256">
        <f>95759482.52</f>
        <v>95759482.519999996</v>
      </c>
      <c r="G11" s="256">
        <f>23094933.28</f>
        <v>23094933.280000001</v>
      </c>
      <c r="H11" s="256">
        <f>23087967.1</f>
        <v>23087967.100000001</v>
      </c>
      <c r="I11" s="282">
        <f>438370.39</f>
        <v>438370.39</v>
      </c>
      <c r="J11" s="1132">
        <v>11.670666798060424</v>
      </c>
      <c r="K11" s="1110">
        <v>101.19363224001391</v>
      </c>
      <c r="L11" s="1111">
        <v>22.836685625524989</v>
      </c>
    </row>
    <row r="12" spans="1:12">
      <c r="A12" s="1125" t="s">
        <v>226</v>
      </c>
      <c r="B12" s="268">
        <f>5402226</f>
        <v>5402226</v>
      </c>
      <c r="C12" s="1146">
        <f>5454508.2</f>
        <v>5454508.2000000002</v>
      </c>
      <c r="D12" s="256">
        <f>5454541.94</f>
        <v>5454541.9400000004</v>
      </c>
      <c r="E12" s="256">
        <f>17299.82</f>
        <v>17299.82</v>
      </c>
      <c r="F12" s="256">
        <f>123659.32</f>
        <v>123659.32</v>
      </c>
      <c r="G12" s="256">
        <f>543.51</f>
        <v>543.51</v>
      </c>
      <c r="H12" s="256">
        <f>164.01</f>
        <v>164.01</v>
      </c>
      <c r="I12" s="282">
        <f>0</f>
        <v>0</v>
      </c>
      <c r="J12" s="1132">
        <v>1.5493755827058031E-2</v>
      </c>
      <c r="K12" s="1110">
        <v>100.96778994436738</v>
      </c>
      <c r="L12" s="1111">
        <v>3.0317550582454587E-2</v>
      </c>
    </row>
    <row r="13" spans="1:12">
      <c r="A13" s="1125" t="s">
        <v>227</v>
      </c>
      <c r="B13" s="268">
        <f>156225540.35</f>
        <v>156225540.34999999</v>
      </c>
      <c r="C13" s="1146">
        <f>155075599.83</f>
        <v>155075599.83000001</v>
      </c>
      <c r="D13" s="256">
        <f>154583805.04</f>
        <v>154583805.03999999</v>
      </c>
      <c r="E13" s="256">
        <f>156618288.76</f>
        <v>156618288.75999999</v>
      </c>
      <c r="F13" s="256">
        <f>19690</f>
        <v>19690</v>
      </c>
      <c r="G13" s="256">
        <f>925892.8</f>
        <v>925892.8</v>
      </c>
      <c r="H13" s="256">
        <f>454319.77</f>
        <v>454319.77</v>
      </c>
      <c r="I13" s="282">
        <f>119.55</f>
        <v>119.55</v>
      </c>
      <c r="J13" s="1132">
        <v>0.44049864633086117</v>
      </c>
      <c r="K13" s="1110">
        <v>99.263922840385959</v>
      </c>
      <c r="L13" s="1111">
        <v>0.86194981647484026</v>
      </c>
    </row>
    <row r="14" spans="1:12" ht="27">
      <c r="A14" s="1125" t="s">
        <v>228</v>
      </c>
      <c r="B14" s="268">
        <f>23483814.87</f>
        <v>23483814.870000001</v>
      </c>
      <c r="C14" s="1146">
        <f>34536269.45</f>
        <v>34536269.450000003</v>
      </c>
      <c r="D14" s="256">
        <f>34694493.96</f>
        <v>34694493.960000001</v>
      </c>
      <c r="E14" s="256">
        <f>0</f>
        <v>0</v>
      </c>
      <c r="F14" s="256">
        <f>0</f>
        <v>0</v>
      </c>
      <c r="G14" s="256">
        <f>37552.61</f>
        <v>37552.61</v>
      </c>
      <c r="H14" s="256">
        <f>41880.22</f>
        <v>41880.22</v>
      </c>
      <c r="I14" s="282">
        <f>0</f>
        <v>0</v>
      </c>
      <c r="J14" s="1132">
        <v>9.8101699807836715E-2</v>
      </c>
      <c r="K14" s="1110">
        <v>147.06413604937435</v>
      </c>
      <c r="L14" s="1111">
        <v>0.19196141202604777</v>
      </c>
    </row>
    <row r="15" spans="1:12">
      <c r="A15" s="1125" t="s">
        <v>229</v>
      </c>
      <c r="B15" s="268">
        <f>40457307.17</f>
        <v>40457307.170000002</v>
      </c>
      <c r="C15" s="1146">
        <f>50934310.65</f>
        <v>50934310.649999999</v>
      </c>
      <c r="D15" s="256">
        <f>51022518.88</f>
        <v>51022518.880000003</v>
      </c>
      <c r="E15" s="256">
        <f>0</f>
        <v>0</v>
      </c>
      <c r="F15" s="256">
        <f>0</f>
        <v>0</v>
      </c>
      <c r="G15" s="256">
        <f>899468.11</f>
        <v>899468.11</v>
      </c>
      <c r="H15" s="256">
        <f>1172585.41</f>
        <v>1172585.4099999999</v>
      </c>
      <c r="I15" s="282">
        <f>0</f>
        <v>0</v>
      </c>
      <c r="J15" s="1132">
        <v>0.14468101311693352</v>
      </c>
      <c r="K15" s="1110">
        <v>125.89644297376502</v>
      </c>
      <c r="L15" s="1111">
        <v>0.28310591585760753</v>
      </c>
    </row>
    <row r="16" spans="1:12">
      <c r="A16" s="1125" t="s">
        <v>86</v>
      </c>
      <c r="B16" s="268">
        <f>410471865.71</f>
        <v>410471865.70999998</v>
      </c>
      <c r="C16" s="1146">
        <f>513059961.66</f>
        <v>513059961.66000003</v>
      </c>
      <c r="D16" s="256">
        <f>510687210.3</f>
        <v>510687210.30000001</v>
      </c>
      <c r="E16" s="256">
        <f>0</f>
        <v>0</v>
      </c>
      <c r="F16" s="256">
        <f>0</f>
        <v>0</v>
      </c>
      <c r="G16" s="256">
        <f>16314.69</f>
        <v>16314.69</v>
      </c>
      <c r="H16" s="256">
        <f>111904.98</f>
        <v>111904.98</v>
      </c>
      <c r="I16" s="282">
        <f>0</f>
        <v>0</v>
      </c>
      <c r="J16" s="1132">
        <v>1.4573680117668162</v>
      </c>
      <c r="K16" s="1110">
        <v>124.99272289284715</v>
      </c>
      <c r="L16" s="1111">
        <v>2.8517183894707978</v>
      </c>
    </row>
    <row r="17" spans="1:12">
      <c r="A17" s="1125" t="s">
        <v>230</v>
      </c>
      <c r="B17" s="268">
        <f>74062570.02</f>
        <v>74062570.019999996</v>
      </c>
      <c r="C17" s="1146">
        <f>78213265.57</f>
        <v>78213265.569999993</v>
      </c>
      <c r="D17" s="256">
        <f>78061662.09</f>
        <v>78061662.090000004</v>
      </c>
      <c r="E17" s="256">
        <f>0</f>
        <v>0</v>
      </c>
      <c r="F17" s="256">
        <f>0</f>
        <v>0</v>
      </c>
      <c r="G17" s="256">
        <f>278</f>
        <v>278</v>
      </c>
      <c r="H17" s="256">
        <f>2453.08</f>
        <v>2453.08</v>
      </c>
      <c r="I17" s="282">
        <f>0</f>
        <v>0</v>
      </c>
      <c r="J17" s="1132">
        <v>0.22216801125689473</v>
      </c>
      <c r="K17" s="1110">
        <v>105.60430936825327</v>
      </c>
      <c r="L17" s="1111">
        <v>0.43472931897644385</v>
      </c>
    </row>
    <row r="18" spans="1:12">
      <c r="A18" s="1125" t="s">
        <v>88</v>
      </c>
      <c r="B18" s="268">
        <f>10342731.4</f>
        <v>10342731.4</v>
      </c>
      <c r="C18" s="1146">
        <f>10228999.78</f>
        <v>10228999.779999999</v>
      </c>
      <c r="D18" s="256">
        <f>10228999.78</f>
        <v>10228999.779999999</v>
      </c>
      <c r="E18" s="256">
        <f>0</f>
        <v>0</v>
      </c>
      <c r="F18" s="256">
        <f>0</f>
        <v>0</v>
      </c>
      <c r="G18" s="256">
        <f>0</f>
        <v>0</v>
      </c>
      <c r="H18" s="256">
        <f>0</f>
        <v>0</v>
      </c>
      <c r="I18" s="282">
        <f>0</f>
        <v>0</v>
      </c>
      <c r="J18" s="1132">
        <v>2.9055896358603017E-2</v>
      </c>
      <c r="K18" s="1110">
        <v>98.900371520815071</v>
      </c>
      <c r="L18" s="1111">
        <v>5.6855394999326757E-2</v>
      </c>
    </row>
    <row r="19" spans="1:12">
      <c r="A19" s="1125" t="s">
        <v>89</v>
      </c>
      <c r="B19" s="268">
        <f>825360.18</f>
        <v>825360.18</v>
      </c>
      <c r="C19" s="1146">
        <f>593132.89</f>
        <v>593132.89</v>
      </c>
      <c r="D19" s="256">
        <f>597930.89</f>
        <v>597930.89</v>
      </c>
      <c r="E19" s="256">
        <f>0</f>
        <v>0</v>
      </c>
      <c r="F19" s="256">
        <f>0</f>
        <v>0</v>
      </c>
      <c r="G19" s="256">
        <f>3300</f>
        <v>3300</v>
      </c>
      <c r="H19" s="256">
        <f>1000</f>
        <v>1000</v>
      </c>
      <c r="I19" s="282">
        <f>0</f>
        <v>0</v>
      </c>
      <c r="J19" s="1132">
        <v>1.6848184719306628E-3</v>
      </c>
      <c r="K19" s="1110">
        <v>71.863521450719844</v>
      </c>
      <c r="L19" s="1111">
        <v>3.2967841893963004E-3</v>
      </c>
    </row>
    <row r="20" spans="1:12">
      <c r="A20" s="1125" t="s">
        <v>90</v>
      </c>
      <c r="B20" s="268">
        <f>1690054904.75</f>
        <v>1690054904.75</v>
      </c>
      <c r="C20" s="1146">
        <f>1708874623.78</f>
        <v>1708874623.78</v>
      </c>
      <c r="D20" s="256">
        <f>1687080286.93</f>
        <v>1687080286.9300001</v>
      </c>
      <c r="E20" s="256">
        <f>0</f>
        <v>0</v>
      </c>
      <c r="F20" s="256">
        <f>21998.24</f>
        <v>21998.240000000002</v>
      </c>
      <c r="G20" s="256">
        <f>0</f>
        <v>0</v>
      </c>
      <c r="H20" s="256">
        <f>0</f>
        <v>0</v>
      </c>
      <c r="I20" s="282">
        <f>0</f>
        <v>0</v>
      </c>
      <c r="J20" s="1132">
        <v>4.8541289496829387</v>
      </c>
      <c r="K20" s="1110">
        <v>101.11355666476314</v>
      </c>
      <c r="L20" s="1111">
        <v>9.4983618954909996</v>
      </c>
    </row>
    <row r="21" spans="1:12">
      <c r="A21" s="1125" t="s">
        <v>231</v>
      </c>
      <c r="B21" s="268">
        <f>B7-B8-B9-B10-B11-B12-B13-B14-B15-B16-B17-B18-B19-B20</f>
        <v>3815389056.5800018</v>
      </c>
      <c r="C21" s="256">
        <f t="shared" ref="C21:I21" si="0">C7-C8-C9-C10-C11-C12-C13-C14-C15-C16-C17-C18-C19-C20</f>
        <v>3756377606.7799978</v>
      </c>
      <c r="D21" s="256">
        <f t="shared" si="0"/>
        <v>3729400864.5900068</v>
      </c>
      <c r="E21" s="256">
        <f t="shared" si="0"/>
        <v>637685.52000004053</v>
      </c>
      <c r="F21" s="256">
        <f t="shared" si="0"/>
        <v>9512028.0699999947</v>
      </c>
      <c r="G21" s="256">
        <f t="shared" si="0"/>
        <v>2414095.2000000025</v>
      </c>
      <c r="H21" s="256">
        <f t="shared" si="0"/>
        <v>1905846.8899999994</v>
      </c>
      <c r="I21" s="282">
        <f t="shared" si="0"/>
        <v>182309.32</v>
      </c>
      <c r="J21" s="1132">
        <v>10.67014573993635</v>
      </c>
      <c r="K21" s="1110">
        <v>98.453330737052013</v>
      </c>
      <c r="L21" s="1113">
        <v>20.878906754664385</v>
      </c>
    </row>
    <row r="22" spans="1:12">
      <c r="A22" s="1124" t="s">
        <v>1100</v>
      </c>
      <c r="B22" s="267">
        <f>B23+B38+B40</f>
        <v>11271499496.459999</v>
      </c>
      <c r="C22" s="253">
        <f>C23+C38+C40</f>
        <v>10859585699.460001</v>
      </c>
      <c r="D22" s="253">
        <f>D23+D38+D40</f>
        <v>10856696330.219997</v>
      </c>
      <c r="E22" s="256" t="s">
        <v>232</v>
      </c>
      <c r="F22" s="256" t="s">
        <v>232</v>
      </c>
      <c r="G22" s="256" t="s">
        <v>232</v>
      </c>
      <c r="H22" s="256" t="s">
        <v>232</v>
      </c>
      <c r="I22" s="282" t="s">
        <v>232</v>
      </c>
      <c r="J22" s="1131">
        <v>30.84710170761948</v>
      </c>
      <c r="K22" s="1109">
        <v>96.345527965206699</v>
      </c>
      <c r="L22" s="1331"/>
    </row>
    <row r="23" spans="1:12" ht="27">
      <c r="A23" s="1124" t="s">
        <v>233</v>
      </c>
      <c r="B23" s="267">
        <f>B24+B26+B28+B30+B32+B34+B36</f>
        <v>9812088664.5499992</v>
      </c>
      <c r="C23" s="253">
        <f>C24+C26+C28+C30+C32+C34+C36</f>
        <v>9844090211.8500004</v>
      </c>
      <c r="D23" s="253">
        <f>D24+D26+D28+D30+D32+D34+D36</f>
        <v>9838447900.7399979</v>
      </c>
      <c r="E23" s="256" t="s">
        <v>232</v>
      </c>
      <c r="F23" s="256" t="s">
        <v>232</v>
      </c>
      <c r="G23" s="256" t="s">
        <v>232</v>
      </c>
      <c r="H23" s="256" t="s">
        <v>232</v>
      </c>
      <c r="I23" s="282" t="s">
        <v>232</v>
      </c>
      <c r="J23" s="1131">
        <v>27.962544832536114</v>
      </c>
      <c r="K23" s="1449">
        <v>100.32614409015298</v>
      </c>
      <c r="L23" s="1454"/>
    </row>
    <row r="24" spans="1:12">
      <c r="A24" s="1125" t="s">
        <v>234</v>
      </c>
      <c r="B24" s="268">
        <f>8223493417.01</f>
        <v>8223493417.0100002</v>
      </c>
      <c r="C24" s="256">
        <f>8187511624.48</f>
        <v>8187511624.4799995</v>
      </c>
      <c r="D24" s="256">
        <f>8189372380.2</f>
        <v>8189372380.1999998</v>
      </c>
      <c r="E24" s="256" t="s">
        <v>232</v>
      </c>
      <c r="F24" s="256" t="s">
        <v>232</v>
      </c>
      <c r="G24" s="256" t="s">
        <v>232</v>
      </c>
      <c r="H24" s="256" t="s">
        <v>232</v>
      </c>
      <c r="I24" s="282" t="s">
        <v>232</v>
      </c>
      <c r="J24" s="1132">
        <v>23.256964934234102</v>
      </c>
      <c r="K24" s="1450">
        <v>99.562451251489136</v>
      </c>
      <c r="L24" s="1454"/>
    </row>
    <row r="25" spans="1:12">
      <c r="A25" s="1144" t="s">
        <v>235</v>
      </c>
      <c r="B25" s="268">
        <f>2416850</f>
        <v>2416850</v>
      </c>
      <c r="C25" s="256">
        <f>1741952.43</f>
        <v>1741952.43</v>
      </c>
      <c r="D25" s="256">
        <f>1825915.6</f>
        <v>1825915.6</v>
      </c>
      <c r="E25" s="256" t="s">
        <v>232</v>
      </c>
      <c r="F25" s="256" t="s">
        <v>232</v>
      </c>
      <c r="G25" s="256" t="s">
        <v>232</v>
      </c>
      <c r="H25" s="256" t="s">
        <v>232</v>
      </c>
      <c r="I25" s="282" t="s">
        <v>232</v>
      </c>
      <c r="J25" s="1132">
        <v>4.9480878244477474E-3</v>
      </c>
      <c r="K25" s="1450">
        <v>72.075322423816118</v>
      </c>
      <c r="L25" s="1454"/>
    </row>
    <row r="26" spans="1:12">
      <c r="A26" s="1125" t="s">
        <v>236</v>
      </c>
      <c r="B26" s="268">
        <f>850058808.14</f>
        <v>850058808.13999999</v>
      </c>
      <c r="C26" s="256">
        <f>805071406.53</f>
        <v>805071406.52999997</v>
      </c>
      <c r="D26" s="256">
        <f>808639043.45</f>
        <v>808639043.45000005</v>
      </c>
      <c r="E26" s="256" t="s">
        <v>232</v>
      </c>
      <c r="F26" s="256" t="s">
        <v>232</v>
      </c>
      <c r="G26" s="256" t="s">
        <v>232</v>
      </c>
      <c r="H26" s="256" t="s">
        <v>232</v>
      </c>
      <c r="I26" s="282" t="s">
        <v>232</v>
      </c>
      <c r="J26" s="1132">
        <v>2.2868385817298784</v>
      </c>
      <c r="K26" s="1450">
        <v>94.707730667665658</v>
      </c>
      <c r="L26" s="1454"/>
    </row>
    <row r="27" spans="1:12">
      <c r="A27" s="1144" t="s">
        <v>235</v>
      </c>
      <c r="B27" s="268">
        <f>70366410.52</f>
        <v>70366410.519999996</v>
      </c>
      <c r="C27" s="256">
        <f>43957977.99</f>
        <v>43957977.990000002</v>
      </c>
      <c r="D27" s="256">
        <f>44386711.12</f>
        <v>44386711.119999997</v>
      </c>
      <c r="E27" s="256" t="s">
        <v>232</v>
      </c>
      <c r="F27" s="256" t="s">
        <v>232</v>
      </c>
      <c r="G27" s="256" t="s">
        <v>232</v>
      </c>
      <c r="H27" s="256" t="s">
        <v>232</v>
      </c>
      <c r="I27" s="282" t="s">
        <v>232</v>
      </c>
      <c r="J27" s="1132">
        <v>0.12486445205605359</v>
      </c>
      <c r="K27" s="1450">
        <v>62.470115592305191</v>
      </c>
      <c r="L27" s="1454"/>
    </row>
    <row r="28" spans="1:12" ht="27">
      <c r="A28" s="1125" t="s">
        <v>363</v>
      </c>
      <c r="B28" s="268">
        <f>9060113.56</f>
        <v>9060113.5600000005</v>
      </c>
      <c r="C28" s="256">
        <f>8390033.79</f>
        <v>8390033.7899999991</v>
      </c>
      <c r="D28" s="256">
        <f>8439368.73</f>
        <v>8439368.7300000004</v>
      </c>
      <c r="E28" s="256" t="s">
        <v>232</v>
      </c>
      <c r="F28" s="256" t="s">
        <v>232</v>
      </c>
      <c r="G28" s="256" t="s">
        <v>232</v>
      </c>
      <c r="H28" s="256" t="s">
        <v>232</v>
      </c>
      <c r="I28" s="282" t="s">
        <v>232</v>
      </c>
      <c r="J28" s="1132">
        <v>2.3832237510070339E-2</v>
      </c>
      <c r="K28" s="1450">
        <v>92.604068750767382</v>
      </c>
      <c r="L28" s="1454"/>
    </row>
    <row r="29" spans="1:12">
      <c r="A29" s="1144" t="s">
        <v>235</v>
      </c>
      <c r="B29" s="268">
        <f>2155917.14</f>
        <v>2155917.14</v>
      </c>
      <c r="C29" s="256">
        <f>1948380.73</f>
        <v>1948380.73</v>
      </c>
      <c r="D29" s="256">
        <f>1948380.73</f>
        <v>1948380.73</v>
      </c>
      <c r="E29" s="256" t="s">
        <v>232</v>
      </c>
      <c r="F29" s="256" t="s">
        <v>232</v>
      </c>
      <c r="G29" s="256" t="s">
        <v>232</v>
      </c>
      <c r="H29" s="256" t="s">
        <v>232</v>
      </c>
      <c r="I29" s="282" t="s">
        <v>232</v>
      </c>
      <c r="J29" s="1132">
        <v>5.5344559366076454E-3</v>
      </c>
      <c r="K29" s="1450">
        <v>90.373636994230679</v>
      </c>
      <c r="L29" s="1454"/>
    </row>
    <row r="30" spans="1:12" ht="27">
      <c r="A30" s="1125" t="s">
        <v>362</v>
      </c>
      <c r="B30" s="268">
        <f>186207985.46</f>
        <v>186207985.46000001</v>
      </c>
      <c r="C30" s="256">
        <f>186096183.35</f>
        <v>186096183.34999999</v>
      </c>
      <c r="D30" s="256">
        <f>185746206.16</f>
        <v>185746206.16</v>
      </c>
      <c r="E30" s="256" t="s">
        <v>232</v>
      </c>
      <c r="F30" s="256" t="s">
        <v>232</v>
      </c>
      <c r="G30" s="256" t="s">
        <v>232</v>
      </c>
      <c r="H30" s="256" t="s">
        <v>232</v>
      </c>
      <c r="I30" s="282" t="s">
        <v>232</v>
      </c>
      <c r="J30" s="1132">
        <v>0.52861389504782885</v>
      </c>
      <c r="K30" s="1450">
        <v>99.939958477224366</v>
      </c>
      <c r="L30" s="1454"/>
    </row>
    <row r="31" spans="1:12">
      <c r="A31" s="1144" t="s">
        <v>235</v>
      </c>
      <c r="B31" s="268">
        <f>27654279.01</f>
        <v>27654279.010000002</v>
      </c>
      <c r="C31" s="256">
        <f>20967650.25</f>
        <v>20967650.25</v>
      </c>
      <c r="D31" s="256">
        <f>20867650.25</f>
        <v>20867650.25</v>
      </c>
      <c r="E31" s="256" t="s">
        <v>232</v>
      </c>
      <c r="F31" s="256" t="s">
        <v>232</v>
      </c>
      <c r="G31" s="256" t="s">
        <v>232</v>
      </c>
      <c r="H31" s="256" t="s">
        <v>232</v>
      </c>
      <c r="I31" s="282" t="s">
        <v>232</v>
      </c>
      <c r="J31" s="1132">
        <v>5.9559476552011104E-2</v>
      </c>
      <c r="K31" s="1450">
        <v>75.820636084628845</v>
      </c>
      <c r="L31" s="1454"/>
    </row>
    <row r="32" spans="1:12" ht="27">
      <c r="A32" s="1125" t="s">
        <v>237</v>
      </c>
      <c r="B32" s="268">
        <f>64873172.08</f>
        <v>64873172.079999998</v>
      </c>
      <c r="C32" s="256">
        <f>53781023.38</f>
        <v>53781023.380000003</v>
      </c>
      <c r="D32" s="256">
        <f>53641604.56</f>
        <v>53641604.560000002</v>
      </c>
      <c r="E32" s="256" t="s">
        <v>232</v>
      </c>
      <c r="F32" s="256" t="s">
        <v>232</v>
      </c>
      <c r="G32" s="256" t="s">
        <v>232</v>
      </c>
      <c r="H32" s="256" t="s">
        <v>232</v>
      </c>
      <c r="I32" s="282" t="s">
        <v>232</v>
      </c>
      <c r="J32" s="1132">
        <v>0.1527672182029205</v>
      </c>
      <c r="K32" s="1450">
        <v>82.901793847352749</v>
      </c>
      <c r="L32" s="1454"/>
    </row>
    <row r="33" spans="1:13">
      <c r="A33" s="1144" t="s">
        <v>235</v>
      </c>
      <c r="B33" s="268">
        <f>58821974.93</f>
        <v>58821974.93</v>
      </c>
      <c r="C33" s="256">
        <f>47785480.96</f>
        <v>47785480.960000001</v>
      </c>
      <c r="D33" s="256">
        <f>47621738.82</f>
        <v>47621738.82</v>
      </c>
      <c r="E33" s="256" t="s">
        <v>232</v>
      </c>
      <c r="F33" s="256" t="s">
        <v>232</v>
      </c>
      <c r="G33" s="256" t="s">
        <v>232</v>
      </c>
      <c r="H33" s="256" t="s">
        <v>232</v>
      </c>
      <c r="I33" s="282" t="s">
        <v>232</v>
      </c>
      <c r="J33" s="1132">
        <v>0.13573663232787339</v>
      </c>
      <c r="K33" s="1450">
        <v>81.237464428670108</v>
      </c>
      <c r="L33" s="1454"/>
    </row>
    <row r="34" spans="1:13">
      <c r="A34" s="1125" t="s">
        <v>238</v>
      </c>
      <c r="B34" s="268">
        <f>44936595.12</f>
        <v>44936595.119999997</v>
      </c>
      <c r="C34" s="256">
        <f>34834288.72</f>
        <v>34834288.719999999</v>
      </c>
      <c r="D34" s="256">
        <f>34692491.57</f>
        <v>34692491.57</v>
      </c>
      <c r="E34" s="256" t="s">
        <v>232</v>
      </c>
      <c r="F34" s="256" t="s">
        <v>232</v>
      </c>
      <c r="G34" s="256" t="s">
        <v>232</v>
      </c>
      <c r="H34" s="256" t="s">
        <v>232</v>
      </c>
      <c r="I34" s="282" t="s">
        <v>232</v>
      </c>
      <c r="J34" s="1132">
        <v>9.8948235853219879E-2</v>
      </c>
      <c r="K34" s="1450">
        <v>77.518754206849664</v>
      </c>
      <c r="L34" s="1454"/>
    </row>
    <row r="35" spans="1:13">
      <c r="A35" s="1144" t="s">
        <v>235</v>
      </c>
      <c r="B35" s="268">
        <f>40256240.68</f>
        <v>40256240.68</v>
      </c>
      <c r="C35" s="256">
        <f>30440655.99</f>
        <v>30440655.989999998</v>
      </c>
      <c r="D35" s="256">
        <f>30263655.99</f>
        <v>30263655.989999998</v>
      </c>
      <c r="E35" s="256" t="s">
        <v>232</v>
      </c>
      <c r="F35" s="256" t="s">
        <v>232</v>
      </c>
      <c r="G35" s="256" t="s">
        <v>232</v>
      </c>
      <c r="H35" s="256" t="s">
        <v>232</v>
      </c>
      <c r="I35" s="282" t="s">
        <v>232</v>
      </c>
      <c r="J35" s="1132">
        <v>8.6467940615531841E-2</v>
      </c>
      <c r="K35" s="1450">
        <v>75.617234684120533</v>
      </c>
      <c r="L35" s="1454"/>
    </row>
    <row r="36" spans="1:13" ht="40.5">
      <c r="A36" s="1125" t="s">
        <v>1101</v>
      </c>
      <c r="B36" s="268">
        <f>433458573.18</f>
        <v>433458573.18000001</v>
      </c>
      <c r="C36" s="256">
        <f>568405651.6</f>
        <v>568405651.60000002</v>
      </c>
      <c r="D36" s="256">
        <f>557916806.07</f>
        <v>557916806.07000005</v>
      </c>
      <c r="E36" s="256" t="s">
        <v>232</v>
      </c>
      <c r="F36" s="256" t="s">
        <v>232</v>
      </c>
      <c r="G36" s="256" t="s">
        <v>232</v>
      </c>
      <c r="H36" s="256" t="s">
        <v>232</v>
      </c>
      <c r="I36" s="282" t="s">
        <v>232</v>
      </c>
      <c r="J36" s="1132">
        <v>1.6145797299580953</v>
      </c>
      <c r="K36" s="1450">
        <v>131.13263568187892</v>
      </c>
      <c r="L36" s="1454"/>
    </row>
    <row r="37" spans="1:13">
      <c r="A37" s="1144" t="s">
        <v>235</v>
      </c>
      <c r="B37" s="268">
        <f>312822000.26</f>
        <v>312822000.25999999</v>
      </c>
      <c r="C37" s="256">
        <f>422404539.59</f>
        <v>422404539.58999997</v>
      </c>
      <c r="D37" s="256">
        <f>411579417.72</f>
        <v>411579417.72000003</v>
      </c>
      <c r="E37" s="256" t="s">
        <v>232</v>
      </c>
      <c r="F37" s="256" t="s">
        <v>232</v>
      </c>
      <c r="G37" s="256" t="s">
        <v>232</v>
      </c>
      <c r="H37" s="256" t="s">
        <v>232</v>
      </c>
      <c r="I37" s="282" t="s">
        <v>232</v>
      </c>
      <c r="J37" s="1132">
        <v>1.199857541079199</v>
      </c>
      <c r="K37" s="1450">
        <v>135.03031731749084</v>
      </c>
      <c r="L37" s="1454"/>
    </row>
    <row r="38" spans="1:13">
      <c r="A38" s="1124" t="s">
        <v>239</v>
      </c>
      <c r="B38" s="267">
        <f>201218564.23</f>
        <v>201218564.22999999</v>
      </c>
      <c r="C38" s="253">
        <f>162827192.17</f>
        <v>162827192.16999999</v>
      </c>
      <c r="D38" s="253">
        <f>168494901.27</f>
        <v>168494901.27000001</v>
      </c>
      <c r="E38" s="256" t="s">
        <v>232</v>
      </c>
      <c r="F38" s="256" t="s">
        <v>232</v>
      </c>
      <c r="G38" s="256" t="s">
        <v>232</v>
      </c>
      <c r="H38" s="256" t="s">
        <v>232</v>
      </c>
      <c r="I38" s="282" t="s">
        <v>232</v>
      </c>
      <c r="J38" s="1131">
        <v>0.46251736453296283</v>
      </c>
      <c r="K38" s="1449">
        <v>80.920561575960107</v>
      </c>
      <c r="L38" s="1454"/>
    </row>
    <row r="39" spans="1:13">
      <c r="A39" s="1144" t="s">
        <v>240</v>
      </c>
      <c r="B39" s="268">
        <f>173103938.74</f>
        <v>173103938.74000001</v>
      </c>
      <c r="C39" s="256">
        <f>124017022.32</f>
        <v>124017022.31999999</v>
      </c>
      <c r="D39" s="256">
        <f>127251812.04</f>
        <v>127251812.04000001</v>
      </c>
      <c r="E39" s="256" t="s">
        <v>232</v>
      </c>
      <c r="F39" s="256" t="s">
        <v>232</v>
      </c>
      <c r="G39" s="256" t="s">
        <v>232</v>
      </c>
      <c r="H39" s="256" t="s">
        <v>232</v>
      </c>
      <c r="I39" s="282" t="s">
        <v>232</v>
      </c>
      <c r="J39" s="1132">
        <v>0.35227547411605059</v>
      </c>
      <c r="K39" s="1450">
        <v>71.643096756031667</v>
      </c>
      <c r="L39" s="1454"/>
    </row>
    <row r="40" spans="1:13">
      <c r="A40" s="1124" t="s">
        <v>241</v>
      </c>
      <c r="B40" s="268">
        <f>1258192267.68</f>
        <v>1258192267.6800001</v>
      </c>
      <c r="C40" s="256">
        <f>852668295.440001</f>
        <v>852668295.44000101</v>
      </c>
      <c r="D40" s="256">
        <f>849753528.21</f>
        <v>849753528.21000004</v>
      </c>
      <c r="E40" s="256" t="s">
        <v>232</v>
      </c>
      <c r="F40" s="256" t="s">
        <v>232</v>
      </c>
      <c r="G40" s="256" t="s">
        <v>232</v>
      </c>
      <c r="H40" s="256" t="s">
        <v>232</v>
      </c>
      <c r="I40" s="282" t="s">
        <v>232</v>
      </c>
      <c r="J40" s="1132">
        <v>2.4220395105504022</v>
      </c>
      <c r="K40" s="1450">
        <v>67.769316132601034</v>
      </c>
      <c r="L40" s="1454"/>
    </row>
    <row r="41" spans="1:13">
      <c r="A41" s="1144" t="s">
        <v>242</v>
      </c>
      <c r="B41" s="268">
        <f>1106656990.44</f>
        <v>1106656990.4400001</v>
      </c>
      <c r="C41" s="256">
        <f>732757069.21</f>
        <v>732757069.21000004</v>
      </c>
      <c r="D41" s="256">
        <f>730004735.72</f>
        <v>730004735.72000003</v>
      </c>
      <c r="E41" s="256" t="s">
        <v>232</v>
      </c>
      <c r="F41" s="256" t="s">
        <v>232</v>
      </c>
      <c r="G41" s="256" t="s">
        <v>232</v>
      </c>
      <c r="H41" s="256" t="s">
        <v>232</v>
      </c>
      <c r="I41" s="282" t="s">
        <v>232</v>
      </c>
      <c r="J41" s="1132">
        <v>2.0814267198077365</v>
      </c>
      <c r="K41" s="1450">
        <v>66.213567125136066</v>
      </c>
      <c r="L41" s="1454"/>
    </row>
    <row r="42" spans="1:13" ht="27">
      <c r="A42" s="1124" t="s">
        <v>243</v>
      </c>
      <c r="B42" s="267">
        <f>B43+B44+B45+B46+B47</f>
        <v>6072180837</v>
      </c>
      <c r="C42" s="253">
        <f>C43+C44+C45+C46+C47</f>
        <v>6353715732</v>
      </c>
      <c r="D42" s="253">
        <f>D43+D44+D45+D46+D47</f>
        <v>6332761692</v>
      </c>
      <c r="E42" s="256" t="s">
        <v>232</v>
      </c>
      <c r="F42" s="256" t="s">
        <v>232</v>
      </c>
      <c r="G42" s="256" t="s">
        <v>232</v>
      </c>
      <c r="H42" s="256" t="s">
        <v>232</v>
      </c>
      <c r="I42" s="282" t="s">
        <v>232</v>
      </c>
      <c r="J42" s="1131">
        <v>18.047991961245064</v>
      </c>
      <c r="K42" s="1449">
        <v>104.63647085878118</v>
      </c>
      <c r="L42" s="1454"/>
    </row>
    <row r="43" spans="1:13">
      <c r="A43" s="1125" t="s">
        <v>244</v>
      </c>
      <c r="B43" s="268">
        <f>568265707</f>
        <v>568265707</v>
      </c>
      <c r="C43" s="256">
        <f>568265707</f>
        <v>568265707</v>
      </c>
      <c r="D43" s="256">
        <f>568265707</f>
        <v>568265707</v>
      </c>
      <c r="E43" s="256" t="s">
        <v>232</v>
      </c>
      <c r="F43" s="256" t="s">
        <v>232</v>
      </c>
      <c r="G43" s="256" t="s">
        <v>232</v>
      </c>
      <c r="H43" s="256" t="s">
        <v>232</v>
      </c>
      <c r="I43" s="282" t="s">
        <v>232</v>
      </c>
      <c r="J43" s="1132">
        <v>1.6141822115417301</v>
      </c>
      <c r="K43" s="1450">
        <v>100</v>
      </c>
      <c r="L43" s="1454"/>
    </row>
    <row r="44" spans="1:13">
      <c r="A44" s="1125" t="s">
        <v>245</v>
      </c>
      <c r="B44" s="268">
        <f>4581652251</f>
        <v>4581652251</v>
      </c>
      <c r="C44" s="256">
        <f>4580953951</f>
        <v>4580953951</v>
      </c>
      <c r="D44" s="256">
        <f>4559999911</f>
        <v>4559999911</v>
      </c>
      <c r="E44" s="256" t="s">
        <v>232</v>
      </c>
      <c r="F44" s="256" t="s">
        <v>232</v>
      </c>
      <c r="G44" s="256" t="s">
        <v>232</v>
      </c>
      <c r="H44" s="256" t="s">
        <v>232</v>
      </c>
      <c r="I44" s="282" t="s">
        <v>232</v>
      </c>
      <c r="J44" s="1132">
        <v>13.012388902777845</v>
      </c>
      <c r="K44" s="1450">
        <v>99.984758773434905</v>
      </c>
      <c r="L44" s="1454"/>
    </row>
    <row r="45" spans="1:13">
      <c r="A45" s="1125" t="s">
        <v>246</v>
      </c>
      <c r="B45" s="268">
        <f>0</f>
        <v>0</v>
      </c>
      <c r="C45" s="256">
        <f>0</f>
        <v>0</v>
      </c>
      <c r="D45" s="256">
        <f>0</f>
        <v>0</v>
      </c>
      <c r="E45" s="256" t="s">
        <v>232</v>
      </c>
      <c r="F45" s="256" t="s">
        <v>232</v>
      </c>
      <c r="G45" s="256" t="s">
        <v>232</v>
      </c>
      <c r="H45" s="256" t="s">
        <v>232</v>
      </c>
      <c r="I45" s="282" t="s">
        <v>232</v>
      </c>
      <c r="J45" s="1132">
        <v>0</v>
      </c>
      <c r="K45" s="1450" t="s">
        <v>273</v>
      </c>
      <c r="L45" s="1454"/>
    </row>
    <row r="46" spans="1:13">
      <c r="A46" s="1125" t="s">
        <v>247</v>
      </c>
      <c r="B46" s="268">
        <f>44494981</f>
        <v>44494981</v>
      </c>
      <c r="C46" s="256">
        <f>44494981</f>
        <v>44494981</v>
      </c>
      <c r="D46" s="256">
        <f>44494981</f>
        <v>44494981</v>
      </c>
      <c r="E46" s="256" t="s">
        <v>232</v>
      </c>
      <c r="F46" s="256" t="s">
        <v>232</v>
      </c>
      <c r="G46" s="256" t="s">
        <v>232</v>
      </c>
      <c r="H46" s="256" t="s">
        <v>232</v>
      </c>
      <c r="I46" s="282" t="s">
        <v>232</v>
      </c>
      <c r="J46" s="1132">
        <v>0.12638983128553852</v>
      </c>
      <c r="K46" s="1450">
        <v>100</v>
      </c>
      <c r="L46" s="1454"/>
    </row>
    <row r="47" spans="1:13">
      <c r="A47" s="1347" t="s">
        <v>249</v>
      </c>
      <c r="B47" s="1478">
        <f>877767898</f>
        <v>877767898</v>
      </c>
      <c r="C47" s="1333">
        <f>1160001093</f>
        <v>1160001093</v>
      </c>
      <c r="D47" s="1333">
        <f>1160001093</f>
        <v>1160001093</v>
      </c>
      <c r="E47" s="1333" t="s">
        <v>232</v>
      </c>
      <c r="F47" s="1333" t="s">
        <v>232</v>
      </c>
      <c r="G47" s="1333" t="s">
        <v>232</v>
      </c>
      <c r="H47" s="1333" t="s">
        <v>232</v>
      </c>
      <c r="I47" s="1442" t="s">
        <v>232</v>
      </c>
      <c r="J47" s="1479">
        <v>3.2950310156399496</v>
      </c>
      <c r="K47" s="1480">
        <v>132.1535106994765</v>
      </c>
      <c r="L47" s="1454"/>
      <c r="M47" s="1107"/>
    </row>
    <row r="48" spans="1:13">
      <c r="A48" s="1485"/>
      <c r="B48" s="1486"/>
      <c r="C48" s="1487"/>
      <c r="D48" s="1487"/>
      <c r="E48" s="1488"/>
      <c r="F48" s="1488"/>
      <c r="G48" s="1488"/>
      <c r="H48" s="1488"/>
      <c r="I48" s="1488"/>
      <c r="J48" s="1489"/>
      <c r="K48" s="1489"/>
      <c r="L48" s="1443"/>
      <c r="M48" s="1107"/>
    </row>
    <row r="49" spans="1:12">
      <c r="A49" s="1481" t="s">
        <v>222</v>
      </c>
      <c r="B49" s="1471">
        <f t="shared" ref="B49:I49" si="1">+B6</f>
        <v>34634809953.860001</v>
      </c>
      <c r="C49" s="1463">
        <f t="shared" si="1"/>
        <v>35204557635.239998</v>
      </c>
      <c r="D49" s="1463">
        <f t="shared" si="1"/>
        <v>34963238708.480003</v>
      </c>
      <c r="E49" s="1463">
        <f t="shared" si="1"/>
        <v>541377767.82000005</v>
      </c>
      <c r="F49" s="1463">
        <f t="shared" si="1"/>
        <v>105452980.88</v>
      </c>
      <c r="G49" s="1463">
        <f t="shared" si="1"/>
        <v>27447547.010000002</v>
      </c>
      <c r="H49" s="1463">
        <f t="shared" si="1"/>
        <v>26794022.52</v>
      </c>
      <c r="I49" s="1464">
        <f t="shared" si="1"/>
        <v>620823.4</v>
      </c>
      <c r="J49" s="1482">
        <v>100</v>
      </c>
      <c r="K49" s="1483">
        <v>101.64501460276239</v>
      </c>
      <c r="L49" s="1456"/>
    </row>
    <row r="50" spans="1:12">
      <c r="A50" s="1300" t="s">
        <v>740</v>
      </c>
      <c r="B50" s="1299">
        <f>3434349937.31</f>
        <v>3434349937.3099999</v>
      </c>
      <c r="C50" s="1171">
        <f>3149603130.51</f>
        <v>3149603130.5100002</v>
      </c>
      <c r="D50" s="1171">
        <f>3114151866.53</f>
        <v>3114151866.5300002</v>
      </c>
      <c r="E50" s="1171">
        <f>0</f>
        <v>0</v>
      </c>
      <c r="F50" s="1171">
        <f>0</f>
        <v>0</v>
      </c>
      <c r="G50" s="1171">
        <f>0</f>
        <v>0</v>
      </c>
      <c r="H50" s="1171">
        <f>0</f>
        <v>0</v>
      </c>
      <c r="I50" s="1172">
        <f>0</f>
        <v>0</v>
      </c>
      <c r="J50" s="1303">
        <v>8.9465777787738094</v>
      </c>
      <c r="K50" s="1452">
        <v>91.708858677836673</v>
      </c>
      <c r="L50" s="1456"/>
    </row>
    <row r="51" spans="1:12">
      <c r="A51" s="1301" t="s">
        <v>739</v>
      </c>
      <c r="B51" s="1121">
        <f>B49-B50</f>
        <v>31200460016.549999</v>
      </c>
      <c r="C51" s="1428">
        <f t="shared" ref="C51:I51" si="2">C49-C50</f>
        <v>32054954504.729996</v>
      </c>
      <c r="D51" s="1428">
        <f t="shared" si="2"/>
        <v>31849086841.950005</v>
      </c>
      <c r="E51" s="1428">
        <f t="shared" si="2"/>
        <v>541377767.82000005</v>
      </c>
      <c r="F51" s="1428">
        <f t="shared" si="2"/>
        <v>105452980.88</v>
      </c>
      <c r="G51" s="1428">
        <f t="shared" si="2"/>
        <v>27447547.010000002</v>
      </c>
      <c r="H51" s="1428">
        <f t="shared" si="2"/>
        <v>26794022.52</v>
      </c>
      <c r="I51" s="1429">
        <f t="shared" si="2"/>
        <v>620823.4</v>
      </c>
      <c r="J51" s="1304">
        <v>91.053422221226185</v>
      </c>
      <c r="K51" s="1453">
        <v>102.7387240051164</v>
      </c>
      <c r="L51" s="1456"/>
    </row>
    <row r="52" spans="1:12">
      <c r="A52" s="1444"/>
      <c r="B52" s="1445"/>
      <c r="C52" s="1446"/>
      <c r="D52" s="1446"/>
      <c r="E52" s="1447"/>
      <c r="F52" s="1447"/>
      <c r="G52" s="1447"/>
      <c r="H52" s="1447"/>
      <c r="I52" s="1447"/>
      <c r="J52" s="1448"/>
      <c r="K52" s="1448"/>
      <c r="L52" s="1443"/>
    </row>
    <row r="53" spans="1:12" ht="24" customHeight="1">
      <c r="A53" s="1963" t="s">
        <v>218</v>
      </c>
      <c r="B53" s="1964" t="s">
        <v>1080</v>
      </c>
      <c r="C53" s="1965" t="s">
        <v>1088</v>
      </c>
      <c r="D53" s="1965" t="s">
        <v>1089</v>
      </c>
      <c r="E53" s="1965" t="s">
        <v>250</v>
      </c>
      <c r="F53" s="1965"/>
      <c r="G53" s="1965"/>
      <c r="H53" s="1965" t="s">
        <v>1090</v>
      </c>
      <c r="I53" s="1966"/>
      <c r="J53" s="1967" t="s">
        <v>1108</v>
      </c>
      <c r="K53" s="1968" t="s">
        <v>1094</v>
      </c>
      <c r="L53" s="1456"/>
    </row>
    <row r="54" spans="1:12">
      <c r="A54" s="1698"/>
      <c r="B54" s="1700"/>
      <c r="C54" s="1703"/>
      <c r="D54" s="1705"/>
      <c r="E54" s="1705" t="s">
        <v>1091</v>
      </c>
      <c r="F54" s="1703" t="s">
        <v>252</v>
      </c>
      <c r="G54" s="1703"/>
      <c r="H54" s="1705"/>
      <c r="I54" s="1708"/>
      <c r="J54" s="1711"/>
      <c r="K54" s="1969"/>
      <c r="L54" s="1460"/>
    </row>
    <row r="55" spans="1:12" ht="54">
      <c r="A55" s="1698"/>
      <c r="B55" s="1929"/>
      <c r="C55" s="1930"/>
      <c r="D55" s="1931"/>
      <c r="E55" s="1930"/>
      <c r="F55" s="1343" t="s">
        <v>1092</v>
      </c>
      <c r="G55" s="1343" t="s">
        <v>1093</v>
      </c>
      <c r="H55" s="1931"/>
      <c r="I55" s="1932"/>
      <c r="J55" s="1933"/>
      <c r="K55" s="1970"/>
      <c r="L55" s="1460"/>
    </row>
    <row r="56" spans="1:12">
      <c r="A56" s="1693"/>
      <c r="B56" s="1926" t="s">
        <v>4</v>
      </c>
      <c r="C56" s="1695"/>
      <c r="D56" s="1695"/>
      <c r="E56" s="1695"/>
      <c r="F56" s="1695"/>
      <c r="G56" s="1695"/>
      <c r="H56" s="1695"/>
      <c r="I56" s="1696"/>
      <c r="J56" s="1694" t="s">
        <v>5</v>
      </c>
      <c r="K56" s="1696"/>
      <c r="L56" s="1456"/>
    </row>
    <row r="57" spans="1:12">
      <c r="A57" s="1122" t="s">
        <v>887</v>
      </c>
      <c r="B57" s="1120" t="s">
        <v>888</v>
      </c>
      <c r="C57" s="1117" t="s">
        <v>889</v>
      </c>
      <c r="D57" s="1117" t="s">
        <v>890</v>
      </c>
      <c r="E57" s="1118" t="s">
        <v>891</v>
      </c>
      <c r="F57" s="1118" t="s">
        <v>892</v>
      </c>
      <c r="G57" s="1117" t="s">
        <v>893</v>
      </c>
      <c r="H57" s="1717" t="s">
        <v>894</v>
      </c>
      <c r="I57" s="1718"/>
      <c r="J57" s="1116" t="s">
        <v>932</v>
      </c>
      <c r="K57" s="1427" t="s">
        <v>966</v>
      </c>
      <c r="L57" s="1456"/>
    </row>
    <row r="58" spans="1:12" ht="27">
      <c r="A58" s="1123" t="s">
        <v>253</v>
      </c>
      <c r="B58" s="1177">
        <f>36448695877.24</f>
        <v>36448695877.239998</v>
      </c>
      <c r="C58" s="1175">
        <f>33646745762.37</f>
        <v>33646745762.369999</v>
      </c>
      <c r="D58" s="1175">
        <f>33572388276.3</f>
        <v>33572388276.299999</v>
      </c>
      <c r="E58" s="1175">
        <f>1339231405.12</f>
        <v>1339231405.1199999</v>
      </c>
      <c r="F58" s="1175">
        <f>128121.52</f>
        <v>128121.52</v>
      </c>
      <c r="G58" s="1175">
        <f>1169079.17</f>
        <v>1169079.17</v>
      </c>
      <c r="H58" s="1719">
        <f>401674838.59</f>
        <v>401674838.58999997</v>
      </c>
      <c r="I58" s="1720"/>
      <c r="J58" s="1181">
        <v>100</v>
      </c>
      <c r="K58" s="1457">
        <v>92.108613129458831</v>
      </c>
      <c r="L58" s="1456"/>
    </row>
    <row r="59" spans="1:12">
      <c r="A59" s="1124" t="s">
        <v>254</v>
      </c>
      <c r="B59" s="1178">
        <f>6099522641.97</f>
        <v>6099522641.9700003</v>
      </c>
      <c r="C59" s="1169">
        <f>4681107796.78</f>
        <v>4681107796.7799997</v>
      </c>
      <c r="D59" s="1169">
        <f>4638945037.89</f>
        <v>4638945037.8900003</v>
      </c>
      <c r="E59" s="1169">
        <f>135554006.64</f>
        <v>135554006.63999999</v>
      </c>
      <c r="F59" s="1169">
        <f>2265</f>
        <v>2265</v>
      </c>
      <c r="G59" s="1169">
        <f>29583.65</f>
        <v>29583.65</v>
      </c>
      <c r="H59" s="1721">
        <f>352115624.86</f>
        <v>352115624.86000001</v>
      </c>
      <c r="I59" s="1722"/>
      <c r="J59" s="1182">
        <v>13.817739148348897</v>
      </c>
      <c r="K59" s="1458">
        <v>76.054230965060114</v>
      </c>
      <c r="L59" s="1456"/>
    </row>
    <row r="60" spans="1:12">
      <c r="A60" s="1125" t="s">
        <v>255</v>
      </c>
      <c r="B60" s="268">
        <f>5668208901.05</f>
        <v>5668208901.0500002</v>
      </c>
      <c r="C60" s="256">
        <f>4285795532.84</f>
        <v>4285795532.8400002</v>
      </c>
      <c r="D60" s="256">
        <f>4243632773.95</f>
        <v>4243632773.9499998</v>
      </c>
      <c r="E60" s="256">
        <f>132485606.64</f>
        <v>132485606.64</v>
      </c>
      <c r="F60" s="256">
        <f>2265</f>
        <v>2265</v>
      </c>
      <c r="G60" s="256">
        <f>29583.65</f>
        <v>29583.65</v>
      </c>
      <c r="H60" s="1723">
        <f>352115624.86</f>
        <v>352115624.86000001</v>
      </c>
      <c r="I60" s="1724"/>
      <c r="J60" s="1183">
        <v>12.640246916677473</v>
      </c>
      <c r="K60" s="1459">
        <v>74.867261387700324</v>
      </c>
      <c r="L60" s="1456"/>
    </row>
    <row r="61" spans="1:12" ht="27">
      <c r="A61" s="1124" t="s">
        <v>256</v>
      </c>
      <c r="B61" s="1178">
        <f t="shared" ref="B61:H61" si="3">B58-B59</f>
        <v>30349173235.269997</v>
      </c>
      <c r="C61" s="1169">
        <f t="shared" si="3"/>
        <v>28965637965.59</v>
      </c>
      <c r="D61" s="1169">
        <f t="shared" si="3"/>
        <v>28933443238.41</v>
      </c>
      <c r="E61" s="1169">
        <f t="shared" si="3"/>
        <v>1203677398.48</v>
      </c>
      <c r="F61" s="1169">
        <f t="shared" si="3"/>
        <v>125856.52</v>
      </c>
      <c r="G61" s="1169">
        <f t="shared" si="3"/>
        <v>1139495.52</v>
      </c>
      <c r="H61" s="1721">
        <f t="shared" si="3"/>
        <v>49559213.729999959</v>
      </c>
      <c r="I61" s="1722"/>
      <c r="J61" s="1182">
        <v>86.182260851651108</v>
      </c>
      <c r="K61" s="1458">
        <v>95.335194188371759</v>
      </c>
      <c r="L61" s="1456"/>
    </row>
    <row r="62" spans="1:12" ht="14.45" customHeight="1">
      <c r="A62" s="1125" t="s">
        <v>257</v>
      </c>
      <c r="B62" s="268">
        <f>10927346465.25</f>
        <v>10927346465.25</v>
      </c>
      <c r="C62" s="256">
        <f>10595956020.11</f>
        <v>10595956020.110001</v>
      </c>
      <c r="D62" s="256">
        <f>10584447875.12</f>
        <v>10584447875.120001</v>
      </c>
      <c r="E62" s="256">
        <f>835122349.12</f>
        <v>835122349.12</v>
      </c>
      <c r="F62" s="256">
        <f>5140.52</f>
        <v>5140.5200000000004</v>
      </c>
      <c r="G62" s="256">
        <f>1</f>
        <v>1</v>
      </c>
      <c r="H62" s="1723">
        <f>134752.24</f>
        <v>134752.24</v>
      </c>
      <c r="I62" s="1724"/>
      <c r="J62" s="1183">
        <v>31.5272413389546</v>
      </c>
      <c r="K62" s="1459">
        <v>96.862014110923923</v>
      </c>
      <c r="L62" s="1456"/>
    </row>
    <row r="63" spans="1:12">
      <c r="A63" s="1125" t="s">
        <v>258</v>
      </c>
      <c r="B63" s="1344">
        <f>2783142428.53</f>
        <v>2783142428.5300002</v>
      </c>
      <c r="C63" s="1332">
        <f>2700859266.05</f>
        <v>2700859266.0500002</v>
      </c>
      <c r="D63" s="1332">
        <f>2700336641.94</f>
        <v>2700336641.9400001</v>
      </c>
      <c r="E63" s="1332">
        <f>625895.93</f>
        <v>625895.93000000005</v>
      </c>
      <c r="F63" s="1332">
        <f>0</f>
        <v>0</v>
      </c>
      <c r="G63" s="1332">
        <f>74800</f>
        <v>74800</v>
      </c>
      <c r="H63" s="1936">
        <f>19362043</f>
        <v>19362043</v>
      </c>
      <c r="I63" s="1938"/>
      <c r="J63" s="1183">
        <v>8.0433260205270187</v>
      </c>
      <c r="K63" s="1459">
        <v>97.024737730230484</v>
      </c>
      <c r="L63" s="1456"/>
    </row>
    <row r="64" spans="1:12">
      <c r="A64" s="1125" t="s">
        <v>259</v>
      </c>
      <c r="B64" s="268">
        <f>151835623.14</f>
        <v>151835623.13999999</v>
      </c>
      <c r="C64" s="256">
        <f>108742840.69</f>
        <v>108742840.69</v>
      </c>
      <c r="D64" s="256">
        <f>106340242.15</f>
        <v>106340242.15000001</v>
      </c>
      <c r="E64" s="256">
        <f>5757440.09</f>
        <v>5757440.0899999999</v>
      </c>
      <c r="F64" s="256">
        <f>0</f>
        <v>0</v>
      </c>
      <c r="G64" s="256">
        <f>0</f>
        <v>0</v>
      </c>
      <c r="H64" s="1723">
        <f>0</f>
        <v>0</v>
      </c>
      <c r="I64" s="1724"/>
      <c r="J64" s="1183">
        <v>0.31674911321417532</v>
      </c>
      <c r="K64" s="1459">
        <v>70.036424885581042</v>
      </c>
      <c r="L64" s="1456"/>
    </row>
    <row r="65" spans="1:12">
      <c r="A65" s="1125" t="s">
        <v>260</v>
      </c>
      <c r="B65" s="1344">
        <f>26094927.28</f>
        <v>26094927.280000001</v>
      </c>
      <c r="C65" s="1332">
        <f>4072048.93</f>
        <v>4072048.93</v>
      </c>
      <c r="D65" s="1332">
        <f>4072048.93</f>
        <v>4072048.93</v>
      </c>
      <c r="E65" s="1332">
        <f>0</f>
        <v>0</v>
      </c>
      <c r="F65" s="1332">
        <f>0</f>
        <v>0</v>
      </c>
      <c r="G65" s="1332">
        <f>0</f>
        <v>0</v>
      </c>
      <c r="H65" s="1936">
        <f>0</f>
        <v>0</v>
      </c>
      <c r="I65" s="1938"/>
      <c r="J65" s="1183">
        <v>1.2129160715309048E-2</v>
      </c>
      <c r="K65" s="1459">
        <v>15.604752932655039</v>
      </c>
      <c r="L65" s="1456"/>
    </row>
    <row r="66" spans="1:12">
      <c r="A66" s="1125" t="s">
        <v>261</v>
      </c>
      <c r="B66" s="1344">
        <f>8510058822.51</f>
        <v>8510058822.5100002</v>
      </c>
      <c r="C66" s="1332">
        <f>8427420801.4</f>
        <v>8427420801.3999996</v>
      </c>
      <c r="D66" s="1332">
        <f>8427021233.69001</f>
        <v>8427021233.6900101</v>
      </c>
      <c r="E66" s="1332">
        <f>115211109.31</f>
        <v>115211109.31</v>
      </c>
      <c r="F66" s="1332">
        <f>2566.63</f>
        <v>2566.63</v>
      </c>
      <c r="G66" s="1332">
        <f>0</f>
        <v>0</v>
      </c>
      <c r="H66" s="1936">
        <f>0</f>
        <v>0</v>
      </c>
      <c r="I66" s="1937"/>
      <c r="J66" s="1183">
        <v>25.101047814459356</v>
      </c>
      <c r="K66" s="1459">
        <v>99.024241893600703</v>
      </c>
      <c r="L66" s="1456"/>
    </row>
    <row r="67" spans="1:12">
      <c r="A67" s="1125" t="s">
        <v>262</v>
      </c>
      <c r="B67" s="268">
        <f t="shared" ref="B67:H67" si="4">B61-B62-B63-B64-B65-B66</f>
        <v>7950694968.5599957</v>
      </c>
      <c r="C67" s="256">
        <f t="shared" si="4"/>
        <v>7128586988.4099998</v>
      </c>
      <c r="D67" s="256">
        <f t="shared" si="4"/>
        <v>7111225196.5799904</v>
      </c>
      <c r="E67" s="1333">
        <f t="shared" si="4"/>
        <v>246960604.03000003</v>
      </c>
      <c r="F67" s="1333">
        <f t="shared" si="4"/>
        <v>118149.37</v>
      </c>
      <c r="G67" s="1333">
        <f t="shared" si="4"/>
        <v>1064694.52</v>
      </c>
      <c r="H67" s="1971">
        <f t="shared" si="4"/>
        <v>30062418.489999957</v>
      </c>
      <c r="I67" s="1972" t="e">
        <f>I61-I62-#REF!-I63-I64-I65-I66</f>
        <v>#REF!</v>
      </c>
      <c r="J67" s="1461">
        <v>21.18176740378065</v>
      </c>
      <c r="K67" s="1462">
        <v>89.441554791127302</v>
      </c>
      <c r="L67" s="1456"/>
    </row>
    <row r="68" spans="1:12">
      <c r="A68" s="1336" t="s">
        <v>263</v>
      </c>
      <c r="B68" s="1348">
        <f>B6-B58</f>
        <v>-1813885923.3799973</v>
      </c>
      <c r="C68" s="1338"/>
      <c r="D68" s="1339">
        <f>C6-D58</f>
        <v>1632169358.9399986</v>
      </c>
      <c r="E68" s="1465"/>
      <c r="F68" s="1465"/>
      <c r="G68" s="1466"/>
      <c r="H68" s="1467"/>
      <c r="I68" s="1467"/>
      <c r="J68" s="1467"/>
      <c r="K68" s="1467"/>
      <c r="L68" s="1107"/>
    </row>
    <row r="69" spans="1:12" ht="40.5">
      <c r="A69" s="1290" t="s">
        <v>1107</v>
      </c>
      <c r="B69" s="1468">
        <f>+B51-B61</f>
        <v>851286781.28000259</v>
      </c>
      <c r="C69" s="1469"/>
      <c r="D69" s="1470">
        <f>+C51-D61</f>
        <v>3121511266.3199959</v>
      </c>
      <c r="E69" s="1102"/>
      <c r="F69" s="1102"/>
      <c r="G69" s="1103"/>
      <c r="H69" s="1107"/>
      <c r="I69" s="1107"/>
      <c r="J69" s="1107"/>
      <c r="K69" s="1107"/>
      <c r="L69" s="1107"/>
    </row>
    <row r="70" spans="1:12">
      <c r="A70" s="1490"/>
      <c r="B70" s="1472"/>
      <c r="C70" s="1472"/>
      <c r="D70" s="1472"/>
      <c r="E70" s="1102"/>
      <c r="F70" s="1102"/>
      <c r="G70" s="1103"/>
      <c r="H70" s="1107"/>
      <c r="I70" s="1107"/>
      <c r="J70" s="1107"/>
      <c r="K70" s="1107"/>
      <c r="L70" s="1107"/>
    </row>
    <row r="71" spans="1:12">
      <c r="A71" s="1288"/>
      <c r="B71" s="1440"/>
      <c r="C71" s="1440"/>
      <c r="D71" s="1440"/>
      <c r="E71" s="1440"/>
      <c r="F71" s="1440"/>
      <c r="G71" s="1440"/>
      <c r="H71" s="1440"/>
      <c r="I71" s="1440"/>
      <c r="J71" s="1102"/>
      <c r="K71" s="1102"/>
      <c r="L71" s="1103"/>
    </row>
    <row r="72" spans="1:12">
      <c r="A72" s="1290" t="s">
        <v>1074</v>
      </c>
      <c r="B72" s="1440"/>
      <c r="C72" s="1440"/>
      <c r="D72" s="1440"/>
      <c r="E72" s="1440"/>
      <c r="F72" s="1440"/>
      <c r="G72" s="1440"/>
      <c r="H72" s="1440"/>
      <c r="I72" s="1440"/>
      <c r="J72" s="1102"/>
      <c r="K72" s="1102"/>
      <c r="L72" s="1103"/>
    </row>
    <row r="73" spans="1:12">
      <c r="A73" s="1098" t="s">
        <v>1106</v>
      </c>
      <c r="B73" s="1354">
        <f>2188132641.61</f>
        <v>2188132641.6100001</v>
      </c>
      <c r="C73" s="1297">
        <f>1641504257.78</f>
        <v>1641504257.78</v>
      </c>
      <c r="D73" s="1297">
        <f>1623164235.84</f>
        <v>1623164235.8399999</v>
      </c>
      <c r="E73" s="1297">
        <f>23200342.07</f>
        <v>23200342.07</v>
      </c>
      <c r="F73" s="1297">
        <f>0</f>
        <v>0</v>
      </c>
      <c r="G73" s="1297">
        <f>0</f>
        <v>0</v>
      </c>
      <c r="H73" s="1297">
        <f>61210101.05</f>
        <v>61210101.049999997</v>
      </c>
      <c r="I73" s="1297">
        <f>0</f>
        <v>0</v>
      </c>
      <c r="J73" s="1192">
        <v>100</v>
      </c>
      <c r="K73" s="1166">
        <v>74.180340120775142</v>
      </c>
      <c r="L73" s="1103"/>
    </row>
    <row r="74" spans="1:12">
      <c r="A74" s="1583" t="s">
        <v>740</v>
      </c>
      <c r="B74" s="1584">
        <f>1945683677.95</f>
        <v>1945683677.95</v>
      </c>
      <c r="C74" s="1585">
        <f>1487352130.2</f>
        <v>1487352130.2</v>
      </c>
      <c r="D74" s="1585">
        <f>1469956723.49</f>
        <v>1469956723.49</v>
      </c>
      <c r="E74" s="1585">
        <f>21462203.18</f>
        <v>21462203.18</v>
      </c>
      <c r="F74" s="1585">
        <f>0</f>
        <v>0</v>
      </c>
      <c r="G74" s="1585">
        <f>0</f>
        <v>0</v>
      </c>
      <c r="H74" s="1585">
        <f>60773290.35</f>
        <v>60773290.350000001</v>
      </c>
      <c r="I74" s="1585">
        <f>0</f>
        <v>0</v>
      </c>
      <c r="J74" s="1586">
        <v>90.561182351906993</v>
      </c>
      <c r="K74" s="1587">
        <v>75.549625057181302</v>
      </c>
      <c r="L74" s="1103"/>
    </row>
    <row r="75" spans="1:12">
      <c r="A75" s="1492" t="s">
        <v>739</v>
      </c>
      <c r="B75" s="1579">
        <f>+B73-B74</f>
        <v>242448963.66000009</v>
      </c>
      <c r="C75" s="1580">
        <f t="shared" ref="C75:I75" si="5">+C73-C74</f>
        <v>154152127.57999992</v>
      </c>
      <c r="D75" s="1580">
        <f t="shared" si="5"/>
        <v>153207512.3499999</v>
      </c>
      <c r="E75" s="1580">
        <f t="shared" si="5"/>
        <v>1738138.8900000006</v>
      </c>
      <c r="F75" s="1580">
        <f t="shared" si="5"/>
        <v>0</v>
      </c>
      <c r="G75" s="1580">
        <f t="shared" si="5"/>
        <v>0</v>
      </c>
      <c r="H75" s="1580">
        <f t="shared" si="5"/>
        <v>436810.69999999553</v>
      </c>
      <c r="I75" s="1580">
        <f t="shared" si="5"/>
        <v>0</v>
      </c>
      <c r="J75" s="1581">
        <v>9.4388176480930071</v>
      </c>
      <c r="K75" s="1582">
        <v>63.191654869208463</v>
      </c>
      <c r="L75" s="1107"/>
    </row>
    <row r="76" spans="1:12">
      <c r="A76" s="1973" t="s">
        <v>3</v>
      </c>
      <c r="B76" s="1974"/>
      <c r="C76" s="1974"/>
      <c r="D76" s="1974"/>
      <c r="E76" s="1974"/>
      <c r="F76" s="1974"/>
      <c r="G76" s="1974"/>
      <c r="H76" s="1974"/>
      <c r="I76" s="1974"/>
      <c r="J76" s="1974"/>
      <c r="K76" s="1974"/>
      <c r="L76" s="1975"/>
    </row>
    <row r="77" spans="1:12">
      <c r="A77" s="1476"/>
      <c r="B77" s="1476"/>
      <c r="C77" s="1476"/>
      <c r="D77" s="1476"/>
      <c r="E77" s="1476"/>
      <c r="F77" s="1107"/>
      <c r="G77" s="1107"/>
      <c r="H77" s="1107"/>
      <c r="I77" s="1107"/>
      <c r="J77" s="1107"/>
      <c r="K77" s="1107"/>
      <c r="L77" s="1107"/>
    </row>
    <row r="78" spans="1:12" ht="27">
      <c r="A78" s="1742" t="s">
        <v>68</v>
      </c>
      <c r="B78" s="1474" t="s">
        <v>1095</v>
      </c>
      <c r="C78" s="1475" t="s">
        <v>264</v>
      </c>
      <c r="D78" s="1369" t="s">
        <v>22</v>
      </c>
      <c r="E78" s="1217" t="s">
        <v>265</v>
      </c>
      <c r="F78" s="1107"/>
      <c r="G78" s="1107"/>
      <c r="H78" s="1107"/>
      <c r="I78" s="1107"/>
      <c r="J78" s="1107"/>
      <c r="K78" s="1107"/>
      <c r="L78" s="1107"/>
    </row>
    <row r="79" spans="1:12" ht="13.9" customHeight="1">
      <c r="A79" s="1742"/>
      <c r="B79" s="1729" t="s">
        <v>4</v>
      </c>
      <c r="C79" s="1976"/>
      <c r="D79" s="1941" t="s">
        <v>5</v>
      </c>
      <c r="E79" s="1942"/>
      <c r="F79" s="1107"/>
      <c r="G79" s="1291"/>
      <c r="H79" s="1107"/>
      <c r="I79" s="1107"/>
      <c r="J79" s="1107"/>
      <c r="K79" s="1107"/>
      <c r="L79" s="1107"/>
    </row>
    <row r="80" spans="1:12">
      <c r="A80" s="1200" t="s">
        <v>887</v>
      </c>
      <c r="B80" s="1198" t="s">
        <v>888</v>
      </c>
      <c r="C80" s="1206" t="s">
        <v>889</v>
      </c>
      <c r="D80" s="1210" t="s">
        <v>890</v>
      </c>
      <c r="E80" s="1197" t="s">
        <v>891</v>
      </c>
      <c r="F80" s="1107"/>
      <c r="G80" s="1107"/>
      <c r="H80" s="1107"/>
      <c r="I80" s="1107"/>
      <c r="J80" s="1107"/>
      <c r="K80" s="1107"/>
      <c r="L80" s="1107"/>
    </row>
    <row r="81" spans="1:12" ht="27">
      <c r="A81" s="1359" t="s">
        <v>266</v>
      </c>
      <c r="B81" s="1177">
        <f>3176120320.08</f>
        <v>3176120320.0799999</v>
      </c>
      <c r="C81" s="1207">
        <f>4331599195.59</f>
        <v>4331599195.5900002</v>
      </c>
      <c r="D81" s="1366">
        <v>100</v>
      </c>
      <c r="E81" s="1176">
        <v>136.38019845170399</v>
      </c>
      <c r="F81" s="1107"/>
      <c r="G81" s="1107"/>
      <c r="H81" s="1107"/>
      <c r="I81" s="1107"/>
      <c r="J81" s="1107"/>
      <c r="K81" s="1107"/>
      <c r="L81" s="1107"/>
    </row>
    <row r="82" spans="1:12" ht="27">
      <c r="A82" s="1360" t="s">
        <v>267</v>
      </c>
      <c r="B82" s="1199">
        <f>1196690625.97</f>
        <v>1196690625.97</v>
      </c>
      <c r="C82" s="533">
        <f>973986346.33</f>
        <v>973986346.33000004</v>
      </c>
      <c r="D82" s="1371">
        <v>22.485606408866619</v>
      </c>
      <c r="E82" s="1147">
        <v>81.389987118894425</v>
      </c>
      <c r="F82" s="1107"/>
      <c r="G82" s="1107"/>
      <c r="H82" s="1107"/>
      <c r="I82" s="1107"/>
      <c r="J82" s="1107"/>
      <c r="K82" s="1107"/>
      <c r="L82" s="1107"/>
    </row>
    <row r="83" spans="1:12">
      <c r="A83" s="1361" t="s">
        <v>268</v>
      </c>
      <c r="B83" s="1199">
        <f>69900000</f>
        <v>69900000</v>
      </c>
      <c r="C83" s="533">
        <f>64600000</f>
        <v>64600000</v>
      </c>
      <c r="D83" s="1371">
        <v>1.4913660540377152</v>
      </c>
      <c r="E83" s="1147">
        <v>92.417739628040053</v>
      </c>
      <c r="F83" s="1107"/>
      <c r="G83" s="1107"/>
      <c r="H83" s="1107"/>
      <c r="I83" s="1107"/>
      <c r="J83" s="1107"/>
      <c r="K83" s="1107"/>
      <c r="L83" s="1107"/>
    </row>
    <row r="84" spans="1:12">
      <c r="A84" s="1360" t="s">
        <v>269</v>
      </c>
      <c r="B84" s="1199">
        <f>5103623.8</f>
        <v>5103623.8</v>
      </c>
      <c r="C84" s="533">
        <f>4553012.29</f>
        <v>4553012.29</v>
      </c>
      <c r="D84" s="1371">
        <v>0.1051115785282124</v>
      </c>
      <c r="E84" s="1147">
        <v>89.211361738692418</v>
      </c>
      <c r="F84" s="1107"/>
      <c r="G84" s="1107"/>
      <c r="H84" s="1107"/>
      <c r="I84" s="1107"/>
      <c r="J84" s="1107"/>
      <c r="K84" s="1107"/>
      <c r="L84" s="1107"/>
    </row>
    <row r="85" spans="1:12">
      <c r="A85" s="1360" t="s">
        <v>270</v>
      </c>
      <c r="B85" s="1199">
        <f>106476185.23</f>
        <v>106476185.23</v>
      </c>
      <c r="C85" s="533">
        <f>316785063.77</f>
        <v>316785063.76999998</v>
      </c>
      <c r="D85" s="1371">
        <v>7.3133512466370103</v>
      </c>
      <c r="E85" s="1147">
        <v>297.51729279717358</v>
      </c>
      <c r="F85" s="1107"/>
      <c r="G85" s="1107"/>
      <c r="H85" s="1107"/>
      <c r="I85" s="1107"/>
      <c r="J85" s="1107"/>
      <c r="K85" s="1107"/>
      <c r="L85" s="1107"/>
    </row>
    <row r="86" spans="1:12" ht="27">
      <c r="A86" s="1360" t="s">
        <v>1102</v>
      </c>
      <c r="B86" s="1199">
        <f>661287713.44</f>
        <v>661287713.44000006</v>
      </c>
      <c r="C86" s="533">
        <f>810209672.62</f>
        <v>810209672.62</v>
      </c>
      <c r="D86" s="1371">
        <v>18.704631616075517</v>
      </c>
      <c r="E86" s="1147">
        <v>122.51999487565134</v>
      </c>
      <c r="F86" s="1107"/>
      <c r="G86" s="1107"/>
      <c r="H86" s="1107"/>
      <c r="I86" s="1107"/>
      <c r="J86" s="1107"/>
      <c r="K86" s="1107"/>
      <c r="L86" s="1107"/>
    </row>
    <row r="87" spans="1:12">
      <c r="A87" s="1360" t="s">
        <v>272</v>
      </c>
      <c r="B87" s="1199">
        <f>0</f>
        <v>0</v>
      </c>
      <c r="C87" s="533">
        <f>43000000</f>
        <v>43000000</v>
      </c>
      <c r="D87" s="1371">
        <v>0.99270495856999619</v>
      </c>
      <c r="E87" s="1147" t="s">
        <v>273</v>
      </c>
      <c r="F87" s="1107"/>
      <c r="G87" s="1107"/>
      <c r="H87" s="1107"/>
      <c r="I87" s="1107"/>
      <c r="J87" s="1107"/>
      <c r="K87" s="1107"/>
      <c r="L87" s="1107"/>
    </row>
    <row r="88" spans="1:12" ht="27">
      <c r="A88" s="1360" t="s">
        <v>361</v>
      </c>
      <c r="B88" s="1199">
        <f>1196562171.64</f>
        <v>1196562171.6400001</v>
      </c>
      <c r="C88" s="533">
        <f>2173065100.58</f>
        <v>2173065100.5799999</v>
      </c>
      <c r="D88" s="1371">
        <v>50.16773257305055</v>
      </c>
      <c r="E88" s="1147">
        <v>181.60904231174311</v>
      </c>
      <c r="F88" s="1107"/>
      <c r="G88" s="1107"/>
      <c r="H88" s="1107"/>
      <c r="I88" s="1107"/>
      <c r="J88" s="1107"/>
      <c r="K88" s="1107"/>
      <c r="L88" s="1107"/>
    </row>
    <row r="89" spans="1:12">
      <c r="A89" s="1360" t="s">
        <v>275</v>
      </c>
      <c r="B89" s="1199">
        <f>10000000</f>
        <v>10000000</v>
      </c>
      <c r="C89" s="533">
        <f>10000000</f>
        <v>10000000</v>
      </c>
      <c r="D89" s="1371">
        <v>0.23086161827209215</v>
      </c>
      <c r="E89" s="1147">
        <v>100</v>
      </c>
      <c r="F89" s="1107"/>
      <c r="G89" s="1107"/>
      <c r="H89" s="1107"/>
      <c r="I89" s="1107"/>
      <c r="J89" s="1107"/>
      <c r="K89" s="1107"/>
      <c r="L89" s="1107"/>
    </row>
    <row r="90" spans="1:12" ht="27">
      <c r="A90" s="1362" t="s">
        <v>276</v>
      </c>
      <c r="B90" s="1179">
        <f>1352920550.7</f>
        <v>1352920550.7</v>
      </c>
      <c r="C90" s="1208">
        <f>1175763226.4</f>
        <v>1175763226.4000001</v>
      </c>
      <c r="D90" s="1367">
        <v>100</v>
      </c>
      <c r="E90" s="1168">
        <v>86.905563360070275</v>
      </c>
      <c r="F90" s="1107"/>
      <c r="G90" s="1107"/>
      <c r="H90" s="1107"/>
      <c r="I90" s="1107"/>
      <c r="J90" s="1107"/>
      <c r="K90" s="1107"/>
      <c r="L90" s="1107"/>
    </row>
    <row r="91" spans="1:12" ht="27">
      <c r="A91" s="1360" t="s">
        <v>277</v>
      </c>
      <c r="B91" s="1199">
        <f>926552026.81</f>
        <v>926552026.80999994</v>
      </c>
      <c r="C91" s="533">
        <f>922505969.58</f>
        <v>922505969.58000004</v>
      </c>
      <c r="D91" s="1371">
        <v>78.460182192001909</v>
      </c>
      <c r="E91" s="1147">
        <v>99.563321096611276</v>
      </c>
      <c r="F91" s="1107"/>
      <c r="G91" s="1107"/>
      <c r="H91" s="1107"/>
      <c r="I91" s="1107"/>
      <c r="J91" s="1107"/>
      <c r="K91" s="1107"/>
      <c r="L91" s="1107"/>
    </row>
    <row r="92" spans="1:12">
      <c r="A92" s="1360" t="s">
        <v>278</v>
      </c>
      <c r="B92" s="1199">
        <f>25155000</f>
        <v>25155000</v>
      </c>
      <c r="C92" s="533">
        <f>25155000</f>
        <v>25155000</v>
      </c>
      <c r="D92" s="1371">
        <v>2.1394613673214296</v>
      </c>
      <c r="E92" s="1147">
        <v>100</v>
      </c>
      <c r="F92" s="1107"/>
      <c r="G92" s="1107"/>
      <c r="H92" s="1107"/>
      <c r="I92" s="1107"/>
      <c r="J92" s="1107"/>
      <c r="K92" s="1107"/>
      <c r="L92" s="1107"/>
    </row>
    <row r="93" spans="1:12">
      <c r="A93" s="1361" t="s">
        <v>360</v>
      </c>
      <c r="B93" s="1199">
        <f>22608855.25</f>
        <v>22608855.25</v>
      </c>
      <c r="C93" s="533">
        <f>19124381.88</f>
        <v>19124381.879999999</v>
      </c>
      <c r="D93" s="1371">
        <v>1.6265504355460934</v>
      </c>
      <c r="E93" s="1147">
        <v>84.588015043353423</v>
      </c>
      <c r="F93" s="1107"/>
      <c r="G93" s="1107"/>
      <c r="H93" s="1107"/>
      <c r="I93" s="1107"/>
      <c r="J93" s="1107"/>
      <c r="K93" s="1107"/>
      <c r="L93" s="1107"/>
    </row>
    <row r="94" spans="1:12">
      <c r="A94" s="1363" t="s">
        <v>280</v>
      </c>
      <c r="B94" s="1157">
        <f>403759668.64</f>
        <v>403759668.63999999</v>
      </c>
      <c r="C94" s="1162">
        <f>234132874.94</f>
        <v>234132874.94</v>
      </c>
      <c r="D94" s="1372">
        <v>19.913267372451987</v>
      </c>
      <c r="E94" s="1150">
        <v>57.98817790014521</v>
      </c>
      <c r="F94" s="1107"/>
      <c r="G94" s="1107"/>
      <c r="H94" s="1107"/>
      <c r="I94" s="1107"/>
      <c r="J94" s="1107"/>
      <c r="K94" s="1107"/>
      <c r="L94" s="1107"/>
    </row>
    <row r="95" spans="1:12">
      <c r="A95" s="1107"/>
      <c r="B95" s="1467"/>
      <c r="C95" s="1107"/>
      <c r="D95" s="1107"/>
      <c r="E95" s="1107"/>
      <c r="F95" s="1107"/>
      <c r="G95" s="1107"/>
      <c r="H95" s="1107"/>
      <c r="I95" s="1107"/>
      <c r="J95" s="1107"/>
      <c r="K95" s="1107"/>
      <c r="L95" s="1107"/>
    </row>
    <row r="96" spans="1:12">
      <c r="B96" s="1107"/>
      <c r="G96" s="1107"/>
      <c r="H96" s="1107"/>
      <c r="I96" s="1107"/>
      <c r="J96" s="1107"/>
      <c r="K96" s="1107"/>
      <c r="L96" s="1107"/>
    </row>
  </sheetData>
  <mergeCells count="31">
    <mergeCell ref="D79:E79"/>
    <mergeCell ref="H67:I67"/>
    <mergeCell ref="A76:L76"/>
    <mergeCell ref="A1:L1"/>
    <mergeCell ref="A78:A79"/>
    <mergeCell ref="B79:C79"/>
    <mergeCell ref="H62:I62"/>
    <mergeCell ref="H63:I63"/>
    <mergeCell ref="H64:I64"/>
    <mergeCell ref="H65:I65"/>
    <mergeCell ref="H66:I66"/>
    <mergeCell ref="H57:I57"/>
    <mergeCell ref="H58:I58"/>
    <mergeCell ref="H59:I59"/>
    <mergeCell ref="B56:I56"/>
    <mergeCell ref="J56:K56"/>
    <mergeCell ref="H60:I60"/>
    <mergeCell ref="H61:I61"/>
    <mergeCell ref="A3:A4"/>
    <mergeCell ref="B4:I4"/>
    <mergeCell ref="J4:L4"/>
    <mergeCell ref="A53:A56"/>
    <mergeCell ref="B53:B55"/>
    <mergeCell ref="C53:C55"/>
    <mergeCell ref="D53:D55"/>
    <mergeCell ref="E53:G53"/>
    <mergeCell ref="H53:I55"/>
    <mergeCell ref="J53:J55"/>
    <mergeCell ref="K53:K55"/>
    <mergeCell ref="E54:E55"/>
    <mergeCell ref="F54:G54"/>
  </mergeCells>
  <printOptions horizontalCentered="1"/>
  <pageMargins left="0.27559055118110237" right="0.27559055118110237" top="0.59055118110236227" bottom="0.39370078740157483" header="0.31496062992125984" footer="0.19685039370078741"/>
  <pageSetup paperSize="9" scale="87" orientation="landscape" r:id="rId1"/>
  <headerFooter alignWithMargins="0"/>
  <rowBreaks count="2" manualBreakCount="2">
    <brk id="35" max="11" man="1"/>
    <brk id="70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9"/>
  <sheetViews>
    <sheetView showGridLines="0" zoomScaleNormal="100" zoomScaleSheetLayoutView="50" workbookViewId="0">
      <selection activeCell="S18" sqref="S18"/>
    </sheetView>
  </sheetViews>
  <sheetFormatPr defaultColWidth="9.140625" defaultRowHeight="13.5"/>
  <cols>
    <col min="1" max="1" width="29.42578125" style="1223" customWidth="1"/>
    <col min="2" max="3" width="11.42578125" style="1223" bestFit="1" customWidth="1"/>
    <col min="4" max="4" width="10.28515625" style="1223" bestFit="1" customWidth="1"/>
    <col min="5" max="5" width="10.28515625" style="1223" customWidth="1"/>
    <col min="6" max="7" width="10.28515625" style="1223" bestFit="1" customWidth="1"/>
    <col min="8" max="8" width="9.5703125" style="1223" bestFit="1" customWidth="1"/>
    <col min="9" max="9" width="10.140625" style="1223" customWidth="1"/>
    <col min="10" max="10" width="11.42578125" style="1223" bestFit="1" customWidth="1"/>
    <col min="11" max="11" width="10.28515625" style="1223" bestFit="1" customWidth="1"/>
    <col min="12" max="12" width="14" style="1223" customWidth="1"/>
    <col min="13" max="13" width="11.42578125" style="1223" bestFit="1" customWidth="1"/>
    <col min="14" max="14" width="13.42578125" style="1223" customWidth="1"/>
    <col min="15" max="17" width="9.28515625" style="1223" bestFit="1" customWidth="1"/>
    <col min="18" max="18" width="9.140625" style="1223"/>
    <col min="19" max="16384" width="9.140625" style="32"/>
  </cols>
  <sheetData>
    <row r="2" spans="1:17">
      <c r="A2" s="1749" t="s">
        <v>281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</row>
    <row r="3" spans="1:17">
      <c r="B3" s="1224"/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7">
      <c r="A4" s="1751" t="s">
        <v>68</v>
      </c>
      <c r="B4" s="1751" t="s">
        <v>282</v>
      </c>
      <c r="C4" s="1754" t="s">
        <v>283</v>
      </c>
      <c r="D4" s="1755"/>
      <c r="E4" s="1755"/>
      <c r="F4" s="1755"/>
      <c r="G4" s="1755"/>
      <c r="H4" s="1755"/>
      <c r="I4" s="1755"/>
      <c r="J4" s="1755"/>
      <c r="K4" s="1755"/>
      <c r="L4" s="1755"/>
      <c r="M4" s="1755"/>
      <c r="N4" s="1756"/>
      <c r="O4" s="1757" t="s">
        <v>284</v>
      </c>
      <c r="P4" s="1755"/>
      <c r="Q4" s="1758"/>
    </row>
    <row r="5" spans="1:17">
      <c r="A5" s="1752"/>
      <c r="B5" s="1752"/>
      <c r="C5" s="1759" t="s">
        <v>285</v>
      </c>
      <c r="D5" s="1745" t="s">
        <v>286</v>
      </c>
      <c r="E5" s="1745" t="s">
        <v>287</v>
      </c>
      <c r="F5" s="1745" t="s">
        <v>288</v>
      </c>
      <c r="G5" s="1745" t="s">
        <v>289</v>
      </c>
      <c r="H5" s="1745" t="s">
        <v>290</v>
      </c>
      <c r="I5" s="1745" t="s">
        <v>291</v>
      </c>
      <c r="J5" s="1745" t="s">
        <v>292</v>
      </c>
      <c r="K5" s="1745" t="s">
        <v>293</v>
      </c>
      <c r="L5" s="1745" t="s">
        <v>294</v>
      </c>
      <c r="M5" s="1745" t="s">
        <v>295</v>
      </c>
      <c r="N5" s="1761" t="s">
        <v>296</v>
      </c>
      <c r="O5" s="1743" t="s">
        <v>297</v>
      </c>
      <c r="P5" s="1745" t="s">
        <v>298</v>
      </c>
      <c r="Q5" s="1747" t="s">
        <v>299</v>
      </c>
    </row>
    <row r="6" spans="1:17">
      <c r="A6" s="1752"/>
      <c r="B6" s="1752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7">
      <c r="A7" s="1752"/>
      <c r="B7" s="1752"/>
      <c r="C7" s="1759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61"/>
      <c r="O7" s="1743"/>
      <c r="P7" s="1745"/>
      <c r="Q7" s="1747"/>
    </row>
    <row r="8" spans="1:17" ht="42" customHeight="1">
      <c r="A8" s="1752"/>
      <c r="B8" s="1796"/>
      <c r="C8" s="1765"/>
      <c r="D8" s="1766"/>
      <c r="E8" s="1766"/>
      <c r="F8" s="1766"/>
      <c r="G8" s="1766"/>
      <c r="H8" s="1766"/>
      <c r="I8" s="1766"/>
      <c r="J8" s="1766"/>
      <c r="K8" s="1766"/>
      <c r="L8" s="1766"/>
      <c r="M8" s="1766"/>
      <c r="N8" s="1957"/>
      <c r="O8" s="1961"/>
      <c r="P8" s="1766"/>
      <c r="Q8" s="1962"/>
    </row>
    <row r="9" spans="1:17">
      <c r="A9" s="1753"/>
      <c r="B9" s="1985" t="s">
        <v>4</v>
      </c>
      <c r="C9" s="1952"/>
      <c r="D9" s="1952"/>
      <c r="E9" s="1952"/>
      <c r="F9" s="1952"/>
      <c r="G9" s="1952"/>
      <c r="H9" s="1952"/>
      <c r="I9" s="1952"/>
      <c r="J9" s="1952"/>
      <c r="K9" s="1952"/>
      <c r="L9" s="1952"/>
      <c r="M9" s="1952"/>
      <c r="N9" s="1952"/>
      <c r="O9" s="1953"/>
      <c r="P9" s="1953"/>
      <c r="Q9" s="1954"/>
    </row>
    <row r="10" spans="1:17">
      <c r="A10" s="1261" t="s">
        <v>887</v>
      </c>
      <c r="B10" s="1287" t="s">
        <v>888</v>
      </c>
      <c r="C10" s="1262" t="s">
        <v>889</v>
      </c>
      <c r="D10" s="1263" t="s">
        <v>890</v>
      </c>
      <c r="E10" s="1263" t="s">
        <v>891</v>
      </c>
      <c r="F10" s="1263" t="s">
        <v>892</v>
      </c>
      <c r="G10" s="1263" t="s">
        <v>893</v>
      </c>
      <c r="H10" s="1263" t="s">
        <v>894</v>
      </c>
      <c r="I10" s="1263" t="s">
        <v>932</v>
      </c>
      <c r="J10" s="1263" t="s">
        <v>966</v>
      </c>
      <c r="K10" s="1263" t="s">
        <v>967</v>
      </c>
      <c r="L10" s="1263" t="s">
        <v>969</v>
      </c>
      <c r="M10" s="1263" t="s">
        <v>1070</v>
      </c>
      <c r="N10" s="1264" t="s">
        <v>1096</v>
      </c>
      <c r="O10" s="1380" t="s">
        <v>1097</v>
      </c>
      <c r="P10" s="1285" t="s">
        <v>1098</v>
      </c>
      <c r="Q10" s="1286" t="s">
        <v>1099</v>
      </c>
    </row>
    <row r="11" spans="1:17" ht="27">
      <c r="A11" s="1374" t="s">
        <v>368</v>
      </c>
      <c r="B11" s="1252">
        <f>8238814316.42</f>
        <v>8238814316.4200001</v>
      </c>
      <c r="C11" s="1237">
        <f>8238813355.12</f>
        <v>8238813355.1199999</v>
      </c>
      <c r="D11" s="1232">
        <f>217101537.67</f>
        <v>217101537.66999999</v>
      </c>
      <c r="E11" s="1232">
        <f>17283497.11</f>
        <v>17283497.109999999</v>
      </c>
      <c r="F11" s="1232">
        <f>52136025.15</f>
        <v>52136025.149999999</v>
      </c>
      <c r="G11" s="1232">
        <f>146308698.96</f>
        <v>146308698.96000001</v>
      </c>
      <c r="H11" s="1232">
        <f>1373316.45</f>
        <v>1373316.45</v>
      </c>
      <c r="I11" s="1232">
        <f>0</f>
        <v>0</v>
      </c>
      <c r="J11" s="1232">
        <f>7561590782.34</f>
        <v>7561590782.3400002</v>
      </c>
      <c r="K11" s="1232">
        <f>340670578.89</f>
        <v>340670578.88999999</v>
      </c>
      <c r="L11" s="1232">
        <f>111268304.86</f>
        <v>111268304.86</v>
      </c>
      <c r="M11" s="1232">
        <f>728655.32</f>
        <v>728655.32</v>
      </c>
      <c r="N11" s="1246">
        <f>7453496.04</f>
        <v>7453496.04</v>
      </c>
      <c r="O11" s="1249">
        <f>961.3</f>
        <v>961.3</v>
      </c>
      <c r="P11" s="1232">
        <f>0</f>
        <v>0</v>
      </c>
      <c r="Q11" s="1233">
        <f>961.3</f>
        <v>961.3</v>
      </c>
    </row>
    <row r="12" spans="1:17" ht="27">
      <c r="A12" s="1375" t="s">
        <v>367</v>
      </c>
      <c r="B12" s="1253">
        <f>374409000</f>
        <v>374409000</v>
      </c>
      <c r="C12" s="1238">
        <f>374409000</f>
        <v>374409000</v>
      </c>
      <c r="D12" s="1228">
        <f>0</f>
        <v>0</v>
      </c>
      <c r="E12" s="1228">
        <f>0</f>
        <v>0</v>
      </c>
      <c r="F12" s="1228">
        <f>0</f>
        <v>0</v>
      </c>
      <c r="G12" s="1228">
        <f>0</f>
        <v>0</v>
      </c>
      <c r="H12" s="1228">
        <f>0</f>
        <v>0</v>
      </c>
      <c r="I12" s="1228">
        <f>0</f>
        <v>0</v>
      </c>
      <c r="J12" s="1228">
        <f>361409000</f>
        <v>361409000</v>
      </c>
      <c r="K12" s="1228">
        <f>13000000</f>
        <v>13000000</v>
      </c>
      <c r="L12" s="1228">
        <f>0</f>
        <v>0</v>
      </c>
      <c r="M12" s="1228">
        <f>0</f>
        <v>0</v>
      </c>
      <c r="N12" s="1247">
        <f>0</f>
        <v>0</v>
      </c>
      <c r="O12" s="1250">
        <f>0</f>
        <v>0</v>
      </c>
      <c r="P12" s="1228">
        <f>0</f>
        <v>0</v>
      </c>
      <c r="Q12" s="1229">
        <f>0</f>
        <v>0</v>
      </c>
    </row>
    <row r="13" spans="1:17">
      <c r="A13" s="1203" t="s">
        <v>711</v>
      </c>
      <c r="B13" s="1253">
        <f>0</f>
        <v>0</v>
      </c>
      <c r="C13" s="1238">
        <f>0</f>
        <v>0</v>
      </c>
      <c r="D13" s="1228">
        <f>0</f>
        <v>0</v>
      </c>
      <c r="E13" s="1228">
        <f>0</f>
        <v>0</v>
      </c>
      <c r="F13" s="1228">
        <f>0</f>
        <v>0</v>
      </c>
      <c r="G13" s="1228">
        <f>0</f>
        <v>0</v>
      </c>
      <c r="H13" s="1228">
        <f>0</f>
        <v>0</v>
      </c>
      <c r="I13" s="1228">
        <f>0</f>
        <v>0</v>
      </c>
      <c r="J13" s="1228">
        <f>0</f>
        <v>0</v>
      </c>
      <c r="K13" s="1228">
        <f>0</f>
        <v>0</v>
      </c>
      <c r="L13" s="1228">
        <f>0</f>
        <v>0</v>
      </c>
      <c r="M13" s="1228">
        <f>0</f>
        <v>0</v>
      </c>
      <c r="N13" s="1247">
        <f>0</f>
        <v>0</v>
      </c>
      <c r="O13" s="1250">
        <f>0</f>
        <v>0</v>
      </c>
      <c r="P13" s="1228">
        <f>0</f>
        <v>0</v>
      </c>
      <c r="Q13" s="1229">
        <f>0</f>
        <v>0</v>
      </c>
    </row>
    <row r="14" spans="1:17">
      <c r="A14" s="1203" t="s">
        <v>302</v>
      </c>
      <c r="B14" s="1253">
        <f>374409000</f>
        <v>374409000</v>
      </c>
      <c r="C14" s="1238">
        <f>374409000</f>
        <v>374409000</v>
      </c>
      <c r="D14" s="1228">
        <f>0</f>
        <v>0</v>
      </c>
      <c r="E14" s="1228">
        <f>0</f>
        <v>0</v>
      </c>
      <c r="F14" s="1228">
        <f>0</f>
        <v>0</v>
      </c>
      <c r="G14" s="1228">
        <f>0</f>
        <v>0</v>
      </c>
      <c r="H14" s="1228">
        <f>0</f>
        <v>0</v>
      </c>
      <c r="I14" s="1228">
        <f>0</f>
        <v>0</v>
      </c>
      <c r="J14" s="1228">
        <f>361409000</f>
        <v>361409000</v>
      </c>
      <c r="K14" s="1228">
        <f>13000000</f>
        <v>13000000</v>
      </c>
      <c r="L14" s="1228">
        <f>0</f>
        <v>0</v>
      </c>
      <c r="M14" s="1228">
        <f>0</f>
        <v>0</v>
      </c>
      <c r="N14" s="1247">
        <f>0</f>
        <v>0</v>
      </c>
      <c r="O14" s="1250">
        <f>0</f>
        <v>0</v>
      </c>
      <c r="P14" s="1228">
        <f>0</f>
        <v>0</v>
      </c>
      <c r="Q14" s="1229">
        <f>0</f>
        <v>0</v>
      </c>
    </row>
    <row r="15" spans="1:17" ht="27">
      <c r="A15" s="1375" t="s">
        <v>366</v>
      </c>
      <c r="B15" s="1253">
        <f>7854966400</f>
        <v>7854966400</v>
      </c>
      <c r="C15" s="1238">
        <f>7854966400</f>
        <v>7854966400</v>
      </c>
      <c r="D15" s="1228">
        <f>214266959.64</f>
        <v>214266959.63999999</v>
      </c>
      <c r="E15" s="1228">
        <f>17087176.72</f>
        <v>17087176.719999999</v>
      </c>
      <c r="F15" s="1228">
        <f>52136022.15</f>
        <v>52136022.149999999</v>
      </c>
      <c r="G15" s="1228">
        <f>145043760.77</f>
        <v>145043760.77000001</v>
      </c>
      <c r="H15" s="1228">
        <f>0</f>
        <v>0</v>
      </c>
      <c r="I15" s="1228">
        <f>0</f>
        <v>0</v>
      </c>
      <c r="J15" s="1228">
        <f>7200181782.34</f>
        <v>7200181782.3400002</v>
      </c>
      <c r="K15" s="1228">
        <f>327669713.89</f>
        <v>327669713.88999999</v>
      </c>
      <c r="L15" s="1228">
        <f>106268012.64</f>
        <v>106268012.64</v>
      </c>
      <c r="M15" s="1228">
        <f>0</f>
        <v>0</v>
      </c>
      <c r="N15" s="1247">
        <f>6579931.49</f>
        <v>6579931.4900000002</v>
      </c>
      <c r="O15" s="1250">
        <f>0</f>
        <v>0</v>
      </c>
      <c r="P15" s="1228">
        <f>0</f>
        <v>0</v>
      </c>
      <c r="Q15" s="1229">
        <f>0</f>
        <v>0</v>
      </c>
    </row>
    <row r="16" spans="1:17">
      <c r="A16" s="1203" t="s">
        <v>710</v>
      </c>
      <c r="B16" s="1253">
        <f>22104609</f>
        <v>22104609</v>
      </c>
      <c r="C16" s="1238">
        <f>22104609</f>
        <v>22104609</v>
      </c>
      <c r="D16" s="1228">
        <f>1692126</f>
        <v>1692126</v>
      </c>
      <c r="E16" s="1228">
        <f>0</f>
        <v>0</v>
      </c>
      <c r="F16" s="1228">
        <f>0</f>
        <v>0</v>
      </c>
      <c r="G16" s="1228">
        <f>1692126</f>
        <v>1692126</v>
      </c>
      <c r="H16" s="1228">
        <f>0</f>
        <v>0</v>
      </c>
      <c r="I16" s="1228">
        <f>0</f>
        <v>0</v>
      </c>
      <c r="J16" s="1228">
        <f>20412483</f>
        <v>20412483</v>
      </c>
      <c r="K16" s="1228">
        <f>0</f>
        <v>0</v>
      </c>
      <c r="L16" s="1228">
        <f>0</f>
        <v>0</v>
      </c>
      <c r="M16" s="1228">
        <f>0</f>
        <v>0</v>
      </c>
      <c r="N16" s="1247">
        <f>0</f>
        <v>0</v>
      </c>
      <c r="O16" s="1250">
        <f>0</f>
        <v>0</v>
      </c>
      <c r="P16" s="1228">
        <f>0</f>
        <v>0</v>
      </c>
      <c r="Q16" s="1229">
        <f>0</f>
        <v>0</v>
      </c>
    </row>
    <row r="17" spans="1:17">
      <c r="A17" s="1376" t="s">
        <v>304</v>
      </c>
      <c r="B17" s="1253">
        <f>7832861791</f>
        <v>7832861791</v>
      </c>
      <c r="C17" s="1238">
        <f>7832861791</f>
        <v>7832861791</v>
      </c>
      <c r="D17" s="1228">
        <f>212574833.64</f>
        <v>212574833.63999999</v>
      </c>
      <c r="E17" s="1228">
        <f>17087176.72</f>
        <v>17087176.719999999</v>
      </c>
      <c r="F17" s="1228">
        <f>52136022.15</f>
        <v>52136022.149999999</v>
      </c>
      <c r="G17" s="1228">
        <f>143351634.77</f>
        <v>143351634.77000001</v>
      </c>
      <c r="H17" s="1228">
        <f>0</f>
        <v>0</v>
      </c>
      <c r="I17" s="1228">
        <f>0</f>
        <v>0</v>
      </c>
      <c r="J17" s="1228">
        <f>7179769299.34</f>
        <v>7179769299.3400002</v>
      </c>
      <c r="K17" s="1228">
        <f>327669713.89</f>
        <v>327669713.88999999</v>
      </c>
      <c r="L17" s="1228">
        <f>106268012.64</f>
        <v>106268012.64</v>
      </c>
      <c r="M17" s="1228">
        <f>0</f>
        <v>0</v>
      </c>
      <c r="N17" s="1247">
        <f>6579931.49</f>
        <v>6579931.4900000002</v>
      </c>
      <c r="O17" s="1250">
        <f>0</f>
        <v>0</v>
      </c>
      <c r="P17" s="1228">
        <f>0</f>
        <v>0</v>
      </c>
      <c r="Q17" s="1229">
        <f>0</f>
        <v>0</v>
      </c>
    </row>
    <row r="18" spans="1:17">
      <c r="A18" s="1377" t="s">
        <v>305</v>
      </c>
      <c r="B18" s="1253">
        <f>0</f>
        <v>0</v>
      </c>
      <c r="C18" s="1238">
        <f>0</f>
        <v>0</v>
      </c>
      <c r="D18" s="1228">
        <f>0</f>
        <v>0</v>
      </c>
      <c r="E18" s="1228">
        <f>0</f>
        <v>0</v>
      </c>
      <c r="F18" s="1228">
        <f>0</f>
        <v>0</v>
      </c>
      <c r="G18" s="1228">
        <f>0</f>
        <v>0</v>
      </c>
      <c r="H18" s="1228">
        <f>0</f>
        <v>0</v>
      </c>
      <c r="I18" s="1228">
        <f>0</f>
        <v>0</v>
      </c>
      <c r="J18" s="1228">
        <f>0</f>
        <v>0</v>
      </c>
      <c r="K18" s="1228">
        <f>0</f>
        <v>0</v>
      </c>
      <c r="L18" s="1228">
        <f>0</f>
        <v>0</v>
      </c>
      <c r="M18" s="1228">
        <f>0</f>
        <v>0</v>
      </c>
      <c r="N18" s="1247">
        <f>0</f>
        <v>0</v>
      </c>
      <c r="O18" s="1250">
        <f>0</f>
        <v>0</v>
      </c>
      <c r="P18" s="1228">
        <f>0</f>
        <v>0</v>
      </c>
      <c r="Q18" s="1229">
        <f>0</f>
        <v>0</v>
      </c>
    </row>
    <row r="19" spans="1:17" ht="27">
      <c r="A19" s="1378" t="s">
        <v>365</v>
      </c>
      <c r="B19" s="1253">
        <f>9438916.42</f>
        <v>9438916.4199999999</v>
      </c>
      <c r="C19" s="1238">
        <f>9437955.12</f>
        <v>9437955.1199999992</v>
      </c>
      <c r="D19" s="1228">
        <f>2834578.03</f>
        <v>2834578.03</v>
      </c>
      <c r="E19" s="1228">
        <f>196320.39</f>
        <v>196320.39</v>
      </c>
      <c r="F19" s="1228">
        <f>3</f>
        <v>3</v>
      </c>
      <c r="G19" s="1228">
        <f>1264938.19</f>
        <v>1264938.19</v>
      </c>
      <c r="H19" s="1228">
        <f>1373316.45</f>
        <v>1373316.45</v>
      </c>
      <c r="I19" s="1228">
        <f>0</f>
        <v>0</v>
      </c>
      <c r="J19" s="1228">
        <f>0</f>
        <v>0</v>
      </c>
      <c r="K19" s="1228">
        <f>865</f>
        <v>865</v>
      </c>
      <c r="L19" s="1228">
        <f>5000292.22</f>
        <v>5000292.22</v>
      </c>
      <c r="M19" s="1228">
        <f>728655.32</f>
        <v>728655.32</v>
      </c>
      <c r="N19" s="1247">
        <f>873564.55</f>
        <v>873564.55</v>
      </c>
      <c r="O19" s="1250">
        <f>961.3</f>
        <v>961.3</v>
      </c>
      <c r="P19" s="1228">
        <f>0</f>
        <v>0</v>
      </c>
      <c r="Q19" s="1229">
        <f>961.3</f>
        <v>961.3</v>
      </c>
    </row>
    <row r="20" spans="1:17">
      <c r="A20" s="1203" t="s">
        <v>307</v>
      </c>
      <c r="B20" s="1253">
        <f>3485357.2</f>
        <v>3485357.2</v>
      </c>
      <c r="C20" s="1238">
        <f>3485357.2</f>
        <v>3485357.2</v>
      </c>
      <c r="D20" s="1228">
        <f>185945.47</f>
        <v>185945.47</v>
      </c>
      <c r="E20" s="1228">
        <f>0</f>
        <v>0</v>
      </c>
      <c r="F20" s="1228">
        <f>0</f>
        <v>0</v>
      </c>
      <c r="G20" s="1228">
        <f>185945.47</f>
        <v>185945.47</v>
      </c>
      <c r="H20" s="1228">
        <f>0</f>
        <v>0</v>
      </c>
      <c r="I20" s="1228">
        <f>0</f>
        <v>0</v>
      </c>
      <c r="J20" s="1228">
        <f>0</f>
        <v>0</v>
      </c>
      <c r="K20" s="1228">
        <f>865</f>
        <v>865</v>
      </c>
      <c r="L20" s="1228">
        <f>2377727.87</f>
        <v>2377727.87</v>
      </c>
      <c r="M20" s="1228">
        <f>47262.22</f>
        <v>47262.22</v>
      </c>
      <c r="N20" s="1247">
        <f>873556.64</f>
        <v>873556.64</v>
      </c>
      <c r="O20" s="1250">
        <f>0</f>
        <v>0</v>
      </c>
      <c r="P20" s="1228">
        <f>0</f>
        <v>0</v>
      </c>
      <c r="Q20" s="1229">
        <f>0</f>
        <v>0</v>
      </c>
    </row>
    <row r="21" spans="1:17">
      <c r="A21" s="1493" t="s">
        <v>308</v>
      </c>
      <c r="B21" s="1494">
        <f>5953559.22</f>
        <v>5953559.2199999997</v>
      </c>
      <c r="C21" s="1495">
        <f>5952597.92</f>
        <v>5952597.9199999999</v>
      </c>
      <c r="D21" s="1496">
        <f>2648632.56</f>
        <v>2648632.56</v>
      </c>
      <c r="E21" s="1496">
        <f>196320.39</f>
        <v>196320.39</v>
      </c>
      <c r="F21" s="1496">
        <f>3</f>
        <v>3</v>
      </c>
      <c r="G21" s="1496">
        <f>1078992.72</f>
        <v>1078992.72</v>
      </c>
      <c r="H21" s="1496">
        <f>1373316.45</f>
        <v>1373316.45</v>
      </c>
      <c r="I21" s="1496">
        <f>0</f>
        <v>0</v>
      </c>
      <c r="J21" s="1496">
        <f>0</f>
        <v>0</v>
      </c>
      <c r="K21" s="1496">
        <f>0</f>
        <v>0</v>
      </c>
      <c r="L21" s="1496">
        <f>2622564.35</f>
        <v>2622564.35</v>
      </c>
      <c r="M21" s="1496">
        <f>681393.1</f>
        <v>681393.1</v>
      </c>
      <c r="N21" s="1497">
        <f>7.91</f>
        <v>7.91</v>
      </c>
      <c r="O21" s="1498">
        <f>961.3</f>
        <v>961.3</v>
      </c>
      <c r="P21" s="1496">
        <f>0</f>
        <v>0</v>
      </c>
      <c r="Q21" s="1499">
        <f>961.3</f>
        <v>961.3</v>
      </c>
    </row>
    <row r="22" spans="1:17">
      <c r="A22" s="1588"/>
      <c r="B22" s="1589"/>
      <c r="C22" s="1589"/>
      <c r="D22" s="1589"/>
      <c r="E22" s="1589"/>
      <c r="F22" s="1589"/>
      <c r="G22" s="1589"/>
      <c r="H22" s="1589"/>
      <c r="I22" s="1589"/>
      <c r="J22" s="1589"/>
      <c r="K22" s="1589"/>
      <c r="L22" s="1589"/>
      <c r="M22" s="1589"/>
      <c r="N22" s="1589"/>
      <c r="O22" s="1589"/>
      <c r="P22" s="1589"/>
      <c r="Q22" s="1589"/>
    </row>
    <row r="23" spans="1:17">
      <c r="A23" s="1501"/>
      <c r="B23" s="1502"/>
      <c r="C23" s="1502"/>
      <c r="D23" s="1502"/>
      <c r="E23" s="1502"/>
      <c r="F23" s="1502"/>
      <c r="G23" s="1502"/>
      <c r="H23" s="1502"/>
      <c r="I23" s="1502"/>
      <c r="J23" s="1502"/>
      <c r="K23" s="1502"/>
      <c r="L23" s="1502"/>
      <c r="M23" s="1502"/>
      <c r="N23" s="1502"/>
      <c r="O23" s="1502"/>
      <c r="P23" s="1502"/>
      <c r="Q23" s="1502"/>
    </row>
    <row r="24" spans="1:17">
      <c r="A24" s="1978" t="s">
        <v>309</v>
      </c>
      <c r="B24" s="1978"/>
      <c r="C24" s="1978"/>
      <c r="D24" s="1978"/>
      <c r="E24" s="1978"/>
      <c r="F24" s="1978"/>
      <c r="G24" s="1978"/>
      <c r="H24" s="1978"/>
      <c r="I24" s="1978"/>
      <c r="J24" s="1978"/>
      <c r="K24" s="1978"/>
      <c r="L24" s="1978"/>
      <c r="M24" s="1978"/>
      <c r="N24" s="1430"/>
      <c r="O24" s="1430"/>
      <c r="P24" s="1430"/>
      <c r="Q24" s="1430"/>
    </row>
    <row r="25" spans="1:17">
      <c r="A25" s="1500"/>
      <c r="B25" s="1500"/>
      <c r="C25" s="1500"/>
      <c r="D25" s="1500"/>
      <c r="E25" s="1500"/>
      <c r="F25" s="1500"/>
      <c r="G25" s="1500"/>
      <c r="H25" s="1500"/>
      <c r="I25" s="1500"/>
      <c r="J25" s="1500"/>
      <c r="K25" s="1500"/>
      <c r="L25" s="1500"/>
      <c r="M25" s="1500"/>
      <c r="N25" s="1500"/>
      <c r="O25" s="1500"/>
      <c r="P25" s="1500"/>
      <c r="Q25" s="1500"/>
    </row>
    <row r="26" spans="1:17">
      <c r="A26" s="1979" t="s">
        <v>68</v>
      </c>
      <c r="B26" s="1979" t="s">
        <v>310</v>
      </c>
      <c r="C26" s="1980" t="s">
        <v>311</v>
      </c>
      <c r="D26" s="1981"/>
      <c r="E26" s="1981"/>
      <c r="F26" s="1981"/>
      <c r="G26" s="1981"/>
      <c r="H26" s="1981"/>
      <c r="I26" s="1981"/>
      <c r="J26" s="1981"/>
      <c r="K26" s="1981"/>
      <c r="L26" s="1981"/>
      <c r="M26" s="1981"/>
      <c r="N26" s="1982"/>
      <c r="O26" s="1983" t="s">
        <v>312</v>
      </c>
      <c r="P26" s="1981"/>
      <c r="Q26" s="1984"/>
    </row>
    <row r="27" spans="1:17">
      <c r="A27" s="1752"/>
      <c r="B27" s="1752"/>
      <c r="C27" s="1759" t="s">
        <v>313</v>
      </c>
      <c r="D27" s="1745" t="s">
        <v>314</v>
      </c>
      <c r="E27" s="1745" t="s">
        <v>315</v>
      </c>
      <c r="F27" s="1745" t="s">
        <v>316</v>
      </c>
      <c r="G27" s="1745" t="s">
        <v>317</v>
      </c>
      <c r="H27" s="1745" t="s">
        <v>290</v>
      </c>
      <c r="I27" s="1745" t="s">
        <v>318</v>
      </c>
      <c r="J27" s="1745" t="s">
        <v>292</v>
      </c>
      <c r="K27" s="1745" t="s">
        <v>293</v>
      </c>
      <c r="L27" s="1745" t="s">
        <v>294</v>
      </c>
      <c r="M27" s="1745" t="s">
        <v>295</v>
      </c>
      <c r="N27" s="1763" t="s">
        <v>296</v>
      </c>
      <c r="O27" s="1743" t="s">
        <v>297</v>
      </c>
      <c r="P27" s="1745" t="s">
        <v>298</v>
      </c>
      <c r="Q27" s="1747" t="s">
        <v>299</v>
      </c>
    </row>
    <row r="28" spans="1:17">
      <c r="A28" s="1752"/>
      <c r="B28" s="1752"/>
      <c r="C28" s="1759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63"/>
      <c r="O28" s="1743"/>
      <c r="P28" s="1745"/>
      <c r="Q28" s="1747"/>
    </row>
    <row r="29" spans="1:17" ht="54.6" customHeight="1">
      <c r="A29" s="1752"/>
      <c r="B29" s="1753"/>
      <c r="C29" s="1765"/>
      <c r="D29" s="1766"/>
      <c r="E29" s="1766"/>
      <c r="F29" s="1766"/>
      <c r="G29" s="1766"/>
      <c r="H29" s="1766"/>
      <c r="I29" s="1766"/>
      <c r="J29" s="1766"/>
      <c r="K29" s="1766"/>
      <c r="L29" s="1766"/>
      <c r="M29" s="1766"/>
      <c r="N29" s="1955"/>
      <c r="O29" s="1744"/>
      <c r="P29" s="1746"/>
      <c r="Q29" s="1748"/>
    </row>
    <row r="30" spans="1:17">
      <c r="A30" s="1753"/>
      <c r="B30" s="1977" t="s">
        <v>4</v>
      </c>
      <c r="C30" s="1959"/>
      <c r="D30" s="1959"/>
      <c r="E30" s="1959"/>
      <c r="F30" s="1959"/>
      <c r="G30" s="1959"/>
      <c r="H30" s="1959"/>
      <c r="I30" s="1959"/>
      <c r="J30" s="1959"/>
      <c r="K30" s="1959"/>
      <c r="L30" s="1959"/>
      <c r="M30" s="1959"/>
      <c r="N30" s="1959"/>
      <c r="O30" s="1959"/>
      <c r="P30" s="1959"/>
      <c r="Q30" s="1960"/>
    </row>
    <row r="31" spans="1:17">
      <c r="A31" s="1261" t="s">
        <v>887</v>
      </c>
      <c r="B31" s="1287" t="s">
        <v>888</v>
      </c>
      <c r="C31" s="1262" t="s">
        <v>889</v>
      </c>
      <c r="D31" s="1263" t="s">
        <v>890</v>
      </c>
      <c r="E31" s="1263" t="s">
        <v>891</v>
      </c>
      <c r="F31" s="1263" t="s">
        <v>892</v>
      </c>
      <c r="G31" s="1263" t="s">
        <v>893</v>
      </c>
      <c r="H31" s="1263" t="s">
        <v>894</v>
      </c>
      <c r="I31" s="1263" t="s">
        <v>932</v>
      </c>
      <c r="J31" s="1263" t="s">
        <v>966</v>
      </c>
      <c r="K31" s="1263" t="s">
        <v>967</v>
      </c>
      <c r="L31" s="1263" t="s">
        <v>969</v>
      </c>
      <c r="M31" s="1263" t="s">
        <v>1070</v>
      </c>
      <c r="N31" s="1264" t="s">
        <v>1096</v>
      </c>
      <c r="O31" s="1380" t="s">
        <v>1097</v>
      </c>
      <c r="P31" s="1285" t="s">
        <v>1098</v>
      </c>
      <c r="Q31" s="1286" t="s">
        <v>1099</v>
      </c>
    </row>
    <row r="32" spans="1:17">
      <c r="A32" s="1386" t="s">
        <v>320</v>
      </c>
      <c r="B32" s="1275">
        <f>173429.8</f>
        <v>173429.8</v>
      </c>
      <c r="C32" s="1272">
        <f>173429.8</f>
        <v>173429.8</v>
      </c>
      <c r="D32" s="1259">
        <f>0</f>
        <v>0</v>
      </c>
      <c r="E32" s="1259">
        <f>0</f>
        <v>0</v>
      </c>
      <c r="F32" s="1259">
        <f>0</f>
        <v>0</v>
      </c>
      <c r="G32" s="1259">
        <f>0</f>
        <v>0</v>
      </c>
      <c r="H32" s="1259">
        <f>0</f>
        <v>0</v>
      </c>
      <c r="I32" s="1259">
        <f>0</f>
        <v>0</v>
      </c>
      <c r="J32" s="1259">
        <f>173429.8</f>
        <v>173429.8</v>
      </c>
      <c r="K32" s="1259">
        <f>0</f>
        <v>0</v>
      </c>
      <c r="L32" s="1259">
        <f>0</f>
        <v>0</v>
      </c>
      <c r="M32" s="1259">
        <f>0</f>
        <v>0</v>
      </c>
      <c r="N32" s="1278">
        <f>0</f>
        <v>0</v>
      </c>
      <c r="O32" s="1281">
        <f>0</f>
        <v>0</v>
      </c>
      <c r="P32" s="1259">
        <f>0</f>
        <v>0</v>
      </c>
      <c r="Q32" s="1260">
        <f>0</f>
        <v>0</v>
      </c>
    </row>
    <row r="33" spans="1:17">
      <c r="A33" s="1382" t="s">
        <v>709</v>
      </c>
      <c r="B33" s="1276">
        <f>0</f>
        <v>0</v>
      </c>
      <c r="C33" s="1273">
        <f>0</f>
        <v>0</v>
      </c>
      <c r="D33" s="1255">
        <f>0</f>
        <v>0</v>
      </c>
      <c r="E33" s="1255">
        <f>0</f>
        <v>0</v>
      </c>
      <c r="F33" s="1255">
        <f>0</f>
        <v>0</v>
      </c>
      <c r="G33" s="1255">
        <f>0</f>
        <v>0</v>
      </c>
      <c r="H33" s="1255">
        <f>0</f>
        <v>0</v>
      </c>
      <c r="I33" s="1255">
        <f>0</f>
        <v>0</v>
      </c>
      <c r="J33" s="1255">
        <f>0</f>
        <v>0</v>
      </c>
      <c r="K33" s="1255">
        <f>0</f>
        <v>0</v>
      </c>
      <c r="L33" s="1255">
        <f>0</f>
        <v>0</v>
      </c>
      <c r="M33" s="1255">
        <f>0</f>
        <v>0</v>
      </c>
      <c r="N33" s="1279">
        <f>0</f>
        <v>0</v>
      </c>
      <c r="O33" s="1282">
        <f>0</f>
        <v>0</v>
      </c>
      <c r="P33" s="1255">
        <f>0</f>
        <v>0</v>
      </c>
      <c r="Q33" s="1256">
        <f>0</f>
        <v>0</v>
      </c>
    </row>
    <row r="34" spans="1:17">
      <c r="A34" s="1382" t="s">
        <v>321</v>
      </c>
      <c r="B34" s="1276">
        <f>173429.8</f>
        <v>173429.8</v>
      </c>
      <c r="C34" s="1273">
        <f>173429.8</f>
        <v>173429.8</v>
      </c>
      <c r="D34" s="1255">
        <f>0</f>
        <v>0</v>
      </c>
      <c r="E34" s="1255">
        <f>0</f>
        <v>0</v>
      </c>
      <c r="F34" s="1255">
        <f>0</f>
        <v>0</v>
      </c>
      <c r="G34" s="1255">
        <f>0</f>
        <v>0</v>
      </c>
      <c r="H34" s="1255">
        <f>0</f>
        <v>0</v>
      </c>
      <c r="I34" s="1255">
        <f>0</f>
        <v>0</v>
      </c>
      <c r="J34" s="1255">
        <f>173429.8</f>
        <v>173429.8</v>
      </c>
      <c r="K34" s="1255">
        <f>0</f>
        <v>0</v>
      </c>
      <c r="L34" s="1255">
        <f>0</f>
        <v>0</v>
      </c>
      <c r="M34" s="1255">
        <f>0</f>
        <v>0</v>
      </c>
      <c r="N34" s="1279">
        <f>0</f>
        <v>0</v>
      </c>
      <c r="O34" s="1282">
        <f>0</f>
        <v>0</v>
      </c>
      <c r="P34" s="1255">
        <f>0</f>
        <v>0</v>
      </c>
      <c r="Q34" s="1256">
        <f>0</f>
        <v>0</v>
      </c>
    </row>
    <row r="35" spans="1:17">
      <c r="A35" s="1377" t="s">
        <v>322</v>
      </c>
      <c r="B35" s="1276">
        <f>181494714.63</f>
        <v>181494714.63</v>
      </c>
      <c r="C35" s="1273">
        <f>181490830.97</f>
        <v>181490830.97</v>
      </c>
      <c r="D35" s="1255">
        <f>19741736.84</f>
        <v>19741736.84</v>
      </c>
      <c r="E35" s="1255">
        <f>138779.2</f>
        <v>138779.20000000001</v>
      </c>
      <c r="F35" s="1255">
        <f>4600</f>
        <v>4600</v>
      </c>
      <c r="G35" s="1255">
        <f>4498357.64</f>
        <v>4498357.6399999997</v>
      </c>
      <c r="H35" s="1255">
        <f>15100000</f>
        <v>15100000</v>
      </c>
      <c r="I35" s="1255">
        <f>0</f>
        <v>0</v>
      </c>
      <c r="J35" s="1255">
        <f>0</f>
        <v>0</v>
      </c>
      <c r="K35" s="1255">
        <f>0</f>
        <v>0</v>
      </c>
      <c r="L35" s="1255">
        <f>60411299.18</f>
        <v>60411299.18</v>
      </c>
      <c r="M35" s="1255">
        <f>99497481.09</f>
        <v>99497481.090000004</v>
      </c>
      <c r="N35" s="1279">
        <f>1840313.86</f>
        <v>1840313.86</v>
      </c>
      <c r="O35" s="1282">
        <f>3883.66</f>
        <v>3883.66</v>
      </c>
      <c r="P35" s="1255">
        <f>3883.66</f>
        <v>3883.66</v>
      </c>
      <c r="Q35" s="1256">
        <f>0</f>
        <v>0</v>
      </c>
    </row>
    <row r="36" spans="1:17">
      <c r="A36" s="1382" t="s">
        <v>708</v>
      </c>
      <c r="B36" s="1276">
        <f>1335353.25</f>
        <v>1335353.25</v>
      </c>
      <c r="C36" s="1273">
        <f>1335353.25</f>
        <v>1335353.25</v>
      </c>
      <c r="D36" s="1255">
        <f>315000</f>
        <v>315000</v>
      </c>
      <c r="E36" s="1255">
        <f>0</f>
        <v>0</v>
      </c>
      <c r="F36" s="1255">
        <f>0</f>
        <v>0</v>
      </c>
      <c r="G36" s="1255">
        <f>315000</f>
        <v>315000</v>
      </c>
      <c r="H36" s="1255">
        <f>0</f>
        <v>0</v>
      </c>
      <c r="I36" s="1255">
        <f>0</f>
        <v>0</v>
      </c>
      <c r="J36" s="1255">
        <f>0</f>
        <v>0</v>
      </c>
      <c r="K36" s="1255">
        <f>0</f>
        <v>0</v>
      </c>
      <c r="L36" s="1255">
        <f>177867.32</f>
        <v>177867.32</v>
      </c>
      <c r="M36" s="1255">
        <f>686485.93</f>
        <v>686485.93</v>
      </c>
      <c r="N36" s="1279">
        <f>156000</f>
        <v>156000</v>
      </c>
      <c r="O36" s="1282">
        <f>0</f>
        <v>0</v>
      </c>
      <c r="P36" s="1255">
        <f>0</f>
        <v>0</v>
      </c>
      <c r="Q36" s="1256">
        <f>0</f>
        <v>0</v>
      </c>
    </row>
    <row r="37" spans="1:17">
      <c r="A37" s="1382" t="s">
        <v>323</v>
      </c>
      <c r="B37" s="1276">
        <f>180159361.38</f>
        <v>180159361.38</v>
      </c>
      <c r="C37" s="1273">
        <f>180155477.72</f>
        <v>180155477.72</v>
      </c>
      <c r="D37" s="1255">
        <f>19426736.84</f>
        <v>19426736.84</v>
      </c>
      <c r="E37" s="1255">
        <f>138779.2</f>
        <v>138779.20000000001</v>
      </c>
      <c r="F37" s="1255">
        <f>4600</f>
        <v>4600</v>
      </c>
      <c r="G37" s="1255">
        <f>4183357.64</f>
        <v>4183357.64</v>
      </c>
      <c r="H37" s="1255">
        <f>15100000</f>
        <v>15100000</v>
      </c>
      <c r="I37" s="1255">
        <f>0</f>
        <v>0</v>
      </c>
      <c r="J37" s="1255">
        <f>0</f>
        <v>0</v>
      </c>
      <c r="K37" s="1255">
        <f>0</f>
        <v>0</v>
      </c>
      <c r="L37" s="1255">
        <f>60233431.86</f>
        <v>60233431.859999999</v>
      </c>
      <c r="M37" s="1255">
        <f>98810995.16</f>
        <v>98810995.159999996</v>
      </c>
      <c r="N37" s="1279">
        <f>1684313.86</f>
        <v>1684313.86</v>
      </c>
      <c r="O37" s="1282">
        <f>3883.66</f>
        <v>3883.66</v>
      </c>
      <c r="P37" s="1255">
        <f>3883.66</f>
        <v>3883.66</v>
      </c>
      <c r="Q37" s="1256">
        <f>0</f>
        <v>0</v>
      </c>
    </row>
    <row r="38" spans="1:17">
      <c r="A38" s="1381" t="s">
        <v>324</v>
      </c>
      <c r="B38" s="1276">
        <f>5349340364.23</f>
        <v>5349340364.2299995</v>
      </c>
      <c r="C38" s="1273">
        <f>5349340364.23</f>
        <v>5349340364.2299995</v>
      </c>
      <c r="D38" s="1255">
        <f>6908140.34</f>
        <v>6908140.3399999999</v>
      </c>
      <c r="E38" s="1255">
        <f>6602478.57</f>
        <v>6602478.5700000003</v>
      </c>
      <c r="F38" s="1255">
        <f>0</f>
        <v>0</v>
      </c>
      <c r="G38" s="1255">
        <f>305661.77</f>
        <v>305661.77</v>
      </c>
      <c r="H38" s="1255">
        <f>0</f>
        <v>0</v>
      </c>
      <c r="I38" s="1255">
        <f>0</f>
        <v>0</v>
      </c>
      <c r="J38" s="1255">
        <f>5342187118.32</f>
        <v>5342187118.3199997</v>
      </c>
      <c r="K38" s="1255">
        <f>154</f>
        <v>154</v>
      </c>
      <c r="L38" s="1255">
        <f>244951.57</f>
        <v>244951.57</v>
      </c>
      <c r="M38" s="1255">
        <f>0</f>
        <v>0</v>
      </c>
      <c r="N38" s="1279">
        <f>0</f>
        <v>0</v>
      </c>
      <c r="O38" s="1282">
        <f>0</f>
        <v>0</v>
      </c>
      <c r="P38" s="1255">
        <f>0</f>
        <v>0</v>
      </c>
      <c r="Q38" s="1256">
        <f>0</f>
        <v>0</v>
      </c>
    </row>
    <row r="39" spans="1:17">
      <c r="A39" s="1382" t="s">
        <v>325</v>
      </c>
      <c r="B39" s="1276">
        <f>305661.77</f>
        <v>305661.77</v>
      </c>
      <c r="C39" s="1273">
        <f>305661.77</f>
        <v>305661.77</v>
      </c>
      <c r="D39" s="1255">
        <f>305661.77</f>
        <v>305661.77</v>
      </c>
      <c r="E39" s="1255">
        <f>0</f>
        <v>0</v>
      </c>
      <c r="F39" s="1255">
        <f>0</f>
        <v>0</v>
      </c>
      <c r="G39" s="1255">
        <f>305661.77</f>
        <v>305661.77</v>
      </c>
      <c r="H39" s="1255">
        <f>0</f>
        <v>0</v>
      </c>
      <c r="I39" s="1255">
        <f>0</f>
        <v>0</v>
      </c>
      <c r="J39" s="1255">
        <f>0</f>
        <v>0</v>
      </c>
      <c r="K39" s="1255">
        <f>0</f>
        <v>0</v>
      </c>
      <c r="L39" s="1255">
        <f>0</f>
        <v>0</v>
      </c>
      <c r="M39" s="1255">
        <f>0</f>
        <v>0</v>
      </c>
      <c r="N39" s="1279">
        <f>0</f>
        <v>0</v>
      </c>
      <c r="O39" s="1282">
        <f>0</f>
        <v>0</v>
      </c>
      <c r="P39" s="1255">
        <f>0</f>
        <v>0</v>
      </c>
      <c r="Q39" s="1256">
        <f>0</f>
        <v>0</v>
      </c>
    </row>
    <row r="40" spans="1:17">
      <c r="A40" s="1382" t="s">
        <v>326</v>
      </c>
      <c r="B40" s="1276">
        <f>5089503858.93</f>
        <v>5089503858.9300003</v>
      </c>
      <c r="C40" s="1273">
        <f>5089503858.93</f>
        <v>5089503858.9300003</v>
      </c>
      <c r="D40" s="1255">
        <f>6557390.57</f>
        <v>6557390.5700000003</v>
      </c>
      <c r="E40" s="1255">
        <f>6557390.57</f>
        <v>6557390.5700000003</v>
      </c>
      <c r="F40" s="1255">
        <f>0</f>
        <v>0</v>
      </c>
      <c r="G40" s="1255">
        <f>0</f>
        <v>0</v>
      </c>
      <c r="H40" s="1255">
        <f>0</f>
        <v>0</v>
      </c>
      <c r="I40" s="1255">
        <f>0</f>
        <v>0</v>
      </c>
      <c r="J40" s="1255">
        <f>5082926904.68</f>
        <v>5082926904.6800003</v>
      </c>
      <c r="K40" s="1255">
        <f>154</f>
        <v>154</v>
      </c>
      <c r="L40" s="1255">
        <f>19409.68</f>
        <v>19409.68</v>
      </c>
      <c r="M40" s="1255">
        <f>0</f>
        <v>0</v>
      </c>
      <c r="N40" s="1279">
        <f>0</f>
        <v>0</v>
      </c>
      <c r="O40" s="1282">
        <f>0</f>
        <v>0</v>
      </c>
      <c r="P40" s="1255">
        <f>0</f>
        <v>0</v>
      </c>
      <c r="Q40" s="1256">
        <f>0</f>
        <v>0</v>
      </c>
    </row>
    <row r="41" spans="1:17">
      <c r="A41" s="1382" t="s">
        <v>327</v>
      </c>
      <c r="B41" s="1276">
        <f>259530843.53</f>
        <v>259530843.53</v>
      </c>
      <c r="C41" s="1273">
        <f>259530843.53</f>
        <v>259530843.53</v>
      </c>
      <c r="D41" s="1255">
        <f>45088</f>
        <v>45088</v>
      </c>
      <c r="E41" s="1255">
        <f>45088</f>
        <v>45088</v>
      </c>
      <c r="F41" s="1255">
        <f>0</f>
        <v>0</v>
      </c>
      <c r="G41" s="1255">
        <f>0</f>
        <v>0</v>
      </c>
      <c r="H41" s="1255">
        <f>0</f>
        <v>0</v>
      </c>
      <c r="I41" s="1255">
        <f>0</f>
        <v>0</v>
      </c>
      <c r="J41" s="1255">
        <f>259260213.64</f>
        <v>259260213.63999999</v>
      </c>
      <c r="K41" s="1255">
        <f>0</f>
        <v>0</v>
      </c>
      <c r="L41" s="1255">
        <f>225541.89</f>
        <v>225541.89</v>
      </c>
      <c r="M41" s="1255">
        <f>0</f>
        <v>0</v>
      </c>
      <c r="N41" s="1279">
        <f>0</f>
        <v>0</v>
      </c>
      <c r="O41" s="1282">
        <f>0</f>
        <v>0</v>
      </c>
      <c r="P41" s="1255">
        <f>0</f>
        <v>0</v>
      </c>
      <c r="Q41" s="1256">
        <f>0</f>
        <v>0</v>
      </c>
    </row>
    <row r="42" spans="1:17">
      <c r="A42" s="1381" t="s">
        <v>364</v>
      </c>
      <c r="B42" s="1276">
        <f>3132502786.27</f>
        <v>3132502786.27</v>
      </c>
      <c r="C42" s="1273">
        <f>3123479220.49</f>
        <v>3123479220.4899998</v>
      </c>
      <c r="D42" s="1255">
        <f>45972514.2</f>
        <v>45972514.200000003</v>
      </c>
      <c r="E42" s="1255">
        <f>31054750.5</f>
        <v>31054750.5</v>
      </c>
      <c r="F42" s="1255">
        <f>407284.92</f>
        <v>407284.92</v>
      </c>
      <c r="G42" s="1255">
        <f>11076688.48</f>
        <v>11076688.48</v>
      </c>
      <c r="H42" s="1255">
        <f>3433790.3</f>
        <v>3433790.3</v>
      </c>
      <c r="I42" s="1255">
        <f>0</f>
        <v>0</v>
      </c>
      <c r="J42" s="1255">
        <f>1437662.12</f>
        <v>1437662.12</v>
      </c>
      <c r="K42" s="1255">
        <f>4628456.36</f>
        <v>4628456.3600000003</v>
      </c>
      <c r="L42" s="1255">
        <f>694170917.01</f>
        <v>694170917.00999999</v>
      </c>
      <c r="M42" s="1255">
        <f>2335520542.32</f>
        <v>2335520542.3200002</v>
      </c>
      <c r="N42" s="1279">
        <f>41749128.48</f>
        <v>41749128.479999997</v>
      </c>
      <c r="O42" s="1282">
        <f>9023565.78</f>
        <v>9023565.7799999993</v>
      </c>
      <c r="P42" s="1255">
        <f>5329241.62</f>
        <v>5329241.62</v>
      </c>
      <c r="Q42" s="1256">
        <f>3694324.16</f>
        <v>3694324.16</v>
      </c>
    </row>
    <row r="43" spans="1:17">
      <c r="A43" s="1383" t="s">
        <v>328</v>
      </c>
      <c r="B43" s="1276">
        <f>596095898.83</f>
        <v>596095898.83000004</v>
      </c>
      <c r="C43" s="1273">
        <f>596094744.29</f>
        <v>596094744.28999996</v>
      </c>
      <c r="D43" s="1255">
        <f>1207299.57</f>
        <v>1207299.57</v>
      </c>
      <c r="E43" s="1255">
        <f>851803.97</f>
        <v>851803.97</v>
      </c>
      <c r="F43" s="1255">
        <f>1226.24</f>
        <v>1226.24</v>
      </c>
      <c r="G43" s="1255">
        <f>352065.98</f>
        <v>352065.98</v>
      </c>
      <c r="H43" s="1255">
        <f>2203.38</f>
        <v>2203.38</v>
      </c>
      <c r="I43" s="1255">
        <f>0</f>
        <v>0</v>
      </c>
      <c r="J43" s="1255">
        <f>291.69</f>
        <v>291.69</v>
      </c>
      <c r="K43" s="1255">
        <f>34400.23</f>
        <v>34400.230000000003</v>
      </c>
      <c r="L43" s="1255">
        <f>89603375.05</f>
        <v>89603375.049999997</v>
      </c>
      <c r="M43" s="1255">
        <f>482173618.95</f>
        <v>482173618.94999999</v>
      </c>
      <c r="N43" s="1279">
        <f>23075758.8</f>
        <v>23075758.800000001</v>
      </c>
      <c r="O43" s="1282">
        <f>1154.54</f>
        <v>1154.54</v>
      </c>
      <c r="P43" s="1255">
        <f>1045.43</f>
        <v>1045.43</v>
      </c>
      <c r="Q43" s="1256">
        <f>109.11</f>
        <v>109.11</v>
      </c>
    </row>
    <row r="44" spans="1:17">
      <c r="A44" s="1382" t="s">
        <v>329</v>
      </c>
      <c r="B44" s="1276">
        <f>2536406887.44</f>
        <v>2536406887.4400001</v>
      </c>
      <c r="C44" s="1273">
        <f>2527384476.2</f>
        <v>2527384476.1999998</v>
      </c>
      <c r="D44" s="1255">
        <f>44765214.63</f>
        <v>44765214.630000003</v>
      </c>
      <c r="E44" s="1255">
        <f>30202946.53</f>
        <v>30202946.530000001</v>
      </c>
      <c r="F44" s="1255">
        <f>406058.68</f>
        <v>406058.68</v>
      </c>
      <c r="G44" s="1255">
        <f>10724622.5</f>
        <v>10724622.5</v>
      </c>
      <c r="H44" s="1255">
        <f>3431586.92</f>
        <v>3431586.92</v>
      </c>
      <c r="I44" s="1255">
        <f>0</f>
        <v>0</v>
      </c>
      <c r="J44" s="1255">
        <f>1437370.43</f>
        <v>1437370.43</v>
      </c>
      <c r="K44" s="1255">
        <f>4594056.13</f>
        <v>4594056.13</v>
      </c>
      <c r="L44" s="1255">
        <f>604567541.96</f>
        <v>604567541.96000004</v>
      </c>
      <c r="M44" s="1255">
        <f>1853346923.37</f>
        <v>1853346923.3699999</v>
      </c>
      <c r="N44" s="1279">
        <f>18673369.68</f>
        <v>18673369.68</v>
      </c>
      <c r="O44" s="1282">
        <f>9022411.24</f>
        <v>9022411.2400000002</v>
      </c>
      <c r="P44" s="1255">
        <f>5328196.19</f>
        <v>5328196.1900000004</v>
      </c>
      <c r="Q44" s="1256">
        <f>3694215.05</f>
        <v>3694215.05</v>
      </c>
    </row>
    <row r="45" spans="1:17">
      <c r="A45" s="1381" t="s">
        <v>330</v>
      </c>
      <c r="B45" s="1276">
        <f>624171185.58</f>
        <v>624171185.58000004</v>
      </c>
      <c r="C45" s="1273">
        <f>624158774.64</f>
        <v>624158774.63999999</v>
      </c>
      <c r="D45" s="1255">
        <f>89328109.07</f>
        <v>89328109.069999993</v>
      </c>
      <c r="E45" s="1255">
        <f>67687616.64</f>
        <v>67687616.640000001</v>
      </c>
      <c r="F45" s="1255">
        <f>380999.61</f>
        <v>380999.61</v>
      </c>
      <c r="G45" s="1255">
        <f>20670439.51</f>
        <v>20670439.510000002</v>
      </c>
      <c r="H45" s="1255">
        <f>589053.31</f>
        <v>589053.31000000006</v>
      </c>
      <c r="I45" s="1255">
        <f>0</f>
        <v>0</v>
      </c>
      <c r="J45" s="1255">
        <f>104942.62</f>
        <v>104942.62</v>
      </c>
      <c r="K45" s="1255">
        <f>1351450.21</f>
        <v>1351450.21</v>
      </c>
      <c r="L45" s="1255">
        <f>279731511.82</f>
        <v>279731511.81999999</v>
      </c>
      <c r="M45" s="1255">
        <f>244171820.67</f>
        <v>244171820.66999999</v>
      </c>
      <c r="N45" s="1279">
        <f>9470940.25</f>
        <v>9470940.25</v>
      </c>
      <c r="O45" s="1282">
        <f>12410.94</f>
        <v>12410.94</v>
      </c>
      <c r="P45" s="1255">
        <f>8663.7</f>
        <v>8663.7000000000007</v>
      </c>
      <c r="Q45" s="1256">
        <f>3747.24</f>
        <v>3747.24</v>
      </c>
    </row>
    <row r="46" spans="1:17">
      <c r="A46" s="1383" t="s">
        <v>331</v>
      </c>
      <c r="B46" s="1276">
        <f>177321712.87</f>
        <v>177321712.87</v>
      </c>
      <c r="C46" s="1273">
        <f>177315848.6</f>
        <v>177315848.59999999</v>
      </c>
      <c r="D46" s="1255">
        <f>3681266.59</f>
        <v>3681266.59</v>
      </c>
      <c r="E46" s="1255">
        <f>461327.45</f>
        <v>461327.45</v>
      </c>
      <c r="F46" s="1255">
        <f>182959.17</f>
        <v>182959.17</v>
      </c>
      <c r="G46" s="1255">
        <f>2950873.72</f>
        <v>2950873.72</v>
      </c>
      <c r="H46" s="1255">
        <f>86106.25</f>
        <v>86106.25</v>
      </c>
      <c r="I46" s="1255">
        <f>0</f>
        <v>0</v>
      </c>
      <c r="J46" s="1255">
        <f>49121.2</f>
        <v>49121.2</v>
      </c>
      <c r="K46" s="1255">
        <f>1166893.46</f>
        <v>1166893.46</v>
      </c>
      <c r="L46" s="1255">
        <f>72023180.05</f>
        <v>72023180.049999997</v>
      </c>
      <c r="M46" s="1255">
        <f>98093128.72</f>
        <v>98093128.719999999</v>
      </c>
      <c r="N46" s="1279">
        <f>2302258.58</f>
        <v>2302258.58</v>
      </c>
      <c r="O46" s="1282">
        <f>5864.27</f>
        <v>5864.27</v>
      </c>
      <c r="P46" s="1255">
        <f>3050.31</f>
        <v>3050.31</v>
      </c>
      <c r="Q46" s="1256">
        <f>2813.96</f>
        <v>2813.96</v>
      </c>
    </row>
    <row r="47" spans="1:17" ht="27">
      <c r="A47" s="1383" t="s">
        <v>369</v>
      </c>
      <c r="B47" s="1276">
        <f>111212499.22</f>
        <v>111212499.22</v>
      </c>
      <c r="C47" s="1273">
        <f>111211565.94</f>
        <v>111211565.94</v>
      </c>
      <c r="D47" s="1255">
        <f>45254031.6</f>
        <v>45254031.600000001</v>
      </c>
      <c r="E47" s="1255">
        <f>42820144.61</f>
        <v>42820144.609999999</v>
      </c>
      <c r="F47" s="1255">
        <f>10564.33</f>
        <v>10564.33</v>
      </c>
      <c r="G47" s="1255">
        <f>2247133.09</f>
        <v>2247133.09</v>
      </c>
      <c r="H47" s="1255">
        <f>176189.57</f>
        <v>176189.57</v>
      </c>
      <c r="I47" s="1255">
        <f>0</f>
        <v>0</v>
      </c>
      <c r="J47" s="1255">
        <f>78.89</f>
        <v>78.89</v>
      </c>
      <c r="K47" s="1255">
        <f>1586</f>
        <v>1586</v>
      </c>
      <c r="L47" s="1255">
        <f>44571805.35</f>
        <v>44571805.350000001</v>
      </c>
      <c r="M47" s="1255">
        <f>21142578.88</f>
        <v>21142578.879999999</v>
      </c>
      <c r="N47" s="1279">
        <f>241485.22</f>
        <v>241485.22</v>
      </c>
      <c r="O47" s="1282">
        <f>933.28</f>
        <v>933.28</v>
      </c>
      <c r="P47" s="1255">
        <f>0</f>
        <v>0</v>
      </c>
      <c r="Q47" s="1256">
        <f>933.28</f>
        <v>933.28</v>
      </c>
    </row>
    <row r="48" spans="1:17">
      <c r="A48" s="1503" t="s">
        <v>333</v>
      </c>
      <c r="B48" s="1504">
        <f>335636973.49</f>
        <v>335636973.49000001</v>
      </c>
      <c r="C48" s="1505">
        <f>335631360.1</f>
        <v>335631360.10000002</v>
      </c>
      <c r="D48" s="1506">
        <f>40392810.88</f>
        <v>40392810.880000003</v>
      </c>
      <c r="E48" s="1506">
        <f>24406144.58</f>
        <v>24406144.579999998</v>
      </c>
      <c r="F48" s="1506">
        <f>187476.11</f>
        <v>187476.11</v>
      </c>
      <c r="G48" s="1506">
        <f>15472432.7</f>
        <v>15472432.699999999</v>
      </c>
      <c r="H48" s="1506">
        <f>326757.49</f>
        <v>326757.49</v>
      </c>
      <c r="I48" s="1506">
        <f>0</f>
        <v>0</v>
      </c>
      <c r="J48" s="1506">
        <f>55742.53</f>
        <v>55742.53</v>
      </c>
      <c r="K48" s="1506">
        <f>182970.75</f>
        <v>182970.75</v>
      </c>
      <c r="L48" s="1506">
        <f>163136526.42</f>
        <v>163136526.41999999</v>
      </c>
      <c r="M48" s="1506">
        <f>124936113.07</f>
        <v>124936113.06999999</v>
      </c>
      <c r="N48" s="1507">
        <f>6927196.45</f>
        <v>6927196.4500000002</v>
      </c>
      <c r="O48" s="1508">
        <f>5613.39</f>
        <v>5613.39</v>
      </c>
      <c r="P48" s="1506">
        <f>5613.39</f>
        <v>5613.39</v>
      </c>
      <c r="Q48" s="1509">
        <f>0</f>
        <v>0</v>
      </c>
    </row>
    <row r="49" spans="1:18">
      <c r="A49" s="1510"/>
      <c r="B49" s="1510"/>
      <c r="C49" s="1510"/>
      <c r="D49" s="1510"/>
      <c r="E49" s="1510"/>
      <c r="F49" s="1510"/>
      <c r="G49" s="1510"/>
      <c r="H49" s="1510"/>
      <c r="I49" s="1510"/>
      <c r="J49" s="1510"/>
      <c r="K49" s="1510"/>
      <c r="L49" s="1510"/>
      <c r="M49" s="1510"/>
      <c r="N49" s="1510"/>
      <c r="O49" s="1510"/>
      <c r="P49" s="1510"/>
      <c r="Q49" s="1510"/>
    </row>
    <row r="50" spans="1:18">
      <c r="A50" s="1430"/>
      <c r="B50" s="1430"/>
      <c r="C50" s="1430"/>
      <c r="D50" s="1430"/>
      <c r="E50" s="1430"/>
      <c r="F50" s="1430"/>
      <c r="G50" s="1430"/>
      <c r="H50" s="1430"/>
      <c r="I50" s="1430"/>
      <c r="J50" s="1430"/>
      <c r="K50" s="1430"/>
      <c r="L50" s="1430"/>
      <c r="M50" s="1430"/>
      <c r="N50" s="1430"/>
      <c r="O50" s="1430"/>
      <c r="P50" s="1430"/>
      <c r="Q50" s="1430"/>
    </row>
    <row r="51" spans="1:18">
      <c r="A51" s="1430"/>
      <c r="B51" s="1430"/>
      <c r="C51" s="1430"/>
      <c r="D51" s="1430"/>
      <c r="E51" s="1430"/>
      <c r="F51" s="1430"/>
      <c r="G51" s="1430"/>
      <c r="H51" s="1430"/>
      <c r="I51" s="1430"/>
      <c r="J51" s="1430"/>
      <c r="K51" s="1430"/>
      <c r="L51" s="1430"/>
      <c r="M51" s="1430"/>
      <c r="N51" s="1430"/>
      <c r="O51" s="1430"/>
      <c r="P51" s="1430"/>
      <c r="Q51" s="1430"/>
    </row>
    <row r="52" spans="1:18">
      <c r="A52" s="1430"/>
      <c r="B52" s="1430"/>
      <c r="C52" s="1430"/>
      <c r="D52" s="1430"/>
      <c r="E52" s="1430"/>
      <c r="F52" s="1430"/>
      <c r="G52" s="1430"/>
      <c r="H52" s="1430"/>
      <c r="I52" s="1430"/>
      <c r="J52" s="1430"/>
      <c r="K52" s="1430"/>
      <c r="L52" s="1430"/>
      <c r="M52" s="1430"/>
      <c r="N52" s="1430"/>
      <c r="O52" s="1430"/>
      <c r="P52" s="1430"/>
      <c r="Q52" s="1430"/>
    </row>
    <row r="53" spans="1:18">
      <c r="A53" s="1430"/>
      <c r="B53" s="1430"/>
      <c r="C53" s="1430"/>
      <c r="D53" s="1430"/>
      <c r="E53" s="1430"/>
      <c r="F53" s="1430"/>
      <c r="G53" s="1430"/>
      <c r="H53" s="1430"/>
      <c r="I53" s="1430"/>
      <c r="J53" s="1430"/>
      <c r="K53" s="1430"/>
      <c r="L53" s="1430"/>
      <c r="M53" s="1430"/>
      <c r="N53" s="1430"/>
      <c r="O53" s="1430"/>
      <c r="P53" s="1430"/>
      <c r="Q53" s="1430"/>
    </row>
    <row r="54" spans="1:18">
      <c r="A54" s="1430"/>
      <c r="B54" s="1430"/>
      <c r="C54" s="1430"/>
      <c r="D54" s="1430"/>
      <c r="E54" s="1430"/>
      <c r="F54" s="1430"/>
      <c r="G54" s="1430"/>
      <c r="H54" s="1430"/>
      <c r="I54" s="1430"/>
      <c r="J54" s="1430"/>
      <c r="K54" s="1430"/>
      <c r="L54" s="1430"/>
      <c r="M54" s="1430"/>
      <c r="N54" s="1430"/>
      <c r="O54" s="1430"/>
      <c r="P54" s="1430"/>
      <c r="Q54" s="1430"/>
    </row>
    <row r="55" spans="1:18">
      <c r="A55" s="1430"/>
      <c r="B55" s="1430"/>
      <c r="C55" s="1430"/>
      <c r="D55" s="1430"/>
      <c r="E55" s="1430"/>
      <c r="F55" s="1430"/>
      <c r="G55" s="1430"/>
      <c r="H55" s="1430"/>
      <c r="I55" s="1430"/>
      <c r="J55" s="1430"/>
      <c r="K55" s="1430"/>
      <c r="L55" s="1430"/>
      <c r="M55" s="1430"/>
      <c r="N55" s="1430"/>
      <c r="O55" s="1430"/>
      <c r="P55" s="1430"/>
      <c r="Q55" s="1430"/>
    </row>
    <row r="56" spans="1:18">
      <c r="A56" s="1430"/>
      <c r="B56" s="1430"/>
      <c r="C56" s="1430"/>
      <c r="D56" s="1430"/>
      <c r="E56" s="1430"/>
      <c r="F56" s="1430"/>
      <c r="G56" s="1430"/>
      <c r="H56" s="1430"/>
      <c r="I56" s="1430"/>
      <c r="J56" s="1430"/>
      <c r="K56" s="1430"/>
      <c r="L56" s="1430"/>
      <c r="M56" s="1430"/>
      <c r="N56" s="1430"/>
      <c r="O56" s="1430"/>
      <c r="P56" s="1430"/>
      <c r="Q56" s="1430"/>
    </row>
    <row r="57" spans="1:18">
      <c r="A57" s="1430"/>
      <c r="B57" s="1430"/>
      <c r="C57" s="1430"/>
      <c r="D57" s="1430"/>
      <c r="E57" s="1430"/>
      <c r="F57" s="1430"/>
      <c r="G57" s="1430"/>
      <c r="H57" s="1430"/>
      <c r="I57" s="1430"/>
      <c r="J57" s="1430"/>
      <c r="K57" s="1430"/>
      <c r="L57" s="1430"/>
      <c r="M57" s="1430"/>
      <c r="N57" s="1430"/>
      <c r="O57" s="1430"/>
      <c r="P57" s="1430"/>
      <c r="Q57" s="1430"/>
    </row>
    <row r="58" spans="1:18">
      <c r="A58" s="1978" t="s">
        <v>334</v>
      </c>
      <c r="B58" s="1978"/>
      <c r="C58" s="1978"/>
      <c r="D58" s="1978"/>
      <c r="E58" s="1978"/>
      <c r="F58" s="1978"/>
      <c r="G58" s="1978"/>
      <c r="H58" s="1978"/>
      <c r="I58" s="1978"/>
      <c r="J58" s="1978"/>
      <c r="K58" s="1978"/>
      <c r="L58" s="1978"/>
      <c r="M58" s="1430"/>
      <c r="N58" s="1430"/>
      <c r="O58" s="1430"/>
      <c r="P58" s="1430"/>
      <c r="Q58" s="1430"/>
      <c r="R58" s="32"/>
    </row>
    <row r="59" spans="1:18">
      <c r="A59" s="1500"/>
      <c r="B59" s="1500"/>
      <c r="C59" s="1500"/>
      <c r="D59" s="1500"/>
      <c r="E59" s="1500"/>
      <c r="F59" s="1500"/>
      <c r="G59" s="1500"/>
      <c r="H59" s="1500"/>
      <c r="I59" s="1500"/>
      <c r="J59" s="1500"/>
      <c r="K59" s="1500"/>
      <c r="L59" s="1430"/>
      <c r="M59" s="1430"/>
      <c r="N59" s="1430"/>
      <c r="O59" s="1430"/>
      <c r="P59" s="1430"/>
      <c r="Q59" s="1430"/>
      <c r="R59" s="32"/>
    </row>
    <row r="60" spans="1:18">
      <c r="A60" s="1983" t="s">
        <v>68</v>
      </c>
      <c r="B60" s="1981"/>
      <c r="C60" s="1981"/>
      <c r="D60" s="1984"/>
      <c r="E60" s="1980" t="s">
        <v>335</v>
      </c>
      <c r="F60" s="1981" t="s">
        <v>336</v>
      </c>
      <c r="G60" s="1981"/>
      <c r="H60" s="1981"/>
      <c r="I60" s="1981"/>
      <c r="J60" s="1981"/>
      <c r="K60" s="1982"/>
      <c r="L60" s="1512"/>
      <c r="M60" s="1430"/>
      <c r="N60" s="1430"/>
      <c r="O60" s="1430"/>
      <c r="P60" s="1430"/>
      <c r="Q60" s="1430"/>
      <c r="R60" s="1511"/>
    </row>
    <row r="61" spans="1:18">
      <c r="A61" s="1743"/>
      <c r="B61" s="1745"/>
      <c r="C61" s="1745"/>
      <c r="D61" s="1747"/>
      <c r="E61" s="1759"/>
      <c r="F61" s="1745" t="s">
        <v>337</v>
      </c>
      <c r="G61" s="1745" t="s">
        <v>287</v>
      </c>
      <c r="H61" s="1745" t="s">
        <v>288</v>
      </c>
      <c r="I61" s="1745" t="s">
        <v>317</v>
      </c>
      <c r="J61" s="1745" t="s">
        <v>338</v>
      </c>
      <c r="K61" s="1763" t="s">
        <v>339</v>
      </c>
      <c r="L61" s="1512"/>
      <c r="M61" s="1430"/>
      <c r="N61" s="1430"/>
      <c r="O61" s="1430"/>
      <c r="P61" s="1430"/>
      <c r="Q61" s="1430"/>
      <c r="R61" s="1511"/>
    </row>
    <row r="62" spans="1:18">
      <c r="A62" s="1743"/>
      <c r="B62" s="1745"/>
      <c r="C62" s="1745"/>
      <c r="D62" s="1747"/>
      <c r="E62" s="1759"/>
      <c r="F62" s="1745"/>
      <c r="G62" s="1745"/>
      <c r="H62" s="1745"/>
      <c r="I62" s="1745"/>
      <c r="J62" s="1745"/>
      <c r="K62" s="1763"/>
      <c r="L62" s="1512"/>
      <c r="M62" s="1430"/>
      <c r="N62" s="1430"/>
      <c r="O62" s="1430"/>
      <c r="P62" s="1430"/>
      <c r="Q62" s="1430"/>
      <c r="R62" s="1511"/>
    </row>
    <row r="63" spans="1:18">
      <c r="A63" s="1743"/>
      <c r="B63" s="1745"/>
      <c r="C63" s="1745"/>
      <c r="D63" s="1747"/>
      <c r="E63" s="1759"/>
      <c r="F63" s="1745"/>
      <c r="G63" s="1745"/>
      <c r="H63" s="1745"/>
      <c r="I63" s="1745"/>
      <c r="J63" s="1745"/>
      <c r="K63" s="1763"/>
      <c r="L63" s="1512"/>
      <c r="M63" s="1430"/>
      <c r="N63" s="1430"/>
      <c r="O63" s="1430"/>
      <c r="P63" s="1430"/>
      <c r="Q63" s="1430"/>
      <c r="R63" s="1511"/>
    </row>
    <row r="64" spans="1:18" ht="36" customHeight="1">
      <c r="A64" s="1743"/>
      <c r="B64" s="1745"/>
      <c r="C64" s="1745"/>
      <c r="D64" s="1747"/>
      <c r="E64" s="1765"/>
      <c r="F64" s="1766"/>
      <c r="G64" s="1766"/>
      <c r="H64" s="1766"/>
      <c r="I64" s="1766"/>
      <c r="J64" s="1766"/>
      <c r="K64" s="1955"/>
      <c r="L64" s="1512"/>
      <c r="M64" s="1430"/>
      <c r="N64" s="1430"/>
      <c r="O64" s="1430"/>
      <c r="P64" s="1430"/>
      <c r="Q64" s="1430"/>
      <c r="R64" s="1511"/>
    </row>
    <row r="65" spans="1:18">
      <c r="A65" s="1961"/>
      <c r="B65" s="1766"/>
      <c r="C65" s="1766"/>
      <c r="D65" s="1962"/>
      <c r="E65" s="1977" t="s">
        <v>4</v>
      </c>
      <c r="F65" s="1953"/>
      <c r="G65" s="1953"/>
      <c r="H65" s="1953"/>
      <c r="I65" s="1953"/>
      <c r="J65" s="1953"/>
      <c r="K65" s="1944"/>
      <c r="L65" s="1512"/>
      <c r="M65" s="1430"/>
      <c r="N65" s="1430"/>
      <c r="O65" s="1430"/>
      <c r="P65" s="1430"/>
      <c r="Q65" s="1430"/>
      <c r="R65" s="1511"/>
    </row>
    <row r="66" spans="1:18">
      <c r="A66" s="1790" t="s">
        <v>887</v>
      </c>
      <c r="B66" s="1791"/>
      <c r="C66" s="1791"/>
      <c r="D66" s="1792"/>
      <c r="E66" s="1262" t="s">
        <v>888</v>
      </c>
      <c r="F66" s="1263" t="s">
        <v>889</v>
      </c>
      <c r="G66" s="1263" t="s">
        <v>890</v>
      </c>
      <c r="H66" s="1263" t="s">
        <v>891</v>
      </c>
      <c r="I66" s="1263" t="s">
        <v>892</v>
      </c>
      <c r="J66" s="1263" t="s">
        <v>893</v>
      </c>
      <c r="K66" s="1264" t="s">
        <v>894</v>
      </c>
      <c r="L66" s="1512"/>
      <c r="M66" s="1430"/>
      <c r="N66" s="1430"/>
      <c r="O66" s="1430"/>
      <c r="P66" s="1430"/>
      <c r="Q66" s="1430"/>
      <c r="R66" s="1511"/>
    </row>
    <row r="67" spans="1:18" ht="24" customHeight="1">
      <c r="A67" s="1793" t="s">
        <v>340</v>
      </c>
      <c r="B67" s="1794"/>
      <c r="C67" s="1794"/>
      <c r="D67" s="1795"/>
      <c r="E67" s="1237">
        <f>347638505.83</f>
        <v>347638505.82999998</v>
      </c>
      <c r="F67" s="1232">
        <f>75389053.64</f>
        <v>75389053.640000001</v>
      </c>
      <c r="G67" s="1232">
        <f>14813682.81</f>
        <v>14813682.810000001</v>
      </c>
      <c r="H67" s="1232">
        <f>5158358.93</f>
        <v>5158358.93</v>
      </c>
      <c r="I67" s="1232">
        <f>50294511.9</f>
        <v>50294511.899999999</v>
      </c>
      <c r="J67" s="1232">
        <f>5122500</f>
        <v>5122500</v>
      </c>
      <c r="K67" s="1246">
        <f>272249452.19</f>
        <v>272249452.19</v>
      </c>
      <c r="L67" s="1512"/>
      <c r="M67" s="1430"/>
      <c r="N67" s="1430"/>
      <c r="O67" s="1430"/>
      <c r="P67" s="1430"/>
      <c r="Q67" s="1430"/>
      <c r="R67" s="1511"/>
    </row>
    <row r="68" spans="1:18" ht="27.6" customHeight="1">
      <c r="A68" s="1769" t="s">
        <v>341</v>
      </c>
      <c r="B68" s="1770"/>
      <c r="C68" s="1770"/>
      <c r="D68" s="1771"/>
      <c r="E68" s="1238">
        <f>12005518.67</f>
        <v>12005518.67</v>
      </c>
      <c r="F68" s="1228">
        <f>0</f>
        <v>0</v>
      </c>
      <c r="G68" s="1228">
        <f>0</f>
        <v>0</v>
      </c>
      <c r="H68" s="1228">
        <f>0</f>
        <v>0</v>
      </c>
      <c r="I68" s="1228">
        <f>0</f>
        <v>0</v>
      </c>
      <c r="J68" s="1228">
        <f>0</f>
        <v>0</v>
      </c>
      <c r="K68" s="1247">
        <f>12005518.67</f>
        <v>12005518.67</v>
      </c>
      <c r="L68" s="1512"/>
      <c r="M68" s="1430"/>
      <c r="N68" s="1430"/>
      <c r="O68" s="1430"/>
      <c r="P68" s="1430"/>
      <c r="Q68" s="1430"/>
      <c r="R68" s="1511"/>
    </row>
    <row r="69" spans="1:18">
      <c r="A69" s="1769" t="s">
        <v>342</v>
      </c>
      <c r="B69" s="1770"/>
      <c r="C69" s="1770"/>
      <c r="D69" s="1771"/>
      <c r="E69" s="1238">
        <f>20484288.55</f>
        <v>20484288.550000001</v>
      </c>
      <c r="F69" s="1228">
        <f>8864409</f>
        <v>8864409</v>
      </c>
      <c r="G69" s="1228">
        <f>0</f>
        <v>0</v>
      </c>
      <c r="H69" s="1228">
        <f>0</f>
        <v>0</v>
      </c>
      <c r="I69" s="1228">
        <f>8864409</f>
        <v>8864409</v>
      </c>
      <c r="J69" s="1228">
        <f>0</f>
        <v>0</v>
      </c>
      <c r="K69" s="1247">
        <f>11619879.55</f>
        <v>11619879.550000001</v>
      </c>
      <c r="L69" s="1512"/>
      <c r="M69" s="1430"/>
      <c r="N69" s="1430"/>
      <c r="O69" s="1430"/>
      <c r="P69" s="1430"/>
      <c r="Q69" s="1430"/>
      <c r="R69" s="1511"/>
    </row>
    <row r="70" spans="1:18">
      <c r="A70" s="1769" t="s">
        <v>343</v>
      </c>
      <c r="B70" s="1770"/>
      <c r="C70" s="1770"/>
      <c r="D70" s="1771"/>
      <c r="E70" s="1238">
        <f>6613775.5</f>
        <v>6613775.5</v>
      </c>
      <c r="F70" s="1228">
        <f>5158358.93</f>
        <v>5158358.93</v>
      </c>
      <c r="G70" s="1228">
        <f>0</f>
        <v>0</v>
      </c>
      <c r="H70" s="1228">
        <f>5158358.93</f>
        <v>5158358.93</v>
      </c>
      <c r="I70" s="1228">
        <f>0</f>
        <v>0</v>
      </c>
      <c r="J70" s="1228">
        <f>0</f>
        <v>0</v>
      </c>
      <c r="K70" s="1247">
        <f>1455416.57</f>
        <v>1455416.57</v>
      </c>
      <c r="L70" s="1512"/>
      <c r="M70" s="1430"/>
      <c r="N70" s="1430"/>
      <c r="O70" s="1430"/>
      <c r="P70" s="1430"/>
      <c r="Q70" s="1430"/>
      <c r="R70" s="1511"/>
    </row>
    <row r="71" spans="1:18">
      <c r="A71" s="1769" t="s">
        <v>344</v>
      </c>
      <c r="B71" s="1770"/>
      <c r="C71" s="1770"/>
      <c r="D71" s="1771"/>
      <c r="E71" s="1238">
        <f>1595.11</f>
        <v>1595.11</v>
      </c>
      <c r="F71" s="1228">
        <f>0</f>
        <v>0</v>
      </c>
      <c r="G71" s="1228">
        <f>0</f>
        <v>0</v>
      </c>
      <c r="H71" s="1228">
        <f>0</f>
        <v>0</v>
      </c>
      <c r="I71" s="1228">
        <f>0</f>
        <v>0</v>
      </c>
      <c r="J71" s="1228">
        <f>0</f>
        <v>0</v>
      </c>
      <c r="K71" s="1247">
        <f>1595.11</f>
        <v>1595.11</v>
      </c>
      <c r="L71" s="1512"/>
      <c r="M71" s="1430"/>
      <c r="N71" s="1430"/>
      <c r="O71" s="1430"/>
      <c r="P71" s="1430"/>
      <c r="Q71" s="1430"/>
      <c r="R71" s="1511"/>
    </row>
    <row r="72" spans="1:18" ht="27.6" customHeight="1">
      <c r="A72" s="1769" t="s">
        <v>345</v>
      </c>
      <c r="B72" s="1770"/>
      <c r="C72" s="1770"/>
      <c r="D72" s="1771"/>
      <c r="E72" s="1238">
        <f>4072048.93</f>
        <v>4072048.93</v>
      </c>
      <c r="F72" s="1228">
        <f>0</f>
        <v>0</v>
      </c>
      <c r="G72" s="1228">
        <f>0</f>
        <v>0</v>
      </c>
      <c r="H72" s="1228">
        <f>0</f>
        <v>0</v>
      </c>
      <c r="I72" s="1228">
        <f>0</f>
        <v>0</v>
      </c>
      <c r="J72" s="1228">
        <f>0</f>
        <v>0</v>
      </c>
      <c r="K72" s="1247">
        <f>4072048.93</f>
        <v>4072048.93</v>
      </c>
      <c r="L72" s="1512"/>
      <c r="M72" s="1430"/>
      <c r="N72" s="1430"/>
      <c r="O72" s="1430"/>
      <c r="P72" s="1430"/>
      <c r="Q72" s="1430"/>
      <c r="R72" s="1511"/>
    </row>
    <row r="73" spans="1:18" ht="28.9" customHeight="1">
      <c r="A73" s="1772" t="s">
        <v>346</v>
      </c>
      <c r="B73" s="1773"/>
      <c r="C73" s="1773"/>
      <c r="D73" s="1774"/>
      <c r="E73" s="1239">
        <f>0</f>
        <v>0</v>
      </c>
      <c r="F73" s="1230">
        <f>0</f>
        <v>0</v>
      </c>
      <c r="G73" s="1230">
        <f>0</f>
        <v>0</v>
      </c>
      <c r="H73" s="1230">
        <f>0</f>
        <v>0</v>
      </c>
      <c r="I73" s="1230">
        <f>0</f>
        <v>0</v>
      </c>
      <c r="J73" s="1230">
        <f>0</f>
        <v>0</v>
      </c>
      <c r="K73" s="1248">
        <f>0</f>
        <v>0</v>
      </c>
      <c r="L73" s="1512"/>
      <c r="M73" s="1430"/>
      <c r="N73" s="1430"/>
      <c r="O73" s="1430"/>
      <c r="P73" s="1430"/>
      <c r="Q73" s="1430"/>
      <c r="R73" s="1511"/>
    </row>
    <row r="74" spans="1:18">
      <c r="L74" s="1430"/>
      <c r="M74" s="1430"/>
      <c r="N74" s="1430"/>
      <c r="O74" s="1430"/>
      <c r="P74" s="1430"/>
      <c r="Q74" s="1430"/>
      <c r="R74" s="1430"/>
    </row>
    <row r="75" spans="1:18">
      <c r="L75" s="1430"/>
      <c r="M75" s="1430"/>
      <c r="N75" s="1430"/>
      <c r="O75" s="1430"/>
      <c r="P75" s="1430"/>
      <c r="Q75" s="1430"/>
      <c r="R75" s="1430"/>
    </row>
    <row r="76" spans="1:18">
      <c r="L76" s="1430"/>
      <c r="M76" s="1430"/>
      <c r="N76" s="1430"/>
      <c r="O76" s="1430"/>
      <c r="P76" s="1430"/>
      <c r="Q76" s="1430"/>
      <c r="R76" s="1430"/>
    </row>
    <row r="77" spans="1:18">
      <c r="L77" s="1430"/>
      <c r="M77" s="1430"/>
      <c r="N77" s="1430"/>
      <c r="O77" s="1430"/>
      <c r="P77" s="1430"/>
      <c r="Q77" s="1430"/>
      <c r="R77" s="1430"/>
    </row>
    <row r="78" spans="1:18">
      <c r="L78" s="1430"/>
      <c r="M78" s="1430"/>
      <c r="N78" s="1430"/>
      <c r="O78" s="1430"/>
      <c r="P78" s="1430"/>
      <c r="Q78" s="1430"/>
      <c r="R78" s="1430"/>
    </row>
    <row r="79" spans="1:18">
      <c r="L79" s="1430"/>
      <c r="M79" s="1430"/>
      <c r="N79" s="1430"/>
      <c r="O79" s="1430"/>
      <c r="P79" s="1430"/>
      <c r="Q79" s="1430"/>
      <c r="R79" s="1430"/>
    </row>
    <row r="80" spans="1:18">
      <c r="L80" s="1430"/>
      <c r="M80" s="1430"/>
      <c r="N80" s="1430"/>
      <c r="O80" s="1430"/>
      <c r="P80" s="1430"/>
      <c r="Q80" s="1430"/>
      <c r="R80" s="1430"/>
    </row>
    <row r="81" spans="12:18">
      <c r="L81" s="1430"/>
      <c r="M81" s="1430"/>
      <c r="N81" s="1430"/>
      <c r="O81" s="1430"/>
      <c r="P81" s="1430"/>
      <c r="Q81" s="1430"/>
      <c r="R81" s="1430"/>
    </row>
    <row r="82" spans="12:18">
      <c r="L82" s="1430"/>
      <c r="M82" s="1430"/>
      <c r="N82" s="1430"/>
      <c r="O82" s="1430"/>
      <c r="P82" s="1430"/>
      <c r="Q82" s="1430"/>
      <c r="R82" s="1430"/>
    </row>
    <row r="83" spans="12:18">
      <c r="L83" s="1430"/>
      <c r="M83" s="1430"/>
      <c r="N83" s="1430"/>
      <c r="O83" s="1430"/>
      <c r="P83" s="1430"/>
      <c r="Q83" s="1430"/>
      <c r="R83" s="1430"/>
    </row>
    <row r="84" spans="12:18">
      <c r="L84" s="1430"/>
      <c r="M84" s="1430"/>
      <c r="N84" s="1430"/>
      <c r="O84" s="1430"/>
      <c r="P84" s="1430"/>
      <c r="Q84" s="1430"/>
      <c r="R84" s="1430"/>
    </row>
    <row r="85" spans="12:18">
      <c r="L85" s="1430"/>
      <c r="M85" s="1430"/>
      <c r="N85" s="1430"/>
      <c r="O85" s="1430"/>
      <c r="P85" s="1430"/>
      <c r="Q85" s="1430"/>
      <c r="R85" s="1430"/>
    </row>
    <row r="86" spans="12:18">
      <c r="L86" s="1430"/>
      <c r="M86" s="1430"/>
      <c r="N86" s="1430"/>
      <c r="O86" s="1430"/>
      <c r="P86" s="1430"/>
      <c r="Q86" s="1430"/>
      <c r="R86" s="1430"/>
    </row>
    <row r="87" spans="12:18">
      <c r="L87" s="1430"/>
      <c r="M87" s="1430"/>
      <c r="N87" s="1430"/>
      <c r="O87" s="1430"/>
      <c r="P87" s="1430"/>
      <c r="Q87" s="1430"/>
      <c r="R87" s="1430"/>
    </row>
    <row r="88" spans="12:18">
      <c r="L88" s="1430"/>
      <c r="M88" s="1430"/>
      <c r="N88" s="1430"/>
      <c r="O88" s="1430"/>
      <c r="P88" s="1430"/>
      <c r="Q88" s="1430"/>
      <c r="R88" s="1430"/>
    </row>
    <row r="89" spans="12:18">
      <c r="L89" s="1430"/>
      <c r="M89" s="1430"/>
      <c r="N89" s="1430"/>
      <c r="O89" s="1430"/>
      <c r="P89" s="1430"/>
      <c r="Q89" s="1430"/>
      <c r="R89" s="1430"/>
    </row>
    <row r="90" spans="12:18">
      <c r="L90" s="1430"/>
      <c r="M90" s="1430"/>
      <c r="N90" s="1430"/>
      <c r="O90" s="1430"/>
      <c r="P90" s="1430"/>
      <c r="Q90" s="1430"/>
      <c r="R90" s="1430"/>
    </row>
    <row r="91" spans="12:18">
      <c r="L91" s="1430"/>
      <c r="M91" s="1430"/>
      <c r="N91" s="1430"/>
      <c r="O91" s="1430"/>
      <c r="P91" s="1430"/>
      <c r="Q91" s="1430"/>
      <c r="R91" s="1430"/>
    </row>
    <row r="92" spans="12:18">
      <c r="L92" s="1430"/>
      <c r="M92" s="1430"/>
      <c r="N92" s="1430"/>
      <c r="O92" s="1430"/>
      <c r="P92" s="1430"/>
      <c r="Q92" s="1430"/>
      <c r="R92" s="1430"/>
    </row>
    <row r="93" spans="12:18">
      <c r="L93" s="1430"/>
      <c r="M93" s="1430"/>
      <c r="N93" s="1430"/>
      <c r="O93" s="1430"/>
      <c r="P93" s="1430"/>
      <c r="Q93" s="1430"/>
      <c r="R93" s="1430"/>
    </row>
    <row r="94" spans="12:18">
      <c r="L94" s="1430"/>
      <c r="M94" s="1430"/>
      <c r="N94" s="1430"/>
      <c r="O94" s="1430"/>
      <c r="P94" s="1430"/>
      <c r="Q94" s="1430"/>
      <c r="R94" s="1430"/>
    </row>
    <row r="95" spans="12:18">
      <c r="L95" s="1430"/>
      <c r="M95" s="1430"/>
      <c r="N95" s="1430"/>
      <c r="O95" s="1430"/>
      <c r="P95" s="1430"/>
      <c r="Q95" s="1430"/>
      <c r="R95" s="1430"/>
    </row>
    <row r="96" spans="12:18">
      <c r="L96" s="1430"/>
      <c r="M96" s="1430"/>
      <c r="N96" s="1430"/>
      <c r="O96" s="1430"/>
      <c r="P96" s="1430"/>
      <c r="Q96" s="1430"/>
      <c r="R96" s="1430"/>
    </row>
    <row r="97" spans="12:18">
      <c r="L97" s="1430"/>
      <c r="M97" s="1430"/>
      <c r="N97" s="1430"/>
      <c r="O97" s="1430"/>
      <c r="P97" s="1430"/>
      <c r="Q97" s="1430"/>
      <c r="R97" s="1430"/>
    </row>
    <row r="98" spans="12:18">
      <c r="L98" s="1430"/>
      <c r="M98" s="1430"/>
      <c r="N98" s="1430"/>
      <c r="O98" s="1430"/>
      <c r="P98" s="1430"/>
      <c r="Q98" s="1430"/>
      <c r="R98" s="1430"/>
    </row>
    <row r="99" spans="12:18">
      <c r="L99" s="1430"/>
      <c r="M99" s="1430"/>
      <c r="N99" s="1430"/>
      <c r="O99" s="1430"/>
      <c r="P99" s="1430"/>
      <c r="Q99" s="1430"/>
      <c r="R99" s="1430"/>
    </row>
    <row r="100" spans="12:18">
      <c r="L100" s="1430"/>
      <c r="M100" s="1430"/>
      <c r="N100" s="1430"/>
      <c r="O100" s="1430"/>
      <c r="P100" s="1430"/>
      <c r="Q100" s="1430"/>
      <c r="R100" s="1430"/>
    </row>
    <row r="101" spans="12:18">
      <c r="L101" s="1430"/>
      <c r="M101" s="1430"/>
      <c r="N101" s="1430"/>
      <c r="O101" s="1430"/>
      <c r="P101" s="1430"/>
      <c r="Q101" s="1430"/>
      <c r="R101" s="1430"/>
    </row>
    <row r="102" spans="12:18">
      <c r="L102" s="1430"/>
      <c r="M102" s="1430"/>
      <c r="N102" s="1430"/>
      <c r="O102" s="1430"/>
      <c r="P102" s="1430"/>
      <c r="Q102" s="1430"/>
      <c r="R102" s="1430"/>
    </row>
    <row r="103" spans="12:18">
      <c r="L103" s="1430"/>
      <c r="M103" s="1430"/>
      <c r="N103" s="1430"/>
      <c r="O103" s="1430"/>
      <c r="P103" s="1430"/>
      <c r="Q103" s="1430"/>
      <c r="R103" s="1430"/>
    </row>
    <row r="104" spans="12:18">
      <c r="L104" s="1430"/>
      <c r="M104" s="1430"/>
      <c r="N104" s="1430"/>
      <c r="O104" s="1430"/>
      <c r="P104" s="1430"/>
      <c r="Q104" s="1430"/>
      <c r="R104" s="1430"/>
    </row>
    <row r="105" spans="12:18">
      <c r="L105" s="1430"/>
      <c r="M105" s="1430"/>
      <c r="N105" s="1430"/>
      <c r="O105" s="1430"/>
      <c r="P105" s="1430"/>
      <c r="Q105" s="1430"/>
      <c r="R105" s="1430"/>
    </row>
    <row r="106" spans="12:18">
      <c r="L106" s="1430"/>
      <c r="M106" s="1430"/>
      <c r="N106" s="1430"/>
      <c r="O106" s="1430"/>
      <c r="P106" s="1430"/>
      <c r="Q106" s="1430"/>
      <c r="R106" s="1430"/>
    </row>
    <row r="107" spans="12:18">
      <c r="L107" s="1430"/>
      <c r="M107" s="1430"/>
      <c r="N107" s="1430"/>
      <c r="O107" s="1430"/>
      <c r="P107" s="1430"/>
      <c r="Q107" s="1430"/>
      <c r="R107" s="1430"/>
    </row>
    <row r="108" spans="12:18">
      <c r="L108" s="1430"/>
      <c r="M108" s="1430"/>
      <c r="N108" s="1430"/>
      <c r="O108" s="1430"/>
      <c r="P108" s="1430"/>
      <c r="Q108" s="1430"/>
      <c r="R108" s="1430"/>
    </row>
    <row r="109" spans="12:18">
      <c r="L109" s="1430"/>
      <c r="M109" s="1430"/>
      <c r="N109" s="1430"/>
      <c r="O109" s="1430"/>
      <c r="P109" s="1430"/>
      <c r="Q109" s="1430"/>
      <c r="R109" s="1430"/>
    </row>
    <row r="110" spans="12:18">
      <c r="L110" s="1430"/>
      <c r="M110" s="1430"/>
      <c r="N110" s="1430"/>
      <c r="O110" s="1430"/>
      <c r="P110" s="1430"/>
      <c r="Q110" s="1430"/>
      <c r="R110" s="1430"/>
    </row>
    <row r="111" spans="12:18">
      <c r="L111" s="1430"/>
      <c r="M111" s="1430"/>
      <c r="N111" s="1430"/>
      <c r="O111" s="1430"/>
      <c r="P111" s="1430"/>
      <c r="Q111" s="1430"/>
      <c r="R111" s="1430"/>
    </row>
    <row r="112" spans="12:18">
      <c r="L112" s="1430"/>
      <c r="M112" s="1430"/>
      <c r="N112" s="1430"/>
      <c r="O112" s="1430"/>
      <c r="P112" s="1430"/>
      <c r="Q112" s="1430"/>
      <c r="R112" s="1430"/>
    </row>
    <row r="113" spans="12:18">
      <c r="L113" s="1430"/>
      <c r="M113" s="1430"/>
      <c r="N113" s="1430"/>
      <c r="O113" s="1430"/>
      <c r="P113" s="1430"/>
      <c r="Q113" s="1430"/>
      <c r="R113" s="1430"/>
    </row>
    <row r="114" spans="12:18">
      <c r="L114" s="1430"/>
      <c r="M114" s="1430"/>
      <c r="N114" s="1430"/>
      <c r="O114" s="1430"/>
      <c r="P114" s="1430"/>
      <c r="Q114" s="1430"/>
      <c r="R114" s="1430"/>
    </row>
    <row r="115" spans="12:18">
      <c r="L115" s="1430"/>
      <c r="M115" s="1430"/>
      <c r="N115" s="1430"/>
      <c r="O115" s="1430"/>
      <c r="P115" s="1430"/>
      <c r="Q115" s="1430"/>
      <c r="R115" s="1430"/>
    </row>
    <row r="116" spans="12:18">
      <c r="L116" s="1430"/>
      <c r="M116" s="1430"/>
      <c r="N116" s="1430"/>
      <c r="O116" s="1430"/>
      <c r="P116" s="1430"/>
      <c r="Q116" s="1430"/>
      <c r="R116" s="1430"/>
    </row>
    <row r="117" spans="12:18">
      <c r="L117" s="1430"/>
      <c r="M117" s="1430"/>
      <c r="N117" s="1430"/>
      <c r="O117" s="1430"/>
      <c r="P117" s="1430"/>
      <c r="Q117" s="1430"/>
      <c r="R117" s="1430"/>
    </row>
    <row r="118" spans="12:18">
      <c r="L118" s="1430"/>
      <c r="M118" s="1430"/>
      <c r="N118" s="1430"/>
      <c r="O118" s="1430"/>
      <c r="P118" s="1430"/>
      <c r="Q118" s="1430"/>
      <c r="R118" s="1430"/>
    </row>
    <row r="119" spans="12:18">
      <c r="L119" s="1430"/>
      <c r="M119" s="1430"/>
      <c r="N119" s="1430"/>
      <c r="O119" s="1430"/>
      <c r="P119" s="1430"/>
      <c r="Q119" s="1430"/>
      <c r="R119" s="1430"/>
    </row>
    <row r="120" spans="12:18">
      <c r="L120" s="1430"/>
      <c r="M120" s="1430"/>
      <c r="N120" s="1430"/>
      <c r="O120" s="1430"/>
      <c r="P120" s="1430"/>
      <c r="Q120" s="1430"/>
      <c r="R120" s="1430"/>
    </row>
    <row r="121" spans="12:18">
      <c r="L121" s="1430"/>
      <c r="M121" s="1430"/>
      <c r="N121" s="1430"/>
      <c r="O121" s="1430"/>
      <c r="P121" s="1430"/>
      <c r="Q121" s="1430"/>
      <c r="R121" s="1430"/>
    </row>
    <row r="122" spans="12:18">
      <c r="L122" s="1430"/>
      <c r="M122" s="1430"/>
      <c r="N122" s="1430"/>
      <c r="O122" s="1430"/>
      <c r="P122" s="1430"/>
      <c r="Q122" s="1430"/>
      <c r="R122" s="1430"/>
    </row>
    <row r="123" spans="12:18">
      <c r="L123" s="1430"/>
      <c r="M123" s="1430"/>
      <c r="N123" s="1430"/>
      <c r="O123" s="1430"/>
      <c r="P123" s="1430"/>
      <c r="Q123" s="1430"/>
      <c r="R123" s="1430"/>
    </row>
    <row r="124" spans="12:18">
      <c r="L124" s="1430"/>
      <c r="M124" s="1430"/>
      <c r="N124" s="1430"/>
      <c r="O124" s="1430"/>
      <c r="P124" s="1430"/>
      <c r="Q124" s="1430"/>
      <c r="R124" s="1430"/>
    </row>
    <row r="125" spans="12:18">
      <c r="L125" s="1430"/>
      <c r="M125" s="1430"/>
      <c r="N125" s="1430"/>
      <c r="O125" s="1430"/>
      <c r="P125" s="1430"/>
      <c r="Q125" s="1430"/>
      <c r="R125" s="1430"/>
    </row>
    <row r="126" spans="12:18">
      <c r="L126" s="1430"/>
      <c r="M126" s="1430"/>
      <c r="N126" s="1430"/>
      <c r="O126" s="1430"/>
      <c r="P126" s="1430"/>
      <c r="Q126" s="1430"/>
      <c r="R126" s="1430"/>
    </row>
    <row r="127" spans="12:18">
      <c r="L127" s="1430"/>
      <c r="M127" s="1430"/>
      <c r="N127" s="1430"/>
      <c r="O127" s="1430"/>
      <c r="P127" s="1430"/>
      <c r="Q127" s="1430"/>
      <c r="R127" s="1430"/>
    </row>
    <row r="128" spans="12:18">
      <c r="L128" s="1430"/>
      <c r="M128" s="1430"/>
      <c r="N128" s="1430"/>
      <c r="O128" s="1430"/>
      <c r="P128" s="1430"/>
      <c r="Q128" s="1430"/>
      <c r="R128" s="1430"/>
    </row>
    <row r="129" spans="12:18">
      <c r="L129" s="1430"/>
      <c r="M129" s="1430"/>
      <c r="N129" s="1430"/>
      <c r="O129" s="1430"/>
      <c r="P129" s="1430"/>
      <c r="Q129" s="1430"/>
      <c r="R129" s="1430"/>
    </row>
    <row r="130" spans="12:18">
      <c r="L130" s="1430"/>
      <c r="M130" s="1430"/>
      <c r="N130" s="1430"/>
      <c r="O130" s="1430"/>
      <c r="P130" s="1430"/>
      <c r="Q130" s="1430"/>
      <c r="R130" s="1430"/>
    </row>
    <row r="131" spans="12:18">
      <c r="L131" s="1430"/>
      <c r="M131" s="1430"/>
      <c r="N131" s="1430"/>
      <c r="O131" s="1430"/>
      <c r="P131" s="1430"/>
      <c r="Q131" s="1430"/>
      <c r="R131" s="1430"/>
    </row>
    <row r="132" spans="12:18">
      <c r="L132" s="1430"/>
      <c r="M132" s="1430"/>
      <c r="N132" s="1430"/>
      <c r="O132" s="1430"/>
      <c r="P132" s="1430"/>
      <c r="Q132" s="1430"/>
      <c r="R132" s="1430"/>
    </row>
    <row r="133" spans="12:18">
      <c r="L133" s="1430"/>
      <c r="M133" s="1430"/>
      <c r="N133" s="1430"/>
      <c r="O133" s="1430"/>
      <c r="P133" s="1430"/>
      <c r="Q133" s="1430"/>
      <c r="R133" s="1430"/>
    </row>
    <row r="134" spans="12:18">
      <c r="L134" s="1430"/>
      <c r="M134" s="1430"/>
      <c r="N134" s="1430"/>
      <c r="O134" s="1430"/>
      <c r="P134" s="1430"/>
      <c r="Q134" s="1430"/>
      <c r="R134" s="1430"/>
    </row>
    <row r="135" spans="12:18">
      <c r="L135" s="1430"/>
      <c r="M135" s="1430"/>
      <c r="N135" s="1430"/>
      <c r="O135" s="1430"/>
      <c r="P135" s="1430"/>
      <c r="Q135" s="1430"/>
      <c r="R135" s="1430"/>
    </row>
    <row r="136" spans="12:18">
      <c r="L136" s="1430"/>
      <c r="M136" s="1430"/>
      <c r="N136" s="1430"/>
      <c r="O136" s="1430"/>
      <c r="P136" s="1430"/>
      <c r="Q136" s="1430"/>
      <c r="R136" s="1430"/>
    </row>
    <row r="137" spans="12:18">
      <c r="L137" s="1430"/>
      <c r="M137" s="1430"/>
      <c r="N137" s="1430"/>
      <c r="O137" s="1430"/>
      <c r="P137" s="1430"/>
      <c r="Q137" s="1430"/>
      <c r="R137" s="1430"/>
    </row>
    <row r="138" spans="12:18">
      <c r="L138" s="1430"/>
      <c r="M138" s="1430"/>
      <c r="N138" s="1430"/>
      <c r="O138" s="1430"/>
      <c r="P138" s="1430"/>
      <c r="Q138" s="1430"/>
      <c r="R138" s="1430"/>
    </row>
    <row r="139" spans="12:18">
      <c r="L139" s="1430"/>
      <c r="M139" s="1430"/>
      <c r="N139" s="1430"/>
      <c r="O139" s="1430"/>
      <c r="P139" s="1430"/>
      <c r="Q139" s="1430"/>
      <c r="R139" s="1430"/>
    </row>
    <row r="140" spans="12:18">
      <c r="L140" s="1430"/>
      <c r="M140" s="1430"/>
      <c r="N140" s="1430"/>
      <c r="O140" s="1430"/>
      <c r="P140" s="1430"/>
      <c r="Q140" s="1430"/>
      <c r="R140" s="1430"/>
    </row>
    <row r="141" spans="12:18">
      <c r="L141" s="1430"/>
      <c r="M141" s="1430"/>
      <c r="N141" s="1430"/>
      <c r="O141" s="1430"/>
      <c r="P141" s="1430"/>
      <c r="Q141" s="1430"/>
      <c r="R141" s="1430"/>
    </row>
    <row r="142" spans="12:18">
      <c r="L142" s="1430"/>
      <c r="M142" s="1430"/>
      <c r="N142" s="1430"/>
      <c r="O142" s="1430"/>
      <c r="P142" s="1430"/>
      <c r="Q142" s="1430"/>
      <c r="R142" s="1430"/>
    </row>
    <row r="143" spans="12:18">
      <c r="L143" s="1430"/>
      <c r="M143" s="1430"/>
      <c r="N143" s="1430"/>
      <c r="O143" s="1430"/>
      <c r="P143" s="1430"/>
      <c r="Q143" s="1430"/>
      <c r="R143" s="1430"/>
    </row>
    <row r="144" spans="12:18">
      <c r="L144" s="1430"/>
      <c r="M144" s="1430"/>
      <c r="N144" s="1430"/>
      <c r="O144" s="1430"/>
      <c r="P144" s="1430"/>
      <c r="Q144" s="1430"/>
      <c r="R144" s="1430"/>
    </row>
    <row r="145" spans="12:18">
      <c r="L145" s="1430"/>
      <c r="M145" s="1430"/>
      <c r="N145" s="1430"/>
      <c r="O145" s="1430"/>
      <c r="P145" s="1430"/>
      <c r="Q145" s="1430"/>
      <c r="R145" s="1430"/>
    </row>
    <row r="146" spans="12:18">
      <c r="L146" s="1430"/>
      <c r="M146" s="1430"/>
      <c r="N146" s="1430"/>
      <c r="O146" s="1430"/>
      <c r="P146" s="1430"/>
      <c r="Q146" s="1430"/>
      <c r="R146" s="1430"/>
    </row>
    <row r="147" spans="12:18">
      <c r="L147" s="1430"/>
      <c r="M147" s="1430"/>
      <c r="N147" s="1430"/>
      <c r="O147" s="1430"/>
      <c r="P147" s="1430"/>
      <c r="Q147" s="1430"/>
      <c r="R147" s="1430"/>
    </row>
    <row r="148" spans="12:18">
      <c r="L148" s="1430"/>
      <c r="M148" s="1430"/>
      <c r="N148" s="1430"/>
      <c r="O148" s="1430"/>
      <c r="P148" s="1430"/>
      <c r="Q148" s="1430"/>
      <c r="R148" s="1430"/>
    </row>
    <row r="149" spans="12:18">
      <c r="L149" s="1430"/>
      <c r="M149" s="1430"/>
      <c r="N149" s="1430"/>
      <c r="O149" s="1430"/>
      <c r="P149" s="1430"/>
      <c r="Q149" s="1430"/>
      <c r="R149" s="1430"/>
    </row>
    <row r="150" spans="12:18">
      <c r="L150" s="1430"/>
      <c r="M150" s="1430"/>
      <c r="N150" s="1430"/>
      <c r="O150" s="1430"/>
      <c r="P150" s="1430"/>
      <c r="Q150" s="1430"/>
      <c r="R150" s="1430"/>
    </row>
    <row r="151" spans="12:18">
      <c r="L151" s="1430"/>
      <c r="M151" s="1430"/>
      <c r="N151" s="1430"/>
      <c r="O151" s="1430"/>
      <c r="P151" s="1430"/>
      <c r="Q151" s="1430"/>
      <c r="R151" s="1430"/>
    </row>
    <row r="152" spans="12:18">
      <c r="L152" s="1430"/>
      <c r="M152" s="1430"/>
      <c r="N152" s="1430"/>
      <c r="O152" s="1430"/>
      <c r="P152" s="1430"/>
      <c r="Q152" s="1430"/>
      <c r="R152" s="1430"/>
    </row>
    <row r="153" spans="12:18">
      <c r="L153" s="1430"/>
      <c r="M153" s="1430"/>
      <c r="N153" s="1430"/>
      <c r="O153" s="1430"/>
      <c r="P153" s="1430"/>
      <c r="Q153" s="1430"/>
      <c r="R153" s="1430"/>
    </row>
    <row r="154" spans="12:18">
      <c r="L154" s="1430"/>
      <c r="M154" s="1430"/>
      <c r="N154" s="1430"/>
      <c r="O154" s="1430"/>
      <c r="P154" s="1430"/>
      <c r="Q154" s="1430"/>
      <c r="R154" s="1430"/>
    </row>
    <row r="155" spans="12:18">
      <c r="L155" s="1430"/>
      <c r="M155" s="1430"/>
      <c r="N155" s="1430"/>
      <c r="O155" s="1430"/>
      <c r="P155" s="1430"/>
      <c r="Q155" s="1430"/>
      <c r="R155" s="1430"/>
    </row>
    <row r="156" spans="12:18">
      <c r="L156" s="1430"/>
      <c r="M156" s="1430"/>
      <c r="N156" s="1430"/>
      <c r="O156" s="1430"/>
      <c r="P156" s="1430"/>
      <c r="Q156" s="1430"/>
      <c r="R156" s="1430"/>
    </row>
    <row r="157" spans="12:18">
      <c r="L157" s="1430"/>
      <c r="M157" s="1430"/>
      <c r="N157" s="1430"/>
      <c r="O157" s="1430"/>
      <c r="P157" s="1430"/>
      <c r="Q157" s="1430"/>
      <c r="R157" s="1430"/>
    </row>
    <row r="158" spans="12:18">
      <c r="L158" s="1430"/>
      <c r="M158" s="1430"/>
      <c r="N158" s="1430"/>
      <c r="O158" s="1430"/>
      <c r="P158" s="1430"/>
      <c r="Q158" s="1430"/>
      <c r="R158" s="1430"/>
    </row>
    <row r="159" spans="12:18">
      <c r="L159" s="1430"/>
      <c r="M159" s="1430"/>
      <c r="N159" s="1430"/>
      <c r="O159" s="1430"/>
      <c r="P159" s="1430"/>
      <c r="Q159" s="1430"/>
      <c r="R159" s="1430"/>
    </row>
    <row r="160" spans="12:18">
      <c r="L160" s="1430"/>
      <c r="M160" s="1430"/>
      <c r="N160" s="1430"/>
      <c r="O160" s="1430"/>
      <c r="P160" s="1430"/>
      <c r="Q160" s="1430"/>
      <c r="R160" s="1430"/>
    </row>
    <row r="161" spans="12:18">
      <c r="L161" s="1430"/>
      <c r="M161" s="1430"/>
      <c r="N161" s="1430"/>
      <c r="O161" s="1430"/>
      <c r="P161" s="1430"/>
      <c r="Q161" s="1430"/>
      <c r="R161" s="1430"/>
    </row>
    <row r="162" spans="12:18">
      <c r="L162" s="1430"/>
      <c r="M162" s="1430"/>
      <c r="N162" s="1430"/>
      <c r="O162" s="1430"/>
      <c r="P162" s="1430"/>
      <c r="Q162" s="1430"/>
      <c r="R162" s="1430"/>
    </row>
    <row r="163" spans="12:18">
      <c r="L163" s="1430"/>
      <c r="M163" s="1430"/>
      <c r="N163" s="1430"/>
      <c r="O163" s="1430"/>
      <c r="P163" s="1430"/>
      <c r="Q163" s="1430"/>
      <c r="R163" s="1430"/>
    </row>
    <row r="164" spans="12:18">
      <c r="L164" s="1430"/>
      <c r="M164" s="1430"/>
      <c r="N164" s="1430"/>
      <c r="O164" s="1430"/>
      <c r="P164" s="1430"/>
      <c r="Q164" s="1430"/>
      <c r="R164" s="1430"/>
    </row>
    <row r="165" spans="12:18">
      <c r="L165" s="1430"/>
      <c r="M165" s="1430"/>
      <c r="N165" s="1430"/>
      <c r="O165" s="1430"/>
      <c r="P165" s="1430"/>
      <c r="Q165" s="1430"/>
      <c r="R165" s="1430"/>
    </row>
    <row r="166" spans="12:18">
      <c r="L166" s="1430"/>
      <c r="M166" s="1430"/>
      <c r="N166" s="1430"/>
      <c r="O166" s="1430"/>
      <c r="P166" s="1430"/>
      <c r="Q166" s="1430"/>
      <c r="R166" s="1430"/>
    </row>
    <row r="167" spans="12:18">
      <c r="L167" s="1430"/>
      <c r="M167" s="1430"/>
      <c r="N167" s="1430"/>
      <c r="O167" s="1430"/>
      <c r="P167" s="1430"/>
      <c r="Q167" s="1430"/>
      <c r="R167" s="1430"/>
    </row>
    <row r="168" spans="12:18">
      <c r="L168" s="1430"/>
      <c r="M168" s="1430"/>
      <c r="N168" s="1430"/>
      <c r="O168" s="1430"/>
      <c r="P168" s="1430"/>
      <c r="Q168" s="1430"/>
      <c r="R168" s="1430"/>
    </row>
    <row r="169" spans="12:18">
      <c r="L169" s="1430"/>
      <c r="M169" s="1430"/>
      <c r="N169" s="1430"/>
      <c r="O169" s="1430"/>
      <c r="P169" s="1430"/>
      <c r="Q169" s="1430"/>
      <c r="R169" s="1430"/>
    </row>
    <row r="170" spans="12:18">
      <c r="L170" s="1430"/>
      <c r="M170" s="1430"/>
      <c r="N170" s="1430"/>
      <c r="O170" s="1430"/>
      <c r="P170" s="1430"/>
      <c r="Q170" s="1430"/>
      <c r="R170" s="1430"/>
    </row>
    <row r="171" spans="12:18">
      <c r="L171" s="1430"/>
      <c r="M171" s="1430"/>
      <c r="N171" s="1430"/>
      <c r="O171" s="1430"/>
      <c r="P171" s="1430"/>
      <c r="Q171" s="1430"/>
      <c r="R171" s="1430"/>
    </row>
    <row r="172" spans="12:18">
      <c r="L172" s="1430"/>
      <c r="M172" s="1430"/>
      <c r="N172" s="1430"/>
      <c r="O172" s="1430"/>
      <c r="P172" s="1430"/>
      <c r="Q172" s="1430"/>
      <c r="R172" s="1430"/>
    </row>
    <row r="173" spans="12:18">
      <c r="L173" s="1430"/>
      <c r="M173" s="1430"/>
      <c r="N173" s="1430"/>
      <c r="O173" s="1430"/>
      <c r="P173" s="1430"/>
      <c r="Q173" s="1430"/>
      <c r="R173" s="1430"/>
    </row>
    <row r="174" spans="12:18">
      <c r="L174" s="1430"/>
      <c r="M174" s="1430"/>
      <c r="N174" s="1430"/>
      <c r="O174" s="1430"/>
      <c r="P174" s="1430"/>
      <c r="Q174" s="1430"/>
      <c r="R174" s="1430"/>
    </row>
    <row r="175" spans="12:18">
      <c r="L175" s="1430"/>
      <c r="M175" s="1430"/>
      <c r="N175" s="1430"/>
      <c r="O175" s="1430"/>
      <c r="P175" s="1430"/>
      <c r="Q175" s="1430"/>
      <c r="R175" s="1430"/>
    </row>
    <row r="176" spans="12:18">
      <c r="L176" s="1430"/>
      <c r="M176" s="1430"/>
      <c r="N176" s="1430"/>
      <c r="O176" s="1430"/>
      <c r="P176" s="1430"/>
      <c r="Q176" s="1430"/>
      <c r="R176" s="1430"/>
    </row>
    <row r="177" spans="12:18">
      <c r="L177" s="1430"/>
      <c r="M177" s="1430"/>
      <c r="N177" s="1430"/>
      <c r="O177" s="1430"/>
      <c r="P177" s="1430"/>
      <c r="Q177" s="1430"/>
      <c r="R177" s="1430"/>
    </row>
    <row r="178" spans="12:18">
      <c r="L178" s="1430"/>
      <c r="M178" s="1430"/>
      <c r="N178" s="1430"/>
      <c r="O178" s="1430"/>
      <c r="P178" s="1430"/>
      <c r="Q178" s="1430"/>
      <c r="R178" s="1430"/>
    </row>
    <row r="179" spans="12:18">
      <c r="L179" s="1430"/>
      <c r="M179" s="1430"/>
      <c r="N179" s="1430"/>
      <c r="O179" s="1430"/>
      <c r="P179" s="1430"/>
      <c r="Q179" s="1430"/>
      <c r="R179" s="1430"/>
    </row>
  </sheetData>
  <mergeCells count="62">
    <mergeCell ref="A73:D73"/>
    <mergeCell ref="A66:D66"/>
    <mergeCell ref="A67:D67"/>
    <mergeCell ref="A68:D68"/>
    <mergeCell ref="B9:Q9"/>
    <mergeCell ref="A4:A9"/>
    <mergeCell ref="A69:D69"/>
    <mergeCell ref="A70:D70"/>
    <mergeCell ref="A71:D71"/>
    <mergeCell ref="Q27:Q29"/>
    <mergeCell ref="A58:L58"/>
    <mergeCell ref="E60:E64"/>
    <mergeCell ref="F60:K60"/>
    <mergeCell ref="F61:F64"/>
    <mergeCell ref="G61:G64"/>
    <mergeCell ref="H61:H64"/>
    <mergeCell ref="M27:M29"/>
    <mergeCell ref="N27:N29"/>
    <mergeCell ref="O27:O29"/>
    <mergeCell ref="A72:D72"/>
    <mergeCell ref="I61:I64"/>
    <mergeCell ref="J61:J64"/>
    <mergeCell ref="K61:K64"/>
    <mergeCell ref="A60:D65"/>
    <mergeCell ref="E65:K65"/>
    <mergeCell ref="P27:P29"/>
    <mergeCell ref="A24:M24"/>
    <mergeCell ref="B26:B29"/>
    <mergeCell ref="C26:N26"/>
    <mergeCell ref="O26:Q26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A26:A30"/>
    <mergeCell ref="L27:L29"/>
    <mergeCell ref="M5:M8"/>
    <mergeCell ref="N5:N8"/>
    <mergeCell ref="O5:O8"/>
    <mergeCell ref="P5:P8"/>
    <mergeCell ref="Q5:Q8"/>
    <mergeCell ref="A2:M2"/>
    <mergeCell ref="C3:M3"/>
    <mergeCell ref="B4:B8"/>
    <mergeCell ref="C4:N4"/>
    <mergeCell ref="B30:Q30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</mergeCells>
  <printOptions horizontalCentered="1"/>
  <pageMargins left="0.27559055118110237" right="0.27559055118110237" top="0.39370078740157483" bottom="0.35433070866141736" header="0.31496062992125984" footer="0"/>
  <pageSetup paperSize="9" scale="65" firstPageNumber="5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92"/>
  <sheetViews>
    <sheetView showGridLines="0" topLeftCell="A73" zoomScaleNormal="100" zoomScaleSheetLayoutView="100" workbookViewId="0">
      <selection activeCell="D110" sqref="D110"/>
    </sheetView>
  </sheetViews>
  <sheetFormatPr defaultColWidth="9.140625" defaultRowHeight="13.5"/>
  <cols>
    <col min="1" max="1" width="32.7109375" style="1107" customWidth="1"/>
    <col min="2" max="4" width="12.28515625" style="1107" bestFit="1" customWidth="1"/>
    <col min="5" max="5" width="11.42578125" style="1107" bestFit="1" customWidth="1"/>
    <col min="6" max="6" width="10.28515625" style="1107" bestFit="1" customWidth="1"/>
    <col min="7" max="7" width="9.5703125" style="1107" bestFit="1" customWidth="1"/>
    <col min="8" max="8" width="11.42578125" style="1107" customWidth="1"/>
    <col min="9" max="12" width="9.28515625" style="1107" bestFit="1" customWidth="1"/>
    <col min="13" max="14" width="9.140625" style="1107"/>
    <col min="15" max="16384" width="9.140625" style="1513"/>
  </cols>
  <sheetData>
    <row r="1" spans="1:12">
      <c r="A1" s="2003" t="s">
        <v>1113</v>
      </c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</row>
    <row r="3" spans="1:12" ht="72" customHeight="1">
      <c r="A3" s="1988" t="s">
        <v>218</v>
      </c>
      <c r="B3" s="1290" t="s">
        <v>1080</v>
      </c>
      <c r="C3" s="1290" t="s">
        <v>1081</v>
      </c>
      <c r="D3" s="1290" t="s">
        <v>1082</v>
      </c>
      <c r="E3" s="1290" t="s">
        <v>1083</v>
      </c>
      <c r="F3" s="1290" t="s">
        <v>1084</v>
      </c>
      <c r="G3" s="1290" t="s">
        <v>1085</v>
      </c>
      <c r="H3" s="1290" t="s">
        <v>1086</v>
      </c>
      <c r="I3" s="1290" t="s">
        <v>1087</v>
      </c>
      <c r="J3" s="1292" t="s">
        <v>219</v>
      </c>
      <c r="K3" s="1290" t="s">
        <v>1079</v>
      </c>
      <c r="L3" s="1290" t="s">
        <v>221</v>
      </c>
    </row>
    <row r="4" spans="1:12">
      <c r="A4" s="1989"/>
      <c r="B4" s="1990" t="s">
        <v>4</v>
      </c>
      <c r="C4" s="1990"/>
      <c r="D4" s="1990"/>
      <c r="E4" s="1990"/>
      <c r="F4" s="1990"/>
      <c r="G4" s="1990"/>
      <c r="H4" s="1990"/>
      <c r="I4" s="1990"/>
      <c r="J4" s="1991" t="s">
        <v>5</v>
      </c>
      <c r="K4" s="1990"/>
      <c r="L4" s="1992"/>
    </row>
    <row r="5" spans="1:12">
      <c r="A5" s="1328" t="s">
        <v>887</v>
      </c>
      <c r="B5" s="1517" t="s">
        <v>888</v>
      </c>
      <c r="C5" s="1517" t="s">
        <v>889</v>
      </c>
      <c r="D5" s="1517" t="s">
        <v>890</v>
      </c>
      <c r="E5" s="1518" t="s">
        <v>891</v>
      </c>
      <c r="F5" s="1517" t="s">
        <v>892</v>
      </c>
      <c r="G5" s="1518" t="s">
        <v>893</v>
      </c>
      <c r="H5" s="1517" t="s">
        <v>894</v>
      </c>
      <c r="I5" s="1518" t="s">
        <v>932</v>
      </c>
      <c r="J5" s="1520" t="s">
        <v>966</v>
      </c>
      <c r="K5" s="1518" t="s">
        <v>967</v>
      </c>
      <c r="L5" s="1519" t="s">
        <v>969</v>
      </c>
    </row>
    <row r="6" spans="1:12">
      <c r="A6" s="1098" t="s">
        <v>222</v>
      </c>
      <c r="B6" s="1590">
        <f>69687335418.88</f>
        <v>69687335418.880005</v>
      </c>
      <c r="C6" s="1590">
        <f>71734804879.92</f>
        <v>71734804879.919998</v>
      </c>
      <c r="D6" s="1590">
        <f>71355971392.97</f>
        <v>71355971392.970001</v>
      </c>
      <c r="E6" s="1590">
        <f>1426539029</f>
        <v>1426539029</v>
      </c>
      <c r="F6" s="1590">
        <f>446913739.06</f>
        <v>446913739.06</v>
      </c>
      <c r="G6" s="1590">
        <f>53466572.77</f>
        <v>53466572.770000003</v>
      </c>
      <c r="H6" s="1590">
        <f>23136066.52</f>
        <v>23136066.52</v>
      </c>
      <c r="I6" s="1590">
        <f>263907.33</f>
        <v>263907.33</v>
      </c>
      <c r="J6" s="1591">
        <v>100</v>
      </c>
      <c r="K6" s="1591">
        <v>102.9380797080746</v>
      </c>
      <c r="L6" s="1591"/>
    </row>
    <row r="7" spans="1:12" ht="27">
      <c r="A7" s="1098" t="s">
        <v>223</v>
      </c>
      <c r="B7" s="1590">
        <f>B6-B22-B42</f>
        <v>25474727926.860004</v>
      </c>
      <c r="C7" s="1590">
        <f>C6-C22-C42</f>
        <v>26530635198.540001</v>
      </c>
      <c r="D7" s="1590">
        <f>D6-D22-D42</f>
        <v>26269786263.849998</v>
      </c>
      <c r="E7" s="1590">
        <f>E6</f>
        <v>1426539029</v>
      </c>
      <c r="F7" s="1590">
        <f>F6</f>
        <v>446913739.06</v>
      </c>
      <c r="G7" s="1590">
        <f>G6</f>
        <v>53466572.770000003</v>
      </c>
      <c r="H7" s="1590">
        <f>H6</f>
        <v>23136066.52</v>
      </c>
      <c r="I7" s="1590">
        <f>I6</f>
        <v>263907.33</v>
      </c>
      <c r="J7" s="1591">
        <v>36.984327542189291</v>
      </c>
      <c r="K7" s="1591">
        <v>104.14492070224102</v>
      </c>
      <c r="L7" s="1591">
        <v>100</v>
      </c>
    </row>
    <row r="8" spans="1:12">
      <c r="A8" s="1592" t="s">
        <v>224</v>
      </c>
      <c r="B8" s="1593">
        <f>378812635.22</f>
        <v>378812635.22000003</v>
      </c>
      <c r="C8" s="1593">
        <f>468144859.86</f>
        <v>468144859.86000001</v>
      </c>
      <c r="D8" s="1593">
        <f>460994932.55</f>
        <v>460994932.55000001</v>
      </c>
      <c r="E8" s="1593">
        <f>0</f>
        <v>0</v>
      </c>
      <c r="F8" s="1593">
        <f>0</f>
        <v>0</v>
      </c>
      <c r="G8" s="1593">
        <f>0</f>
        <v>0</v>
      </c>
      <c r="H8" s="1593">
        <f>0</f>
        <v>0</v>
      </c>
      <c r="I8" s="1593">
        <f>0</f>
        <v>0</v>
      </c>
      <c r="J8" s="1594">
        <v>0.65260491144242738</v>
      </c>
      <c r="K8" s="1594">
        <v>123.58216604578651</v>
      </c>
      <c r="L8" s="1594">
        <v>1.7645444836004618</v>
      </c>
    </row>
    <row r="9" spans="1:12">
      <c r="A9" s="1592" t="s">
        <v>225</v>
      </c>
      <c r="B9" s="1593">
        <f>9102177450.39</f>
        <v>9102177450.3899994</v>
      </c>
      <c r="C9" s="1593">
        <f>9835455011</f>
        <v>9835455011</v>
      </c>
      <c r="D9" s="1593">
        <f>9605265916.67</f>
        <v>9605265916.6700001</v>
      </c>
      <c r="E9" s="1593">
        <f>0</f>
        <v>0</v>
      </c>
      <c r="F9" s="1593">
        <f>0</f>
        <v>0</v>
      </c>
      <c r="G9" s="1593">
        <f>0</f>
        <v>0</v>
      </c>
      <c r="H9" s="1593">
        <f>0</f>
        <v>0</v>
      </c>
      <c r="I9" s="1593">
        <f>0</f>
        <v>0</v>
      </c>
      <c r="J9" s="1594">
        <v>13.7108549015558</v>
      </c>
      <c r="K9" s="1594">
        <v>108.05606751358799</v>
      </c>
      <c r="L9" s="1594">
        <v>37.072067582992702</v>
      </c>
    </row>
    <row r="10" spans="1:12">
      <c r="A10" s="1592" t="s">
        <v>80</v>
      </c>
      <c r="B10" s="1593">
        <f>1034308266.53</f>
        <v>1034308266.53</v>
      </c>
      <c r="C10" s="1593">
        <f>1016709025.49</f>
        <v>1016709025.49</v>
      </c>
      <c r="D10" s="1593">
        <f>1014864580.27</f>
        <v>1014864580.27</v>
      </c>
      <c r="E10" s="1593">
        <f>101223337.29</f>
        <v>101223337.29000001</v>
      </c>
      <c r="F10" s="1593">
        <f>807335</f>
        <v>807335</v>
      </c>
      <c r="G10" s="1593">
        <f>2736938.99</f>
        <v>2736938.99</v>
      </c>
      <c r="H10" s="1593">
        <f>415765.75</f>
        <v>415765.75</v>
      </c>
      <c r="I10" s="1593">
        <f>2890.12</f>
        <v>2890.12</v>
      </c>
      <c r="J10" s="1594">
        <v>1.4173162207549228</v>
      </c>
      <c r="K10" s="1594">
        <v>98.298453023193588</v>
      </c>
      <c r="L10" s="1594">
        <v>3.8322076266984748</v>
      </c>
    </row>
    <row r="11" spans="1:12">
      <c r="A11" s="1592" t="s">
        <v>81</v>
      </c>
      <c r="B11" s="1593">
        <f>5793993563.4</f>
        <v>5793993563.3999996</v>
      </c>
      <c r="C11" s="1595">
        <f>5915562141.48</f>
        <v>5915562141.4799995</v>
      </c>
      <c r="D11" s="1593">
        <f>5903989342.59</f>
        <v>5903989342.5900002</v>
      </c>
      <c r="E11" s="1593">
        <f>924549856.68</f>
        <v>924549856.67999995</v>
      </c>
      <c r="F11" s="1593">
        <f>354768472.41</f>
        <v>354768472.41000003</v>
      </c>
      <c r="G11" s="1593">
        <f>38821752.45</f>
        <v>38821752.450000003</v>
      </c>
      <c r="H11" s="1593">
        <f>16513799.05</f>
        <v>16513799.050000001</v>
      </c>
      <c r="I11" s="1593">
        <f>186009.45</f>
        <v>186009.45</v>
      </c>
      <c r="J11" s="1594">
        <v>8.2464323299998039</v>
      </c>
      <c r="K11" s="1594">
        <v>102.09818282933442</v>
      </c>
      <c r="L11" s="1594">
        <v>22.297099550053506</v>
      </c>
    </row>
    <row r="12" spans="1:12">
      <c r="A12" s="1592" t="s">
        <v>226</v>
      </c>
      <c r="B12" s="1593">
        <f>186615286.34</f>
        <v>186615286.34</v>
      </c>
      <c r="C12" s="1595">
        <f>185985199.13</f>
        <v>185985199.13</v>
      </c>
      <c r="D12" s="1593">
        <f>185649674.79</f>
        <v>185649674.78999999</v>
      </c>
      <c r="E12" s="1593">
        <f>720641.68</f>
        <v>720641.68</v>
      </c>
      <c r="F12" s="1593">
        <f>212848.9</f>
        <v>212848.9</v>
      </c>
      <c r="G12" s="1593">
        <f>117915.86</f>
        <v>117915.86</v>
      </c>
      <c r="H12" s="1593">
        <f>3559.1</f>
        <v>3559.1</v>
      </c>
      <c r="I12" s="1593">
        <f>185.24</f>
        <v>185.24</v>
      </c>
      <c r="J12" s="1594">
        <v>0.25926772846364982</v>
      </c>
      <c r="K12" s="1594">
        <v>99.662360344451088</v>
      </c>
      <c r="L12" s="1594">
        <v>0.70102052867635412</v>
      </c>
    </row>
    <row r="13" spans="1:12">
      <c r="A13" s="1592" t="s">
        <v>227</v>
      </c>
      <c r="B13" s="1593">
        <f>410748826.34</f>
        <v>410748826.33999997</v>
      </c>
      <c r="C13" s="1595">
        <f>419831044.87</f>
        <v>419831044.87</v>
      </c>
      <c r="D13" s="1593">
        <f>419034089.97</f>
        <v>419034089.97000003</v>
      </c>
      <c r="E13" s="1593">
        <f>399211109.7</f>
        <v>399211109.69999999</v>
      </c>
      <c r="F13" s="1593">
        <f>3893563.14</f>
        <v>3893563.14</v>
      </c>
      <c r="G13" s="1593">
        <f>3291528.51</f>
        <v>3291528.51</v>
      </c>
      <c r="H13" s="1593">
        <f>1310731.79</f>
        <v>1310731.79</v>
      </c>
      <c r="I13" s="1593">
        <f>29280.83</f>
        <v>29280.83</v>
      </c>
      <c r="J13" s="1594">
        <v>0.58525432051118476</v>
      </c>
      <c r="K13" s="1594">
        <v>102.21113681831488</v>
      </c>
      <c r="L13" s="1594">
        <v>1.5824387231147168</v>
      </c>
    </row>
    <row r="14" spans="1:12" ht="27">
      <c r="A14" s="1592" t="s">
        <v>228</v>
      </c>
      <c r="B14" s="1593">
        <f>22047686</f>
        <v>22047686</v>
      </c>
      <c r="C14" s="1595">
        <f>28389242.73</f>
        <v>28389242.73</v>
      </c>
      <c r="D14" s="1593">
        <f>28380606.19</f>
        <v>28380606.190000001</v>
      </c>
      <c r="E14" s="1593">
        <f>0</f>
        <v>0</v>
      </c>
      <c r="F14" s="1593">
        <f>0</f>
        <v>0</v>
      </c>
      <c r="G14" s="1593">
        <f>1571.3</f>
        <v>1571.3</v>
      </c>
      <c r="H14" s="1593">
        <f>38984.93</f>
        <v>38984.93</v>
      </c>
      <c r="I14" s="1593">
        <f>0</f>
        <v>0</v>
      </c>
      <c r="J14" s="1594">
        <v>3.9575270020629438E-2</v>
      </c>
      <c r="K14" s="1594">
        <v>128.76291294242853</v>
      </c>
      <c r="L14" s="1594">
        <v>0.10700551463450178</v>
      </c>
    </row>
    <row r="15" spans="1:12">
      <c r="A15" s="1592" t="s">
        <v>229</v>
      </c>
      <c r="B15" s="1593">
        <f>56304251.72</f>
        <v>56304251.719999999</v>
      </c>
      <c r="C15" s="1595">
        <f>69137171.81</f>
        <v>69137171.810000002</v>
      </c>
      <c r="D15" s="1593">
        <f>69039014.96</f>
        <v>69039014.959999993</v>
      </c>
      <c r="E15" s="1593">
        <f>0</f>
        <v>0</v>
      </c>
      <c r="F15" s="1593">
        <f>0</f>
        <v>0</v>
      </c>
      <c r="G15" s="1593">
        <f>2034472.46</f>
        <v>2034472.46</v>
      </c>
      <c r="H15" s="1593">
        <f>1779823.51</f>
        <v>1779823.51</v>
      </c>
      <c r="I15" s="1593">
        <f>0</f>
        <v>0</v>
      </c>
      <c r="J15" s="1594">
        <v>9.6378838592691113E-2</v>
      </c>
      <c r="K15" s="1594">
        <v>122.79209775101511</v>
      </c>
      <c r="L15" s="1594">
        <v>0.26059372982447349</v>
      </c>
    </row>
    <row r="16" spans="1:12">
      <c r="A16" s="1592" t="s">
        <v>86</v>
      </c>
      <c r="B16" s="1593">
        <f>647371070.48</f>
        <v>647371070.48000002</v>
      </c>
      <c r="C16" s="1595">
        <f>829752493.71</f>
        <v>829752493.71000004</v>
      </c>
      <c r="D16" s="1593">
        <f>828606594.77</f>
        <v>828606594.76999998</v>
      </c>
      <c r="E16" s="1593">
        <f>0</f>
        <v>0</v>
      </c>
      <c r="F16" s="1593">
        <f>0</f>
        <v>0</v>
      </c>
      <c r="G16" s="1593">
        <f>105069.5</f>
        <v>105069.5</v>
      </c>
      <c r="H16" s="1593">
        <f>37719.45</f>
        <v>37719.449999999997</v>
      </c>
      <c r="I16" s="1593">
        <f>0</f>
        <v>0</v>
      </c>
      <c r="J16" s="1594">
        <v>1.1566944318019108</v>
      </c>
      <c r="K16" s="1594">
        <v>128.17262487413461</v>
      </c>
      <c r="L16" s="1594">
        <v>3.127525924278141</v>
      </c>
    </row>
    <row r="17" spans="1:12">
      <c r="A17" s="1592" t="s">
        <v>230</v>
      </c>
      <c r="B17" s="1593">
        <f>44422447.96</f>
        <v>44422447.960000001</v>
      </c>
      <c r="C17" s="1595">
        <f>51995533</f>
        <v>51995533</v>
      </c>
      <c r="D17" s="1593">
        <f>51910143.86</f>
        <v>51910143.859999999</v>
      </c>
      <c r="E17" s="1593">
        <f>0</f>
        <v>0</v>
      </c>
      <c r="F17" s="1593">
        <f>6150.71</f>
        <v>6150.71</v>
      </c>
      <c r="G17" s="1593">
        <f>0</f>
        <v>0</v>
      </c>
      <c r="H17" s="1593">
        <f>8</f>
        <v>8</v>
      </c>
      <c r="I17" s="1593">
        <f>0</f>
        <v>0</v>
      </c>
      <c r="J17" s="1594">
        <v>7.2482992164037502E-2</v>
      </c>
      <c r="K17" s="1594">
        <v>117.04787869146507</v>
      </c>
      <c r="L17" s="1594">
        <v>0.19598299328642291</v>
      </c>
    </row>
    <row r="18" spans="1:12">
      <c r="A18" s="1592" t="s">
        <v>88</v>
      </c>
      <c r="B18" s="1593">
        <f>224051395.56</f>
        <v>224051395.56</v>
      </c>
      <c r="C18" s="1595">
        <f>211501423.41</f>
        <v>211501423.41</v>
      </c>
      <c r="D18" s="1593">
        <f>211835269.61</f>
        <v>211835269.61000001</v>
      </c>
      <c r="E18" s="1593">
        <f>0</f>
        <v>0</v>
      </c>
      <c r="F18" s="1593">
        <f>0</f>
        <v>0</v>
      </c>
      <c r="G18" s="1593">
        <f>12465.89</f>
        <v>12465.89</v>
      </c>
      <c r="H18" s="1593">
        <f>40142.6</f>
        <v>40142.6</v>
      </c>
      <c r="I18" s="1593">
        <f>0</f>
        <v>0</v>
      </c>
      <c r="J18" s="1594">
        <v>0.2948379434000572</v>
      </c>
      <c r="K18" s="1594">
        <v>94.398619067454476</v>
      </c>
      <c r="L18" s="1594">
        <v>0.79719698313758836</v>
      </c>
    </row>
    <row r="19" spans="1:12">
      <c r="A19" s="1592" t="s">
        <v>89</v>
      </c>
      <c r="B19" s="1593">
        <f>493874</f>
        <v>493874</v>
      </c>
      <c r="C19" s="1595">
        <f>125236.5</f>
        <v>125236.5</v>
      </c>
      <c r="D19" s="1593">
        <f>126056.5</f>
        <v>126056.5</v>
      </c>
      <c r="E19" s="1593">
        <f>16526.62</f>
        <v>16526.62</v>
      </c>
      <c r="F19" s="1593">
        <f>0</f>
        <v>0</v>
      </c>
      <c r="G19" s="1593">
        <f>0</f>
        <v>0</v>
      </c>
      <c r="H19" s="1593">
        <f>0</f>
        <v>0</v>
      </c>
      <c r="I19" s="1593">
        <f>0</f>
        <v>0</v>
      </c>
      <c r="J19" s="1594">
        <v>1.7458261747507197E-4</v>
      </c>
      <c r="K19" s="1594">
        <v>25.35798604502363</v>
      </c>
      <c r="L19" s="1594">
        <v>4.7204486082900814E-4</v>
      </c>
    </row>
    <row r="20" spans="1:12">
      <c r="A20" s="1592" t="s">
        <v>90</v>
      </c>
      <c r="B20" s="1593">
        <f>1022908617.26</f>
        <v>1022908617.26</v>
      </c>
      <c r="C20" s="1595">
        <f>1055776322.52</f>
        <v>1055776322.52</v>
      </c>
      <c r="D20" s="1593">
        <f>1052933915.39</f>
        <v>1052933915.39</v>
      </c>
      <c r="E20" s="1593">
        <f>0</f>
        <v>0</v>
      </c>
      <c r="F20" s="1593">
        <f>0</f>
        <v>0</v>
      </c>
      <c r="G20" s="1593">
        <f>0</f>
        <v>0</v>
      </c>
      <c r="H20" s="1593">
        <f>0</f>
        <v>0</v>
      </c>
      <c r="I20" s="1593">
        <f>0</f>
        <v>0</v>
      </c>
      <c r="J20" s="1594">
        <v>1.4717769488427686</v>
      </c>
      <c r="K20" s="1594">
        <v>103.21316144036803</v>
      </c>
      <c r="L20" s="1594">
        <v>3.9794611573344465</v>
      </c>
    </row>
    <row r="21" spans="1:12">
      <c r="A21" s="1592" t="s">
        <v>231</v>
      </c>
      <c r="B21" s="1593">
        <f>B7-B8-B9-B10-B11-B12-B13-B14-B15-B16-B17-B18-B19-B20</f>
        <v>6550472555.6600018</v>
      </c>
      <c r="C21" s="1593">
        <f t="shared" ref="C21:I21" si="0">C7-C8-C9-C10-C11-C12-C13-C14-C15-C16-C17-C18-C19-C20</f>
        <v>6442270493.0300026</v>
      </c>
      <c r="D21" s="1593">
        <f t="shared" si="0"/>
        <v>6437156125.7299986</v>
      </c>
      <c r="E21" s="1593">
        <f t="shared" si="0"/>
        <v>817557.03000009537</v>
      </c>
      <c r="F21" s="1593">
        <f t="shared" si="0"/>
        <v>87225368.899999976</v>
      </c>
      <c r="G21" s="1593">
        <f t="shared" si="0"/>
        <v>6344857.8099999987</v>
      </c>
      <c r="H21" s="1593">
        <f t="shared" si="0"/>
        <v>2995532.3399999994</v>
      </c>
      <c r="I21" s="1593">
        <f t="shared" si="0"/>
        <v>45541.69</v>
      </c>
      <c r="J21" s="1594">
        <v>8.9806761220219364</v>
      </c>
      <c r="K21" s="1594">
        <v>98.348179284615028</v>
      </c>
      <c r="L21" s="1594">
        <v>24.282383157507383</v>
      </c>
    </row>
    <row r="22" spans="1:12">
      <c r="A22" s="1098" t="s">
        <v>1100</v>
      </c>
      <c r="B22" s="1590">
        <f>B23+B38+B40</f>
        <v>24609674897.470001</v>
      </c>
      <c r="C22" s="1590">
        <f>C23+C38+C40</f>
        <v>24043102770.379997</v>
      </c>
      <c r="D22" s="1590">
        <f>D23+D38+D40</f>
        <v>24008607614.68</v>
      </c>
      <c r="E22" s="1593" t="s">
        <v>232</v>
      </c>
      <c r="F22" s="1593" t="s">
        <v>232</v>
      </c>
      <c r="G22" s="1593" t="s">
        <v>232</v>
      </c>
      <c r="H22" s="1593" t="s">
        <v>232</v>
      </c>
      <c r="I22" s="1593" t="s">
        <v>232</v>
      </c>
      <c r="J22" s="1591">
        <v>33.516649011071806</v>
      </c>
      <c r="K22" s="1591">
        <v>97.697766713902212</v>
      </c>
      <c r="L22" s="1331"/>
    </row>
    <row r="23" spans="1:12" ht="27">
      <c r="A23" s="1098" t="s">
        <v>233</v>
      </c>
      <c r="B23" s="1590">
        <f>B24+B26+B28+B30+B32+B34+B36</f>
        <v>21764423413.290001</v>
      </c>
      <c r="C23" s="1590">
        <f>C24+C26+C28+C30+C32+C34+C36</f>
        <v>22100887971.98</v>
      </c>
      <c r="D23" s="1590">
        <f>D24+D26+D28+D30+D32+D34+D36</f>
        <v>22067924752.550003</v>
      </c>
      <c r="E23" s="1593" t="s">
        <v>232</v>
      </c>
      <c r="F23" s="1593" t="s">
        <v>232</v>
      </c>
      <c r="G23" s="1593" t="s">
        <v>232</v>
      </c>
      <c r="H23" s="1593" t="s">
        <v>232</v>
      </c>
      <c r="I23" s="1593" t="s">
        <v>232</v>
      </c>
      <c r="J23" s="1591">
        <v>30.809156042141097</v>
      </c>
      <c r="K23" s="1591">
        <v>101.54593830629368</v>
      </c>
      <c r="L23" s="1331"/>
    </row>
    <row r="24" spans="1:12">
      <c r="A24" s="1592" t="s">
        <v>234</v>
      </c>
      <c r="B24" s="1593">
        <f>18213891358.61</f>
        <v>18213891358.610001</v>
      </c>
      <c r="C24" s="1593">
        <f>18120467122.98</f>
        <v>18120467122.98</v>
      </c>
      <c r="D24" s="1593">
        <f>18116268677.2</f>
        <v>18116268677.200001</v>
      </c>
      <c r="E24" s="1593" t="s">
        <v>232</v>
      </c>
      <c r="F24" s="1593" t="s">
        <v>232</v>
      </c>
      <c r="G24" s="1593" t="s">
        <v>232</v>
      </c>
      <c r="H24" s="1593" t="s">
        <v>232</v>
      </c>
      <c r="I24" s="1593" t="s">
        <v>232</v>
      </c>
      <c r="J24" s="1594">
        <v>25.260356047963935</v>
      </c>
      <c r="K24" s="1594">
        <v>99.487071522550636</v>
      </c>
      <c r="L24" s="1331"/>
    </row>
    <row r="25" spans="1:12">
      <c r="A25" s="1596" t="s">
        <v>235</v>
      </c>
      <c r="B25" s="1593">
        <f>6732503.84</f>
        <v>6732503.8399999999</v>
      </c>
      <c r="C25" s="1593">
        <f>6380930.09</f>
        <v>6380930.0899999999</v>
      </c>
      <c r="D25" s="1593">
        <f>6380930.09</f>
        <v>6380930.0899999999</v>
      </c>
      <c r="E25" s="1593" t="s">
        <v>232</v>
      </c>
      <c r="F25" s="1593" t="s">
        <v>232</v>
      </c>
      <c r="G25" s="1593" t="s">
        <v>232</v>
      </c>
      <c r="H25" s="1593" t="s">
        <v>232</v>
      </c>
      <c r="I25" s="1593" t="s">
        <v>232</v>
      </c>
      <c r="J25" s="1594">
        <v>8.8951661619228149E-3</v>
      </c>
      <c r="K25" s="1594">
        <v>94.777964359839117</v>
      </c>
      <c r="L25" s="1331"/>
    </row>
    <row r="26" spans="1:12">
      <c r="A26" s="1592" t="s">
        <v>236</v>
      </c>
      <c r="B26" s="1593">
        <f>1562038513.06</f>
        <v>1562038513.0599999</v>
      </c>
      <c r="C26" s="1593">
        <f>1489891127.29</f>
        <v>1489891127.29</v>
      </c>
      <c r="D26" s="1593">
        <f>1492746822.57</f>
        <v>1492746822.5699999</v>
      </c>
      <c r="E26" s="1593" t="s">
        <v>232</v>
      </c>
      <c r="F26" s="1593" t="s">
        <v>232</v>
      </c>
      <c r="G26" s="1593" t="s">
        <v>232</v>
      </c>
      <c r="H26" s="1593" t="s">
        <v>232</v>
      </c>
      <c r="I26" s="1593" t="s">
        <v>232</v>
      </c>
      <c r="J26" s="1594">
        <v>2.0769431655721284</v>
      </c>
      <c r="K26" s="1594">
        <v>95.381203141485628</v>
      </c>
      <c r="L26" s="1331"/>
    </row>
    <row r="27" spans="1:12">
      <c r="A27" s="1596" t="s">
        <v>235</v>
      </c>
      <c r="B27" s="1593">
        <f>214889404.05</f>
        <v>214889404.05000001</v>
      </c>
      <c r="C27" s="1593">
        <f>184226517.23</f>
        <v>184226517.22999999</v>
      </c>
      <c r="D27" s="1593">
        <f>184547427.15</f>
        <v>184547427.15000001</v>
      </c>
      <c r="E27" s="1593" t="s">
        <v>232</v>
      </c>
      <c r="F27" s="1593" t="s">
        <v>232</v>
      </c>
      <c r="G27" s="1593" t="s">
        <v>232</v>
      </c>
      <c r="H27" s="1593" t="s">
        <v>232</v>
      </c>
      <c r="I27" s="1593" t="s">
        <v>232</v>
      </c>
      <c r="J27" s="1594">
        <v>0.25681608465846495</v>
      </c>
      <c r="K27" s="1594">
        <v>85.730852130398461</v>
      </c>
      <c r="L27" s="1331"/>
    </row>
    <row r="28" spans="1:12" ht="27">
      <c r="A28" s="1592" t="s">
        <v>363</v>
      </c>
      <c r="B28" s="1593">
        <f>24126104.42</f>
        <v>24126104.420000002</v>
      </c>
      <c r="C28" s="1593">
        <f>21806861.57</f>
        <v>21806861.57</v>
      </c>
      <c r="D28" s="1593">
        <f>21859093.06</f>
        <v>21859093.059999999</v>
      </c>
      <c r="E28" s="1593" t="s">
        <v>232</v>
      </c>
      <c r="F28" s="1593" t="s">
        <v>232</v>
      </c>
      <c r="G28" s="1593" t="s">
        <v>232</v>
      </c>
      <c r="H28" s="1593" t="s">
        <v>232</v>
      </c>
      <c r="I28" s="1593" t="s">
        <v>232</v>
      </c>
      <c r="J28" s="1594">
        <v>3.0399276343615143E-2</v>
      </c>
      <c r="K28" s="1594">
        <v>90.386998208971519</v>
      </c>
      <c r="L28" s="1331"/>
    </row>
    <row r="29" spans="1:12">
      <c r="A29" s="1596" t="s">
        <v>235</v>
      </c>
      <c r="B29" s="1593">
        <f>4262046.03</f>
        <v>4262046.03</v>
      </c>
      <c r="C29" s="1593">
        <f>3705169.03</f>
        <v>3705169.03</v>
      </c>
      <c r="D29" s="1593">
        <f>3705169.03</f>
        <v>3705169.03</v>
      </c>
      <c r="E29" s="1593" t="s">
        <v>232</v>
      </c>
      <c r="F29" s="1593" t="s">
        <v>232</v>
      </c>
      <c r="G29" s="1593" t="s">
        <v>232</v>
      </c>
      <c r="H29" s="1593" t="s">
        <v>232</v>
      </c>
      <c r="I29" s="1593" t="s">
        <v>232</v>
      </c>
      <c r="J29" s="1594">
        <v>5.1650925045411957E-3</v>
      </c>
      <c r="K29" s="1594">
        <v>86.934045383831759</v>
      </c>
      <c r="L29" s="1331"/>
    </row>
    <row r="30" spans="1:12" ht="27">
      <c r="A30" s="1592" t="s">
        <v>362</v>
      </c>
      <c r="B30" s="1593">
        <f>239793602.21</f>
        <v>239793602.21000001</v>
      </c>
      <c r="C30" s="1593">
        <f>224909428.73</f>
        <v>224909428.72999999</v>
      </c>
      <c r="D30" s="1593">
        <f>223767674.68</f>
        <v>223767674.68000001</v>
      </c>
      <c r="E30" s="1593" t="s">
        <v>232</v>
      </c>
      <c r="F30" s="1593" t="s">
        <v>232</v>
      </c>
      <c r="G30" s="1593" t="s">
        <v>232</v>
      </c>
      <c r="H30" s="1593" t="s">
        <v>232</v>
      </c>
      <c r="I30" s="1593" t="s">
        <v>232</v>
      </c>
      <c r="J30" s="1594">
        <v>0.31352901719951098</v>
      </c>
      <c r="K30" s="1594">
        <v>93.792923020954845</v>
      </c>
      <c r="L30" s="1331"/>
    </row>
    <row r="31" spans="1:12">
      <c r="A31" s="1596" t="s">
        <v>235</v>
      </c>
      <c r="B31" s="1593">
        <f>149277982.38</f>
        <v>149277982.38</v>
      </c>
      <c r="C31" s="1593">
        <f>135729004.43</f>
        <v>135729004.43000001</v>
      </c>
      <c r="D31" s="1593">
        <f>133655779.14</f>
        <v>133655779.14</v>
      </c>
      <c r="E31" s="1593" t="s">
        <v>232</v>
      </c>
      <c r="F31" s="1593" t="s">
        <v>232</v>
      </c>
      <c r="G31" s="1593" t="s">
        <v>232</v>
      </c>
      <c r="H31" s="1593" t="s">
        <v>232</v>
      </c>
      <c r="I31" s="1593" t="s">
        <v>232</v>
      </c>
      <c r="J31" s="1594">
        <v>0.1892094146728393</v>
      </c>
      <c r="K31" s="1594">
        <v>90.923659514964569</v>
      </c>
      <c r="L31" s="1331"/>
    </row>
    <row r="32" spans="1:12" ht="27">
      <c r="A32" s="1592" t="s">
        <v>237</v>
      </c>
      <c r="B32" s="1593">
        <f>255523075.74</f>
        <v>255523075.74000001</v>
      </c>
      <c r="C32" s="1593">
        <f>228649560.8</f>
        <v>228649560.80000001</v>
      </c>
      <c r="D32" s="1593">
        <f>228510112.02</f>
        <v>228510112.02000001</v>
      </c>
      <c r="E32" s="1593" t="s">
        <v>232</v>
      </c>
      <c r="F32" s="1593" t="s">
        <v>232</v>
      </c>
      <c r="G32" s="1593" t="s">
        <v>232</v>
      </c>
      <c r="H32" s="1593" t="s">
        <v>232</v>
      </c>
      <c r="I32" s="1593" t="s">
        <v>232</v>
      </c>
      <c r="J32" s="1594">
        <v>0.31874284900160588</v>
      </c>
      <c r="K32" s="1594">
        <v>89.482940097612016</v>
      </c>
      <c r="L32" s="1331"/>
    </row>
    <row r="33" spans="1:12">
      <c r="A33" s="1596" t="s">
        <v>235</v>
      </c>
      <c r="B33" s="1593">
        <f>211327594.73</f>
        <v>211327594.72999999</v>
      </c>
      <c r="C33" s="1593">
        <f>184982414.26</f>
        <v>184982414.25999999</v>
      </c>
      <c r="D33" s="1593">
        <f>184841528.26</f>
        <v>184841528.25999999</v>
      </c>
      <c r="E33" s="1593" t="s">
        <v>232</v>
      </c>
      <c r="F33" s="1593" t="s">
        <v>232</v>
      </c>
      <c r="G33" s="1593" t="s">
        <v>232</v>
      </c>
      <c r="H33" s="1593" t="s">
        <v>232</v>
      </c>
      <c r="I33" s="1593" t="s">
        <v>232</v>
      </c>
      <c r="J33" s="1594">
        <v>0.25786982284213372</v>
      </c>
      <c r="K33" s="1594">
        <v>87.533487756930384</v>
      </c>
      <c r="L33" s="1331"/>
    </row>
    <row r="34" spans="1:12">
      <c r="A34" s="1592" t="s">
        <v>238</v>
      </c>
      <c r="B34" s="1593">
        <f>152135468.97</f>
        <v>152135468.97</v>
      </c>
      <c r="C34" s="1593">
        <f>142416492.23</f>
        <v>142416492.22999999</v>
      </c>
      <c r="D34" s="1593">
        <f>141988287.58</f>
        <v>141988287.58000001</v>
      </c>
      <c r="E34" s="1593" t="s">
        <v>232</v>
      </c>
      <c r="F34" s="1593" t="s">
        <v>232</v>
      </c>
      <c r="G34" s="1593" t="s">
        <v>232</v>
      </c>
      <c r="H34" s="1593" t="s">
        <v>232</v>
      </c>
      <c r="I34" s="1593" t="s">
        <v>232</v>
      </c>
      <c r="J34" s="1594">
        <v>0.198531929470495</v>
      </c>
      <c r="K34" s="1594">
        <v>93.611629946783466</v>
      </c>
      <c r="L34" s="1331"/>
    </row>
    <row r="35" spans="1:12">
      <c r="A35" s="1596" t="s">
        <v>235</v>
      </c>
      <c r="B35" s="1593">
        <f>131810924.39</f>
        <v>131810924.39</v>
      </c>
      <c r="C35" s="1593">
        <f>123491826.57</f>
        <v>123491826.56999999</v>
      </c>
      <c r="D35" s="1593">
        <f>123138309.35</f>
        <v>123138309.34999999</v>
      </c>
      <c r="E35" s="1593" t="s">
        <v>232</v>
      </c>
      <c r="F35" s="1593" t="s">
        <v>232</v>
      </c>
      <c r="G35" s="1593" t="s">
        <v>232</v>
      </c>
      <c r="H35" s="1593" t="s">
        <v>232</v>
      </c>
      <c r="I35" s="1593" t="s">
        <v>232</v>
      </c>
      <c r="J35" s="1594">
        <v>0.17215050180552985</v>
      </c>
      <c r="K35" s="1594">
        <v>93.688612792528801</v>
      </c>
      <c r="L35" s="1331"/>
    </row>
    <row r="36" spans="1:12" ht="40.5">
      <c r="A36" s="1592" t="s">
        <v>1101</v>
      </c>
      <c r="B36" s="1593">
        <f>1316915290.28</f>
        <v>1316915290.28</v>
      </c>
      <c r="C36" s="1593">
        <f>1872747378.38</f>
        <v>1872747378.3800001</v>
      </c>
      <c r="D36" s="1593">
        <f>1842784085.44</f>
        <v>1842784085.4400001</v>
      </c>
      <c r="E36" s="1593" t="s">
        <v>232</v>
      </c>
      <c r="F36" s="1593" t="s">
        <v>232</v>
      </c>
      <c r="G36" s="1593" t="s">
        <v>232</v>
      </c>
      <c r="H36" s="1593" t="s">
        <v>232</v>
      </c>
      <c r="I36" s="1593" t="s">
        <v>232</v>
      </c>
      <c r="J36" s="1594">
        <v>2.6106537565898074</v>
      </c>
      <c r="K36" s="1594">
        <v>142.20712540909295</v>
      </c>
      <c r="L36" s="1331"/>
    </row>
    <row r="37" spans="1:12">
      <c r="A37" s="1596" t="s">
        <v>235</v>
      </c>
      <c r="B37" s="1593">
        <f>1020611313.47</f>
        <v>1020611313.47</v>
      </c>
      <c r="C37" s="1593">
        <f>1413250453.89</f>
        <v>1413250453.8900001</v>
      </c>
      <c r="D37" s="1593">
        <f>1382499911.73</f>
        <v>1382499911.73</v>
      </c>
      <c r="E37" s="1593" t="s">
        <v>232</v>
      </c>
      <c r="F37" s="1593" t="s">
        <v>232</v>
      </c>
      <c r="G37" s="1593" t="s">
        <v>232</v>
      </c>
      <c r="H37" s="1593" t="s">
        <v>232</v>
      </c>
      <c r="I37" s="1593" t="s">
        <v>232</v>
      </c>
      <c r="J37" s="1594">
        <v>1.9701042698250888</v>
      </c>
      <c r="K37" s="1594">
        <v>138.47097668210802</v>
      </c>
      <c r="L37" s="1331"/>
    </row>
    <row r="38" spans="1:12">
      <c r="A38" s="1098" t="s">
        <v>239</v>
      </c>
      <c r="B38" s="1590">
        <f>360120035.25</f>
        <v>360120035.25</v>
      </c>
      <c r="C38" s="1590">
        <f>241827323.3</f>
        <v>241827323.30000001</v>
      </c>
      <c r="D38" s="1590">
        <f>241264709.26</f>
        <v>241264709.25999999</v>
      </c>
      <c r="E38" s="1593" t="s">
        <v>232</v>
      </c>
      <c r="F38" s="1593" t="s">
        <v>232</v>
      </c>
      <c r="G38" s="1593" t="s">
        <v>232</v>
      </c>
      <c r="H38" s="1593" t="s">
        <v>232</v>
      </c>
      <c r="I38" s="1593" t="s">
        <v>232</v>
      </c>
      <c r="J38" s="1591">
        <v>0.33711295891137538</v>
      </c>
      <c r="K38" s="1591">
        <v>67.15186594162148</v>
      </c>
      <c r="L38" s="1331"/>
    </row>
    <row r="39" spans="1:12">
      <c r="A39" s="1596" t="s">
        <v>240</v>
      </c>
      <c r="B39" s="1593">
        <f>318821028.24</f>
        <v>318821028.24000001</v>
      </c>
      <c r="C39" s="1593">
        <f>207143704.59</f>
        <v>207143704.59</v>
      </c>
      <c r="D39" s="1593">
        <f>206571706.59</f>
        <v>206571706.59</v>
      </c>
      <c r="E39" s="1593" t="s">
        <v>232</v>
      </c>
      <c r="F39" s="1593" t="s">
        <v>232</v>
      </c>
      <c r="G39" s="1593" t="s">
        <v>232</v>
      </c>
      <c r="H39" s="1593" t="s">
        <v>232</v>
      </c>
      <c r="I39" s="1593" t="s">
        <v>232</v>
      </c>
      <c r="J39" s="1594">
        <v>0.28876318118763528</v>
      </c>
      <c r="K39" s="1594">
        <v>64.971782361252451</v>
      </c>
      <c r="L39" s="1331"/>
    </row>
    <row r="40" spans="1:12">
      <c r="A40" s="1098" t="s">
        <v>241</v>
      </c>
      <c r="B40" s="1593">
        <f>2485131448.93</f>
        <v>2485131448.9299998</v>
      </c>
      <c r="C40" s="1593">
        <f>1700387475.1</f>
        <v>1700387475.0999999</v>
      </c>
      <c r="D40" s="1593">
        <f>1699418152.87</f>
        <v>1699418152.8699999</v>
      </c>
      <c r="E40" s="1593" t="s">
        <v>232</v>
      </c>
      <c r="F40" s="1593" t="s">
        <v>232</v>
      </c>
      <c r="G40" s="1593" t="s">
        <v>232</v>
      </c>
      <c r="H40" s="1593" t="s">
        <v>232</v>
      </c>
      <c r="I40" s="1593" t="s">
        <v>232</v>
      </c>
      <c r="J40" s="1594">
        <v>2.3703800100193377</v>
      </c>
      <c r="K40" s="1594">
        <v>68.422435997585566</v>
      </c>
      <c r="L40" s="1331"/>
    </row>
    <row r="41" spans="1:12">
      <c r="A41" s="1596" t="s">
        <v>242</v>
      </c>
      <c r="B41" s="1593">
        <f>2104337286.16</f>
        <v>2104337286.1600001</v>
      </c>
      <c r="C41" s="1593">
        <f>1373033070.3</f>
        <v>1373033070.3</v>
      </c>
      <c r="D41" s="1593">
        <f>1372585413.8</f>
        <v>1372585413.8</v>
      </c>
      <c r="E41" s="1593" t="s">
        <v>232</v>
      </c>
      <c r="F41" s="1593" t="s">
        <v>232</v>
      </c>
      <c r="G41" s="1593" t="s">
        <v>232</v>
      </c>
      <c r="H41" s="1593" t="s">
        <v>232</v>
      </c>
      <c r="I41" s="1593" t="s">
        <v>232</v>
      </c>
      <c r="J41" s="1594">
        <v>1.9140402941060195</v>
      </c>
      <c r="K41" s="1594">
        <v>65.247766093880998</v>
      </c>
      <c r="L41" s="1331"/>
    </row>
    <row r="42" spans="1:12" ht="27">
      <c r="A42" s="1098" t="s">
        <v>243</v>
      </c>
      <c r="B42" s="1590">
        <f>B43+B44+B45+B46+B47</f>
        <v>19602932594.549999</v>
      </c>
      <c r="C42" s="1590">
        <f>C43+C44+C45+C46+C47</f>
        <v>21161066911</v>
      </c>
      <c r="D42" s="1590">
        <f>D43+D44+D45+D46+D47</f>
        <v>21077577514.440002</v>
      </c>
      <c r="E42" s="1593" t="s">
        <v>232</v>
      </c>
      <c r="F42" s="1593" t="s">
        <v>232</v>
      </c>
      <c r="G42" s="1593" t="s">
        <v>232</v>
      </c>
      <c r="H42" s="1593" t="s">
        <v>232</v>
      </c>
      <c r="I42" s="1593" t="s">
        <v>232</v>
      </c>
      <c r="J42" s="1591">
        <v>29.499023446738899</v>
      </c>
      <c r="K42" s="1591">
        <v>107.94847561167043</v>
      </c>
      <c r="L42" s="1331"/>
    </row>
    <row r="43" spans="1:12">
      <c r="A43" s="1592" t="s">
        <v>244</v>
      </c>
      <c r="B43" s="1593">
        <f>5757328249</f>
        <v>5757328249</v>
      </c>
      <c r="C43" s="1593">
        <f>5756215431</f>
        <v>5756215431</v>
      </c>
      <c r="D43" s="1593">
        <f>5752199195</f>
        <v>5752199195</v>
      </c>
      <c r="E43" s="1593" t="s">
        <v>232</v>
      </c>
      <c r="F43" s="1593" t="s">
        <v>232</v>
      </c>
      <c r="G43" s="1593" t="s">
        <v>232</v>
      </c>
      <c r="H43" s="1593" t="s">
        <v>232</v>
      </c>
      <c r="I43" s="1593" t="s">
        <v>232</v>
      </c>
      <c r="J43" s="1594">
        <v>8.0242992793185657</v>
      </c>
      <c r="K43" s="1594">
        <v>99.980671277511519</v>
      </c>
      <c r="L43" s="1331"/>
    </row>
    <row r="44" spans="1:12">
      <c r="A44" s="1592" t="s">
        <v>245</v>
      </c>
      <c r="B44" s="1593">
        <f>10713727068</f>
        <v>10713727068</v>
      </c>
      <c r="C44" s="1593">
        <f>10714504916</f>
        <v>10714504916</v>
      </c>
      <c r="D44" s="1593">
        <f>10636237655.44</f>
        <v>10636237655.440001</v>
      </c>
      <c r="E44" s="1593" t="s">
        <v>232</v>
      </c>
      <c r="F44" s="1593" t="s">
        <v>232</v>
      </c>
      <c r="G44" s="1593" t="s">
        <v>232</v>
      </c>
      <c r="H44" s="1593" t="s">
        <v>232</v>
      </c>
      <c r="I44" s="1593" t="s">
        <v>232</v>
      </c>
      <c r="J44" s="1594">
        <v>14.936271080593967</v>
      </c>
      <c r="K44" s="1594">
        <v>100.00726029322068</v>
      </c>
      <c r="L44" s="1331"/>
    </row>
    <row r="45" spans="1:12">
      <c r="A45" s="1592" t="s">
        <v>246</v>
      </c>
      <c r="B45" s="1593">
        <f>0</f>
        <v>0</v>
      </c>
      <c r="C45" s="1593">
        <f>0</f>
        <v>0</v>
      </c>
      <c r="D45" s="1593">
        <f>0</f>
        <v>0</v>
      </c>
      <c r="E45" s="1593" t="s">
        <v>232</v>
      </c>
      <c r="F45" s="1593" t="s">
        <v>232</v>
      </c>
      <c r="G45" s="1593" t="s">
        <v>232</v>
      </c>
      <c r="H45" s="1593" t="s">
        <v>232</v>
      </c>
      <c r="I45" s="1593" t="s">
        <v>232</v>
      </c>
      <c r="J45" s="1594">
        <v>0</v>
      </c>
      <c r="K45" s="1594" t="s">
        <v>273</v>
      </c>
      <c r="L45" s="1331"/>
    </row>
    <row r="46" spans="1:12">
      <c r="A46" s="1592" t="s">
        <v>247</v>
      </c>
      <c r="B46" s="1593">
        <f>166868629</f>
        <v>166868629</v>
      </c>
      <c r="C46" s="1593">
        <f>166868629</f>
        <v>166868629</v>
      </c>
      <c r="D46" s="1593">
        <f>166868629</f>
        <v>166868629</v>
      </c>
      <c r="E46" s="1593" t="s">
        <v>232</v>
      </c>
      <c r="F46" s="1593" t="s">
        <v>232</v>
      </c>
      <c r="G46" s="1593" t="s">
        <v>232</v>
      </c>
      <c r="H46" s="1593" t="s">
        <v>232</v>
      </c>
      <c r="I46" s="1593" t="s">
        <v>232</v>
      </c>
      <c r="J46" s="1594">
        <v>0.23261878146783649</v>
      </c>
      <c r="K46" s="1594">
        <v>100</v>
      </c>
      <c r="L46" s="1331"/>
    </row>
    <row r="47" spans="1:12">
      <c r="A47" s="1592" t="s">
        <v>249</v>
      </c>
      <c r="B47" s="1593">
        <f>2965008648.55</f>
        <v>2965008648.5500002</v>
      </c>
      <c r="C47" s="1593">
        <f>4523477935</f>
        <v>4523477935</v>
      </c>
      <c r="D47" s="1593">
        <f>4522272035</f>
        <v>4522272035</v>
      </c>
      <c r="E47" s="1593" t="s">
        <v>232</v>
      </c>
      <c r="F47" s="1593" t="s">
        <v>232</v>
      </c>
      <c r="G47" s="1593" t="s">
        <v>232</v>
      </c>
      <c r="H47" s="1593" t="s">
        <v>232</v>
      </c>
      <c r="I47" s="1593" t="s">
        <v>232</v>
      </c>
      <c r="J47" s="1594">
        <v>6.3058343053585295</v>
      </c>
      <c r="K47" s="1594">
        <v>152.5620485866761</v>
      </c>
      <c r="L47" s="1331"/>
    </row>
    <row r="48" spans="1:12">
      <c r="A48" s="1095"/>
      <c r="B48" s="1088"/>
      <c r="C48" s="1089"/>
      <c r="D48" s="1089"/>
      <c r="E48" s="1090"/>
      <c r="F48" s="1090"/>
      <c r="G48" s="1090"/>
      <c r="H48" s="1090"/>
      <c r="I48" s="1090"/>
      <c r="J48" s="1091"/>
      <c r="K48" s="1091"/>
      <c r="L48" s="1443"/>
    </row>
    <row r="49" spans="1:14">
      <c r="A49" s="1098" t="s">
        <v>222</v>
      </c>
      <c r="B49" s="1590">
        <f t="shared" ref="B49:I49" si="1">+B6</f>
        <v>69687335418.880005</v>
      </c>
      <c r="C49" s="1590">
        <f t="shared" si="1"/>
        <v>71734804879.919998</v>
      </c>
      <c r="D49" s="1590">
        <f t="shared" si="1"/>
        <v>71355971392.970001</v>
      </c>
      <c r="E49" s="1590">
        <f t="shared" si="1"/>
        <v>1426539029</v>
      </c>
      <c r="F49" s="1590">
        <f t="shared" si="1"/>
        <v>446913739.06</v>
      </c>
      <c r="G49" s="1590">
        <f t="shared" si="1"/>
        <v>53466572.770000003</v>
      </c>
      <c r="H49" s="1590">
        <f t="shared" si="1"/>
        <v>23136066.52</v>
      </c>
      <c r="I49" s="1590">
        <f t="shared" si="1"/>
        <v>263907.33</v>
      </c>
      <c r="J49" s="1597">
        <v>100</v>
      </c>
      <c r="K49" s="1597">
        <v>102.9380797080746</v>
      </c>
      <c r="N49" s="1513"/>
    </row>
    <row r="50" spans="1:14">
      <c r="A50" s="1598" t="s">
        <v>740</v>
      </c>
      <c r="B50" s="1593">
        <f>7941344691.25</f>
        <v>7941344691.25</v>
      </c>
      <c r="C50" s="1593">
        <f>8707973867.76</f>
        <v>8707973867.7600002</v>
      </c>
      <c r="D50" s="1593">
        <f>8674783847.67</f>
        <v>8674783847.6700001</v>
      </c>
      <c r="E50" s="1593">
        <f>0</f>
        <v>0</v>
      </c>
      <c r="F50" s="1593">
        <f>0</f>
        <v>0</v>
      </c>
      <c r="G50" s="1593">
        <f>0</f>
        <v>0</v>
      </c>
      <c r="H50" s="1593">
        <f>0</f>
        <v>0</v>
      </c>
      <c r="I50" s="1593">
        <f>0</f>
        <v>0</v>
      </c>
      <c r="J50" s="1599">
        <v>12.139119751335011</v>
      </c>
      <c r="K50" s="1599">
        <v>109.65364439292874</v>
      </c>
      <c r="N50" s="1513"/>
    </row>
    <row r="51" spans="1:14">
      <c r="A51" s="1598" t="s">
        <v>739</v>
      </c>
      <c r="B51" s="1593">
        <f>B49-B50</f>
        <v>61745990727.630005</v>
      </c>
      <c r="C51" s="1593">
        <f t="shared" ref="C51:I51" si="2">C49-C50</f>
        <v>63026831012.159996</v>
      </c>
      <c r="D51" s="1593">
        <f t="shared" si="2"/>
        <v>62681187545.300003</v>
      </c>
      <c r="E51" s="1593">
        <f t="shared" si="2"/>
        <v>1426539029</v>
      </c>
      <c r="F51" s="1593">
        <f t="shared" si="2"/>
        <v>446913739.06</v>
      </c>
      <c r="G51" s="1593">
        <f t="shared" si="2"/>
        <v>53466572.770000003</v>
      </c>
      <c r="H51" s="1593">
        <f t="shared" si="2"/>
        <v>23136066.52</v>
      </c>
      <c r="I51" s="1593">
        <f t="shared" si="2"/>
        <v>263907.33</v>
      </c>
      <c r="J51" s="1599">
        <v>87.860880248664998</v>
      </c>
      <c r="K51" s="1599">
        <v>102.07436996222144</v>
      </c>
      <c r="N51" s="1513"/>
    </row>
    <row r="52" spans="1:14">
      <c r="A52" s="1993" t="s">
        <v>3</v>
      </c>
      <c r="B52" s="1993"/>
      <c r="C52" s="1993"/>
      <c r="D52" s="1993"/>
      <c r="E52" s="1993"/>
      <c r="F52" s="1993"/>
      <c r="G52" s="1993"/>
      <c r="H52" s="1993"/>
      <c r="I52" s="1993"/>
      <c r="J52" s="1993"/>
      <c r="K52" s="1993"/>
      <c r="L52" s="1993"/>
    </row>
    <row r="53" spans="1:14" ht="25.15" customHeight="1">
      <c r="A53" s="1994" t="s">
        <v>218</v>
      </c>
      <c r="B53" s="1995" t="s">
        <v>1080</v>
      </c>
      <c r="C53" s="1995" t="s">
        <v>1088</v>
      </c>
      <c r="D53" s="1995" t="s">
        <v>1089</v>
      </c>
      <c r="E53" s="1995" t="s">
        <v>250</v>
      </c>
      <c r="F53" s="1995"/>
      <c r="G53" s="1995"/>
      <c r="H53" s="1995" t="s">
        <v>1090</v>
      </c>
      <c r="I53" s="1995"/>
      <c r="J53" s="1995" t="s">
        <v>219</v>
      </c>
      <c r="K53" s="1997" t="s">
        <v>1094</v>
      </c>
    </row>
    <row r="54" spans="1:14">
      <c r="A54" s="1994"/>
      <c r="B54" s="1995"/>
      <c r="C54" s="1996"/>
      <c r="D54" s="1995"/>
      <c r="E54" s="1995" t="s">
        <v>1091</v>
      </c>
      <c r="F54" s="1996" t="s">
        <v>252</v>
      </c>
      <c r="G54" s="1996"/>
      <c r="H54" s="1995"/>
      <c r="I54" s="1995"/>
      <c r="J54" s="1995"/>
      <c r="K54" s="1997"/>
      <c r="L54" s="1101"/>
    </row>
    <row r="55" spans="1:14" ht="54">
      <c r="A55" s="1994"/>
      <c r="B55" s="1995"/>
      <c r="C55" s="1996"/>
      <c r="D55" s="1995"/>
      <c r="E55" s="1996"/>
      <c r="F55" s="1104" t="s">
        <v>1092</v>
      </c>
      <c r="G55" s="1104" t="s">
        <v>1093</v>
      </c>
      <c r="H55" s="1995"/>
      <c r="I55" s="1995"/>
      <c r="J55" s="1995"/>
      <c r="K55" s="1997"/>
      <c r="L55" s="1101"/>
    </row>
    <row r="56" spans="1:14">
      <c r="A56" s="1994"/>
      <c r="B56" s="2005" t="s">
        <v>4</v>
      </c>
      <c r="C56" s="2005"/>
      <c r="D56" s="2005"/>
      <c r="E56" s="2005"/>
      <c r="F56" s="2005"/>
      <c r="G56" s="2005"/>
      <c r="H56" s="2005"/>
      <c r="I56" s="2005"/>
      <c r="J56" s="2005" t="s">
        <v>5</v>
      </c>
      <c r="K56" s="2005"/>
    </row>
    <row r="57" spans="1:14">
      <c r="A57" s="1122" t="s">
        <v>887</v>
      </c>
      <c r="B57" s="1600" t="s">
        <v>888</v>
      </c>
      <c r="C57" s="1600" t="s">
        <v>889</v>
      </c>
      <c r="D57" s="1600" t="s">
        <v>890</v>
      </c>
      <c r="E57" s="1122" t="s">
        <v>891</v>
      </c>
      <c r="F57" s="1122" t="s">
        <v>892</v>
      </c>
      <c r="G57" s="1600" t="s">
        <v>893</v>
      </c>
      <c r="H57" s="2004" t="s">
        <v>894</v>
      </c>
      <c r="I57" s="2004"/>
      <c r="J57" s="1122" t="s">
        <v>932</v>
      </c>
      <c r="K57" s="1600" t="s">
        <v>966</v>
      </c>
    </row>
    <row r="58" spans="1:14" ht="27">
      <c r="A58" s="1098" t="s">
        <v>253</v>
      </c>
      <c r="B58" s="1601">
        <f>73462538704.04</f>
        <v>73462538704.039993</v>
      </c>
      <c r="C58" s="1601">
        <f>65964335387.02</f>
        <v>65964335387.019997</v>
      </c>
      <c r="D58" s="1601">
        <f>65835521547.6</f>
        <v>65835521547.599998</v>
      </c>
      <c r="E58" s="1601">
        <f>2266902034.52</f>
        <v>2266902034.52</v>
      </c>
      <c r="F58" s="1601">
        <f>704325.32</f>
        <v>704325.32</v>
      </c>
      <c r="G58" s="1601">
        <f>1945787.78</f>
        <v>1945787.78</v>
      </c>
      <c r="H58" s="1998">
        <f>519179291.55</f>
        <v>519179291.55000001</v>
      </c>
      <c r="I58" s="1998"/>
      <c r="J58" s="1602">
        <v>100</v>
      </c>
      <c r="K58" s="1602">
        <v>89.617814343216324</v>
      </c>
    </row>
    <row r="59" spans="1:14">
      <c r="A59" s="1098" t="s">
        <v>254</v>
      </c>
      <c r="B59" s="1603">
        <f>14793256188.31</f>
        <v>14793256188.309999</v>
      </c>
      <c r="C59" s="1603">
        <f>10636958432.91</f>
        <v>10636958432.91</v>
      </c>
      <c r="D59" s="1603">
        <f>10581915472.74</f>
        <v>10581915472.74</v>
      </c>
      <c r="E59" s="1603">
        <f>167674049.1</f>
        <v>167674049.09999999</v>
      </c>
      <c r="F59" s="1603">
        <f>68201.12</f>
        <v>68201.119999999995</v>
      </c>
      <c r="G59" s="1603">
        <f>22850</f>
        <v>22850</v>
      </c>
      <c r="H59" s="1987">
        <f>491893640.8</f>
        <v>491893640.80000001</v>
      </c>
      <c r="I59" s="1987"/>
      <c r="J59" s="1602">
        <v>16.073261400517847</v>
      </c>
      <c r="K59" s="1602">
        <v>71.532023362794831</v>
      </c>
    </row>
    <row r="60" spans="1:14">
      <c r="A60" s="1592" t="s">
        <v>255</v>
      </c>
      <c r="B60" s="1593">
        <f>14350658636.95</f>
        <v>14350658636.950001</v>
      </c>
      <c r="C60" s="1593">
        <f>10247817226.27</f>
        <v>10247817226.27</v>
      </c>
      <c r="D60" s="1593">
        <f>10192774266.1</f>
        <v>10192774266.1</v>
      </c>
      <c r="E60" s="1593">
        <f>167674049.1</f>
        <v>167674049.09999999</v>
      </c>
      <c r="F60" s="1593">
        <f>68201.12</f>
        <v>68201.119999999995</v>
      </c>
      <c r="G60" s="1593">
        <f>22850</f>
        <v>22850</v>
      </c>
      <c r="H60" s="1986">
        <f>491893640.8</f>
        <v>491893640.80000001</v>
      </c>
      <c r="I60" s="1986"/>
      <c r="J60" s="1604">
        <v>15.482180480229783</v>
      </c>
      <c r="K60" s="1604">
        <v>71.026525847780235</v>
      </c>
    </row>
    <row r="61" spans="1:14" ht="27">
      <c r="A61" s="1098" t="s">
        <v>256</v>
      </c>
      <c r="B61" s="1603">
        <f t="shared" ref="B61:H61" si="3">B58-B59</f>
        <v>58669282515.729996</v>
      </c>
      <c r="C61" s="1603">
        <f t="shared" si="3"/>
        <v>55327376954.110001</v>
      </c>
      <c r="D61" s="1603">
        <f t="shared" si="3"/>
        <v>55253606074.860001</v>
      </c>
      <c r="E61" s="1603">
        <f t="shared" si="3"/>
        <v>2099227985.4200001</v>
      </c>
      <c r="F61" s="1603">
        <f t="shared" si="3"/>
        <v>636124.19999999995</v>
      </c>
      <c r="G61" s="1603">
        <f t="shared" si="3"/>
        <v>1922937.78</v>
      </c>
      <c r="H61" s="1987">
        <f t="shared" si="3"/>
        <v>27285650.75</v>
      </c>
      <c r="I61" s="1987"/>
      <c r="J61" s="1602">
        <v>83.92673859948215</v>
      </c>
      <c r="K61" s="1602">
        <v>94.178083838072837</v>
      </c>
    </row>
    <row r="62" spans="1:14" ht="27">
      <c r="A62" s="1592" t="s">
        <v>257</v>
      </c>
      <c r="B62" s="1593">
        <f>21403598388.07</f>
        <v>21403598388.07</v>
      </c>
      <c r="C62" s="1593">
        <f>20529343818.03</f>
        <v>20529343818.029999</v>
      </c>
      <c r="D62" s="1593">
        <f>20504040428.06</f>
        <v>20504040428.060001</v>
      </c>
      <c r="E62" s="1593">
        <f>1550894718.93</f>
        <v>1550894718.9300001</v>
      </c>
      <c r="F62" s="1593">
        <f>544669.1</f>
        <v>544669.1</v>
      </c>
      <c r="G62" s="1593">
        <f>788379.81</f>
        <v>788379.81</v>
      </c>
      <c r="H62" s="1986">
        <f>140597.74</f>
        <v>140597.74</v>
      </c>
      <c r="I62" s="1986"/>
      <c r="J62" s="1604">
        <v>31.144342668015923</v>
      </c>
      <c r="K62" s="1604">
        <v>95.797164833220776</v>
      </c>
    </row>
    <row r="63" spans="1:14">
      <c r="A63" s="1592" t="s">
        <v>258</v>
      </c>
      <c r="B63" s="1605">
        <f>3369965139.08</f>
        <v>3369965139.0799999</v>
      </c>
      <c r="C63" s="1605">
        <f>3246012851.74</f>
        <v>3246012851.7399998</v>
      </c>
      <c r="D63" s="1605">
        <f>3242357106.19</f>
        <v>3242357106.1900001</v>
      </c>
      <c r="E63" s="1605">
        <f>2450101.9</f>
        <v>2450101.9</v>
      </c>
      <c r="F63" s="1605">
        <f>0</f>
        <v>0</v>
      </c>
      <c r="G63" s="1605">
        <f>5665.72</f>
        <v>5665.72</v>
      </c>
      <c r="H63" s="2001">
        <f>455383.32</f>
        <v>455383.32</v>
      </c>
      <c r="I63" s="2001"/>
      <c r="J63" s="1604">
        <v>4.9249357033584529</v>
      </c>
      <c r="K63" s="1604">
        <v>96.21337231622411</v>
      </c>
    </row>
    <row r="64" spans="1:14">
      <c r="A64" s="1592" t="s">
        <v>259</v>
      </c>
      <c r="B64" s="1593">
        <f>267127415.94</f>
        <v>267127415.94</v>
      </c>
      <c r="C64" s="1593">
        <f>188112701.83</f>
        <v>188112701.83000001</v>
      </c>
      <c r="D64" s="1593">
        <f>186700454.49</f>
        <v>186700454.49000001</v>
      </c>
      <c r="E64" s="1593">
        <f>5119993.55</f>
        <v>5119993.55</v>
      </c>
      <c r="F64" s="1593">
        <f>435.86</f>
        <v>435.86</v>
      </c>
      <c r="G64" s="1593">
        <f>25438.68</f>
        <v>25438.68</v>
      </c>
      <c r="H64" s="1986">
        <f>0</f>
        <v>0</v>
      </c>
      <c r="I64" s="1986"/>
      <c r="J64" s="1604">
        <v>0.28358620103740345</v>
      </c>
      <c r="K64" s="1604">
        <v>69.891910507581571</v>
      </c>
    </row>
    <row r="65" spans="1:14">
      <c r="A65" s="1592" t="s">
        <v>260</v>
      </c>
      <c r="B65" s="1605">
        <f>19412718.64</f>
        <v>19412718.640000001</v>
      </c>
      <c r="C65" s="1605">
        <f>601970.06</f>
        <v>601970.06000000006</v>
      </c>
      <c r="D65" s="1605">
        <f>204470.64</f>
        <v>204470.64</v>
      </c>
      <c r="E65" s="1605">
        <f>0</f>
        <v>0</v>
      </c>
      <c r="F65" s="1605">
        <f>0</f>
        <v>0</v>
      </c>
      <c r="G65" s="1605">
        <f>0</f>
        <v>0</v>
      </c>
      <c r="H65" s="2001">
        <f>0</f>
        <v>0</v>
      </c>
      <c r="I65" s="2001"/>
      <c r="J65" s="1604">
        <v>3.1057799071609828E-4</v>
      </c>
      <c r="K65" s="1604">
        <v>1.053281839560005</v>
      </c>
    </row>
    <row r="66" spans="1:14">
      <c r="A66" s="1592" t="s">
        <v>261</v>
      </c>
      <c r="B66" s="1605">
        <f>18404169275.81</f>
        <v>18404169275.810001</v>
      </c>
      <c r="C66" s="1605">
        <f>18190917945.01</f>
        <v>18190917945.009998</v>
      </c>
      <c r="D66" s="1605">
        <f>18180176556.46</f>
        <v>18180176556.459999</v>
      </c>
      <c r="E66" s="1605">
        <f>186905010.93</f>
        <v>186905010.93000001</v>
      </c>
      <c r="F66" s="1605">
        <f>0</f>
        <v>0</v>
      </c>
      <c r="G66" s="1605">
        <f>17239.25</f>
        <v>17239.25</v>
      </c>
      <c r="H66" s="2001">
        <f>0</f>
        <v>0</v>
      </c>
      <c r="I66" s="2002"/>
      <c r="J66" s="1604">
        <v>27.614540189091507</v>
      </c>
      <c r="K66" s="1604">
        <v>98.78292404295361</v>
      </c>
    </row>
    <row r="67" spans="1:14">
      <c r="A67" s="1592" t="s">
        <v>262</v>
      </c>
      <c r="B67" s="1593">
        <f t="shared" ref="B67:H67" si="4">B61-B62-B63-B64-B65-B66</f>
        <v>15205009578.189995</v>
      </c>
      <c r="C67" s="1593">
        <f t="shared" si="4"/>
        <v>13172387667.440002</v>
      </c>
      <c r="D67" s="1593">
        <f t="shared" si="4"/>
        <v>13140127059.020004</v>
      </c>
      <c r="E67" s="1593">
        <f t="shared" si="4"/>
        <v>353858160.11000007</v>
      </c>
      <c r="F67" s="1593">
        <f t="shared" si="4"/>
        <v>91019.239999999976</v>
      </c>
      <c r="G67" s="1593">
        <f t="shared" si="4"/>
        <v>1086214.32</v>
      </c>
      <c r="H67" s="2001">
        <f t="shared" si="4"/>
        <v>26689669.690000001</v>
      </c>
      <c r="I67" s="2001" t="e">
        <f>I61-I62-#REF!-I63-I64-I65-I66</f>
        <v>#REF!</v>
      </c>
      <c r="J67" s="1604">
        <v>19.959023259988168</v>
      </c>
      <c r="K67" s="1604">
        <v>86.419722338538676</v>
      </c>
    </row>
    <row r="68" spans="1:14">
      <c r="A68" s="1098" t="s">
        <v>263</v>
      </c>
      <c r="B68" s="1603">
        <f>B6-B58</f>
        <v>-3775203285.1599884</v>
      </c>
      <c r="C68" s="1603"/>
      <c r="D68" s="1603">
        <f>C6-D58</f>
        <v>5899283332.3199997</v>
      </c>
      <c r="E68" s="1102"/>
      <c r="F68" s="1102"/>
      <c r="G68" s="1103"/>
      <c r="J68" s="1513"/>
      <c r="K68" s="1513"/>
      <c r="L68" s="1513"/>
      <c r="M68" s="1513"/>
      <c r="N68" s="1513"/>
    </row>
    <row r="69" spans="1:14" ht="40.5">
      <c r="A69" s="1290" t="s">
        <v>1111</v>
      </c>
      <c r="B69" s="1603">
        <f>+B51-B61</f>
        <v>3076708211.9000092</v>
      </c>
      <c r="C69" s="1603"/>
      <c r="D69" s="1603">
        <f>+C51-D61</f>
        <v>7773224937.2999954</v>
      </c>
      <c r="E69" s="1102"/>
      <c r="F69" s="1102"/>
      <c r="G69" s="1103"/>
      <c r="J69" s="1513"/>
      <c r="K69" s="1513"/>
      <c r="L69" s="1513"/>
      <c r="M69" s="1513"/>
      <c r="N69" s="1513"/>
    </row>
    <row r="70" spans="1:14">
      <c r="A70" s="1288"/>
      <c r="B70" s="1440"/>
      <c r="C70" s="1440"/>
      <c r="D70" s="1440"/>
      <c r="E70" s="1440"/>
      <c r="F70" s="1440"/>
      <c r="G70" s="1440"/>
      <c r="H70" s="1440"/>
      <c r="I70" s="1440"/>
      <c r="J70" s="1102"/>
      <c r="K70" s="1102"/>
      <c r="L70" s="1103"/>
    </row>
    <row r="71" spans="1:14">
      <c r="A71" s="1385" t="s">
        <v>1074</v>
      </c>
      <c r="B71" s="1440"/>
      <c r="C71" s="1440"/>
      <c r="D71" s="1440"/>
      <c r="E71" s="1440"/>
      <c r="F71" s="1440"/>
      <c r="G71" s="1440"/>
      <c r="H71" s="1440"/>
      <c r="I71" s="1440"/>
      <c r="J71" s="1102"/>
      <c r="K71" s="1102"/>
      <c r="L71" s="1103"/>
    </row>
    <row r="72" spans="1:14">
      <c r="A72" s="1098" t="s">
        <v>1110</v>
      </c>
      <c r="B72" s="1590">
        <f>4398831995.34</f>
        <v>4398831995.3400002</v>
      </c>
      <c r="C72" s="1590">
        <f>3201331537.36999</f>
        <v>3201331537.3699899</v>
      </c>
      <c r="D72" s="1590">
        <f>3180003005.55999</f>
        <v>3180003005.5599899</v>
      </c>
      <c r="E72" s="1590">
        <f>74999890.3699999</f>
        <v>74999890.3699999</v>
      </c>
      <c r="F72" s="1590">
        <f>0</f>
        <v>0</v>
      </c>
      <c r="G72" s="1590">
        <f>23.06</f>
        <v>23.06</v>
      </c>
      <c r="H72" s="1590">
        <f>68624454.64</f>
        <v>68624454.640000001</v>
      </c>
      <c r="I72" s="1590">
        <f>0</f>
        <v>0</v>
      </c>
      <c r="J72" s="1602">
        <v>100.00000000000001</v>
      </c>
      <c r="K72" s="1602">
        <v>72.291985893728082</v>
      </c>
      <c r="L72" s="1103"/>
    </row>
    <row r="73" spans="1:14">
      <c r="A73" s="1606" t="s">
        <v>740</v>
      </c>
      <c r="B73" s="1593">
        <f>3824328531.08</f>
        <v>3824328531.0799999</v>
      </c>
      <c r="C73" s="1593">
        <f>2794810948.06</f>
        <v>2794810948.0599999</v>
      </c>
      <c r="D73" s="1593">
        <f>2774177589.81</f>
        <v>2774177589.8099999</v>
      </c>
      <c r="E73" s="1593">
        <f>69777466.88</f>
        <v>69777466.879999995</v>
      </c>
      <c r="F73" s="1593">
        <f>0</f>
        <v>0</v>
      </c>
      <c r="G73" s="1593">
        <f>0</f>
        <v>0</v>
      </c>
      <c r="H73" s="1593">
        <f>68542633.92</f>
        <v>68542633.920000002</v>
      </c>
      <c r="I73" s="1593">
        <f>0</f>
        <v>0</v>
      </c>
      <c r="J73" s="1604">
        <v>87.238206535011585</v>
      </c>
      <c r="K73" s="1604">
        <v>72.540252942823543</v>
      </c>
      <c r="L73" s="1103"/>
    </row>
    <row r="74" spans="1:14">
      <c r="A74" s="1607" t="s">
        <v>739</v>
      </c>
      <c r="B74" s="1593">
        <f>+B72-B73</f>
        <v>574503464.26000023</v>
      </c>
      <c r="C74" s="1593">
        <f t="shared" ref="C74:I74" si="5">+C72-C73</f>
        <v>406520589.30998993</v>
      </c>
      <c r="D74" s="1593">
        <f t="shared" si="5"/>
        <v>405825415.74998999</v>
      </c>
      <c r="E74" s="1593">
        <f t="shared" si="5"/>
        <v>5222423.4899999052</v>
      </c>
      <c r="F74" s="1593">
        <f t="shared" si="5"/>
        <v>0</v>
      </c>
      <c r="G74" s="1593">
        <f t="shared" si="5"/>
        <v>23.06</v>
      </c>
      <c r="H74" s="1593">
        <f t="shared" si="5"/>
        <v>81820.719999998808</v>
      </c>
      <c r="I74" s="1593">
        <f t="shared" si="5"/>
        <v>0</v>
      </c>
      <c r="J74" s="1604">
        <v>12.761793464988417</v>
      </c>
      <c r="K74" s="1604">
        <v>70.639333093094734</v>
      </c>
    </row>
    <row r="76" spans="1:14" ht="27">
      <c r="A76" s="1995" t="s">
        <v>68</v>
      </c>
      <c r="B76" s="1104" t="s">
        <v>1109</v>
      </c>
      <c r="C76" s="1608" t="s">
        <v>264</v>
      </c>
      <c r="D76" s="1608" t="s">
        <v>22</v>
      </c>
      <c r="E76" s="1608" t="s">
        <v>265</v>
      </c>
      <c r="M76" s="1513"/>
      <c r="N76" s="1513"/>
    </row>
    <row r="77" spans="1:14">
      <c r="A77" s="1995"/>
      <c r="B77" s="1999" t="s">
        <v>4</v>
      </c>
      <c r="C77" s="1999"/>
      <c r="D77" s="2000" t="s">
        <v>5</v>
      </c>
      <c r="E77" s="2000"/>
      <c r="G77" s="1291"/>
      <c r="M77" s="1513"/>
      <c r="N77" s="1513"/>
    </row>
    <row r="78" spans="1:14">
      <c r="A78" s="1200" t="s">
        <v>887</v>
      </c>
      <c r="B78" s="1609" t="s">
        <v>888</v>
      </c>
      <c r="C78" s="1609" t="s">
        <v>889</v>
      </c>
      <c r="D78" s="1609" t="s">
        <v>890</v>
      </c>
      <c r="E78" s="1609" t="s">
        <v>891</v>
      </c>
      <c r="M78" s="1513"/>
      <c r="N78" s="1513"/>
    </row>
    <row r="79" spans="1:14" ht="27">
      <c r="A79" s="1610" t="s">
        <v>266</v>
      </c>
      <c r="B79" s="1601">
        <f>7513822727.24</f>
        <v>7513822727.2399998</v>
      </c>
      <c r="C79" s="1601">
        <f>10084980871.15</f>
        <v>10084980871.15</v>
      </c>
      <c r="D79" s="1611">
        <v>100</v>
      </c>
      <c r="E79" s="1602">
        <v>134.21904185453741</v>
      </c>
      <c r="M79" s="1513"/>
      <c r="N79" s="1513"/>
    </row>
    <row r="80" spans="1:14" ht="27">
      <c r="A80" s="1612" t="s">
        <v>267</v>
      </c>
      <c r="B80" s="1595">
        <f>2320535043.18</f>
        <v>2320535043.1799998</v>
      </c>
      <c r="C80" s="1595">
        <f>1686909011.78</f>
        <v>1686909011.78</v>
      </c>
      <c r="D80" s="1613">
        <v>16.726943098183984</v>
      </c>
      <c r="E80" s="1604">
        <v>72.694830303803755</v>
      </c>
      <c r="M80" s="1513"/>
      <c r="N80" s="1513"/>
    </row>
    <row r="81" spans="1:14">
      <c r="A81" s="1614" t="s">
        <v>268</v>
      </c>
      <c r="B81" s="1595">
        <f>56803000</f>
        <v>56803000</v>
      </c>
      <c r="C81" s="1595">
        <f>48911000</f>
        <v>48911000</v>
      </c>
      <c r="D81" s="1613">
        <v>0.48498852526254355</v>
      </c>
      <c r="E81" s="1604">
        <v>86.106367621428447</v>
      </c>
      <c r="M81" s="1513"/>
      <c r="N81" s="1513"/>
    </row>
    <row r="82" spans="1:14">
      <c r="A82" s="1612" t="s">
        <v>269</v>
      </c>
      <c r="B82" s="1595">
        <f>29700680.73</f>
        <v>29700680.73</v>
      </c>
      <c r="C82" s="1595">
        <f>28889511.62</f>
        <v>28889511.620000001</v>
      </c>
      <c r="D82" s="1613">
        <v>0.28646074781008191</v>
      </c>
      <c r="E82" s="1604">
        <v>97.268853473850996</v>
      </c>
      <c r="M82" s="1513"/>
      <c r="N82" s="1513"/>
    </row>
    <row r="83" spans="1:14">
      <c r="A83" s="1612" t="s">
        <v>270</v>
      </c>
      <c r="B83" s="1595">
        <f>1147631170.38</f>
        <v>1147631170.3800001</v>
      </c>
      <c r="C83" s="1595">
        <f>2203710593.63</f>
        <v>2203710593.6300001</v>
      </c>
      <c r="D83" s="1613">
        <v>21.851410744210057</v>
      </c>
      <c r="E83" s="1604">
        <v>192.02254613738961</v>
      </c>
      <c r="M83" s="1513"/>
      <c r="N83" s="1513"/>
    </row>
    <row r="84" spans="1:14" ht="40.5">
      <c r="A84" s="1612" t="s">
        <v>1102</v>
      </c>
      <c r="B84" s="1595">
        <f>1758988089.58</f>
        <v>1758988089.5799999</v>
      </c>
      <c r="C84" s="1595">
        <f>2285415097.83</f>
        <v>2285415097.8299999</v>
      </c>
      <c r="D84" s="1613">
        <v>22.661570974000192</v>
      </c>
      <c r="E84" s="1604">
        <v>129.92783244914961</v>
      </c>
      <c r="M84" s="1513"/>
      <c r="N84" s="1513"/>
    </row>
    <row r="85" spans="1:14">
      <c r="A85" s="1612" t="s">
        <v>272</v>
      </c>
      <c r="B85" s="1595">
        <f>0</f>
        <v>0</v>
      </c>
      <c r="C85" s="1595">
        <f>0</f>
        <v>0</v>
      </c>
      <c r="D85" s="1613">
        <v>0</v>
      </c>
      <c r="E85" s="1604" t="s">
        <v>273</v>
      </c>
      <c r="M85" s="1513"/>
      <c r="N85" s="1513"/>
    </row>
    <row r="86" spans="1:14" ht="31.15" customHeight="1">
      <c r="A86" s="1612" t="s">
        <v>361</v>
      </c>
      <c r="B86" s="1595">
        <f>2249845105.05</f>
        <v>2249845105.0500002</v>
      </c>
      <c r="C86" s="1595">
        <f>3871445811.53</f>
        <v>3871445811.5300002</v>
      </c>
      <c r="D86" s="1613">
        <v>38.388231579149597</v>
      </c>
      <c r="E86" s="1604">
        <v>172.07610438781569</v>
      </c>
      <c r="M86" s="1513"/>
      <c r="N86" s="1513"/>
    </row>
    <row r="87" spans="1:14">
      <c r="A87" s="1612" t="s">
        <v>275</v>
      </c>
      <c r="B87" s="1595">
        <f>7122638.32</f>
        <v>7122638.3200000003</v>
      </c>
      <c r="C87" s="1595">
        <f>8610844.76</f>
        <v>8610844.7599999998</v>
      </c>
      <c r="D87" s="1613">
        <v>8.5382856646093935E-2</v>
      </c>
      <c r="E87" s="1604">
        <v>120.89403354682763</v>
      </c>
      <c r="M87" s="1513"/>
      <c r="N87" s="1513"/>
    </row>
    <row r="88" spans="1:14" ht="27">
      <c r="A88" s="1610" t="s">
        <v>276</v>
      </c>
      <c r="B88" s="1601">
        <f>3715565162.86</f>
        <v>3715565162.8600001</v>
      </c>
      <c r="C88" s="1601">
        <f>3176656786.79</f>
        <v>3176656786.79</v>
      </c>
      <c r="D88" s="1611">
        <v>100</v>
      </c>
      <c r="E88" s="1602">
        <v>85.495924510843906</v>
      </c>
      <c r="M88" s="1513"/>
      <c r="N88" s="1513"/>
    </row>
    <row r="89" spans="1:14" ht="27">
      <c r="A89" s="1612" t="s">
        <v>277</v>
      </c>
      <c r="B89" s="1595">
        <f>1950754467.64</f>
        <v>1950754467.6400001</v>
      </c>
      <c r="C89" s="1595">
        <f>1941738181.31</f>
        <v>1941738181.3099999</v>
      </c>
      <c r="D89" s="1613">
        <v>61.125211555262766</v>
      </c>
      <c r="E89" s="1604">
        <v>99.537805168227663</v>
      </c>
      <c r="M89" s="1513"/>
      <c r="N89" s="1513"/>
    </row>
    <row r="90" spans="1:14">
      <c r="A90" s="1612" t="s">
        <v>278</v>
      </c>
      <c r="B90" s="1595">
        <f>28226000</f>
        <v>28226000</v>
      </c>
      <c r="C90" s="1595">
        <f>28226000</f>
        <v>28226000</v>
      </c>
      <c r="D90" s="1613">
        <v>0.88854421155526431</v>
      </c>
      <c r="E90" s="1604">
        <v>100</v>
      </c>
      <c r="M90" s="1513"/>
      <c r="N90" s="1513"/>
    </row>
    <row r="91" spans="1:14">
      <c r="A91" s="1614" t="s">
        <v>360</v>
      </c>
      <c r="B91" s="1595">
        <f>38560244.84</f>
        <v>38560244.840000004</v>
      </c>
      <c r="C91" s="1595">
        <f>35982540.52</f>
        <v>35982540.520000003</v>
      </c>
      <c r="D91" s="1613">
        <v>1.1327172853432563</v>
      </c>
      <c r="E91" s="1604">
        <v>93.315124603861307</v>
      </c>
      <c r="M91" s="1513"/>
      <c r="N91" s="1513"/>
    </row>
    <row r="92" spans="1:14">
      <c r="A92" s="1612" t="s">
        <v>280</v>
      </c>
      <c r="B92" s="1595">
        <f>1726250450.38</f>
        <v>1726250450.3800001</v>
      </c>
      <c r="C92" s="1595">
        <f>1198936064.96</f>
        <v>1198936064.96</v>
      </c>
      <c r="D92" s="1613">
        <v>37.74207115939398</v>
      </c>
      <c r="E92" s="1604">
        <v>69.453193463096724</v>
      </c>
      <c r="M92" s="1513"/>
      <c r="N92" s="1513"/>
    </row>
  </sheetData>
  <mergeCells count="31">
    <mergeCell ref="E54:E55"/>
    <mergeCell ref="F54:G54"/>
    <mergeCell ref="A1:L1"/>
    <mergeCell ref="H57:I57"/>
    <mergeCell ref="B56:I56"/>
    <mergeCell ref="J56:K56"/>
    <mergeCell ref="B77:C77"/>
    <mergeCell ref="A76:A77"/>
    <mergeCell ref="D77:E77"/>
    <mergeCell ref="H67:I67"/>
    <mergeCell ref="H62:I62"/>
    <mergeCell ref="H63:I63"/>
    <mergeCell ref="H64:I64"/>
    <mergeCell ref="H65:I65"/>
    <mergeCell ref="H66:I66"/>
    <mergeCell ref="H60:I60"/>
    <mergeCell ref="H61:I61"/>
    <mergeCell ref="A3:A4"/>
    <mergeCell ref="B4:I4"/>
    <mergeCell ref="J4:L4"/>
    <mergeCell ref="A52:L52"/>
    <mergeCell ref="A53:A56"/>
    <mergeCell ref="B53:B55"/>
    <mergeCell ref="C53:C55"/>
    <mergeCell ref="D53:D55"/>
    <mergeCell ref="E53:G53"/>
    <mergeCell ref="H53:I55"/>
    <mergeCell ref="J53:J55"/>
    <mergeCell ref="K53:K55"/>
    <mergeCell ref="H58:I58"/>
    <mergeCell ref="H59:I59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7"/>
  <sheetViews>
    <sheetView showGridLines="0" zoomScaleNormal="100" zoomScaleSheetLayoutView="50" workbookViewId="0">
      <selection activeCell="S10" sqref="S10"/>
    </sheetView>
  </sheetViews>
  <sheetFormatPr defaultColWidth="9.140625" defaultRowHeight="13.5"/>
  <cols>
    <col min="1" max="1" width="26.5703125" style="1430" customWidth="1"/>
    <col min="2" max="3" width="12.28515625" style="1430" bestFit="1" customWidth="1"/>
    <col min="4" max="4" width="11.42578125" style="1430" bestFit="1" customWidth="1"/>
    <col min="5" max="6" width="10.28515625" style="1430" bestFit="1" customWidth="1"/>
    <col min="7" max="7" width="11.42578125" style="1430" bestFit="1" customWidth="1"/>
    <col min="8" max="8" width="9.28515625" style="1430" bestFit="1" customWidth="1"/>
    <col min="9" max="9" width="9.5703125" style="1430" bestFit="1" customWidth="1"/>
    <col min="10" max="10" width="12.28515625" style="1430" bestFit="1" customWidth="1"/>
    <col min="11" max="11" width="11.7109375" style="1430" customWidth="1"/>
    <col min="12" max="12" width="13.85546875" style="1430" customWidth="1"/>
    <col min="13" max="13" width="11.42578125" style="1430" bestFit="1" customWidth="1"/>
    <col min="14" max="14" width="12.140625" style="1430" customWidth="1"/>
    <col min="15" max="17" width="9.28515625" style="1430" bestFit="1" customWidth="1"/>
    <col min="18" max="18" width="9.140625" style="1430"/>
    <col min="19" max="16384" width="9.140625" style="1511"/>
  </cols>
  <sheetData>
    <row r="1" spans="1:17">
      <c r="A1" s="1978" t="s">
        <v>281</v>
      </c>
      <c r="B1" s="1978"/>
      <c r="C1" s="1978"/>
      <c r="D1" s="1978"/>
      <c r="E1" s="1978"/>
      <c r="F1" s="1978"/>
      <c r="G1" s="1978"/>
      <c r="H1" s="1978"/>
      <c r="I1" s="1978"/>
      <c r="J1" s="1978"/>
      <c r="K1" s="1978"/>
      <c r="L1" s="1978"/>
      <c r="M1" s="1978"/>
    </row>
    <row r="2" spans="1:17"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</row>
    <row r="3" spans="1:17">
      <c r="A3" s="2006" t="s">
        <v>68</v>
      </c>
      <c r="B3" s="2006" t="s">
        <v>282</v>
      </c>
      <c r="C3" s="2006" t="s">
        <v>283</v>
      </c>
      <c r="D3" s="2006"/>
      <c r="E3" s="2006"/>
      <c r="F3" s="2006"/>
      <c r="G3" s="2006"/>
      <c r="H3" s="2006"/>
      <c r="I3" s="2006"/>
      <c r="J3" s="2006"/>
      <c r="K3" s="2006"/>
      <c r="L3" s="2006"/>
      <c r="M3" s="2006"/>
      <c r="N3" s="2006"/>
      <c r="O3" s="2006" t="s">
        <v>284</v>
      </c>
      <c r="P3" s="2006"/>
      <c r="Q3" s="2006"/>
    </row>
    <row r="4" spans="1:17">
      <c r="A4" s="2006"/>
      <c r="B4" s="2006"/>
      <c r="C4" s="2006" t="s">
        <v>285</v>
      </c>
      <c r="D4" s="2006" t="s">
        <v>286</v>
      </c>
      <c r="E4" s="2006" t="s">
        <v>287</v>
      </c>
      <c r="F4" s="2006" t="s">
        <v>288</v>
      </c>
      <c r="G4" s="2006" t="s">
        <v>289</v>
      </c>
      <c r="H4" s="2006" t="s">
        <v>290</v>
      </c>
      <c r="I4" s="2006" t="s">
        <v>291</v>
      </c>
      <c r="J4" s="2006" t="s">
        <v>292</v>
      </c>
      <c r="K4" s="2006" t="s">
        <v>293</v>
      </c>
      <c r="L4" s="2006" t="s">
        <v>294</v>
      </c>
      <c r="M4" s="2006" t="s">
        <v>295</v>
      </c>
      <c r="N4" s="2006" t="s">
        <v>296</v>
      </c>
      <c r="O4" s="2006" t="s">
        <v>297</v>
      </c>
      <c r="P4" s="2006" t="s">
        <v>298</v>
      </c>
      <c r="Q4" s="2006" t="s">
        <v>299</v>
      </c>
    </row>
    <row r="5" spans="1:17">
      <c r="A5" s="2006"/>
      <c r="B5" s="2006"/>
      <c r="C5" s="2006"/>
      <c r="D5" s="2006"/>
      <c r="E5" s="2006"/>
      <c r="F5" s="2006"/>
      <c r="G5" s="2006"/>
      <c r="H5" s="2006"/>
      <c r="I5" s="2006"/>
      <c r="J5" s="2006"/>
      <c r="K5" s="2006"/>
      <c r="L5" s="2006"/>
      <c r="M5" s="2006"/>
      <c r="N5" s="2006"/>
      <c r="O5" s="2006"/>
      <c r="P5" s="2006"/>
      <c r="Q5" s="2006"/>
    </row>
    <row r="6" spans="1:17">
      <c r="A6" s="2006"/>
      <c r="B6" s="2006"/>
      <c r="C6" s="2006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</row>
    <row r="7" spans="1:17" ht="46.15" customHeight="1">
      <c r="A7" s="2006"/>
      <c r="B7" s="2006"/>
      <c r="C7" s="2006"/>
      <c r="D7" s="2006"/>
      <c r="E7" s="2006"/>
      <c r="F7" s="2006"/>
      <c r="G7" s="2006"/>
      <c r="H7" s="2006"/>
      <c r="I7" s="2006"/>
      <c r="J7" s="2006"/>
      <c r="K7" s="2006"/>
      <c r="L7" s="2006"/>
      <c r="M7" s="2006"/>
      <c r="N7" s="2006"/>
      <c r="O7" s="2006"/>
      <c r="P7" s="2006"/>
      <c r="Q7" s="2006"/>
    </row>
    <row r="8" spans="1:17">
      <c r="A8" s="2006"/>
      <c r="B8" s="2009" t="s">
        <v>4</v>
      </c>
      <c r="C8" s="2009"/>
      <c r="D8" s="2009"/>
      <c r="E8" s="2009"/>
      <c r="F8" s="2009"/>
      <c r="G8" s="2009"/>
      <c r="H8" s="2009"/>
      <c r="I8" s="2009"/>
      <c r="J8" s="2009"/>
      <c r="K8" s="2009"/>
      <c r="L8" s="2009"/>
      <c r="M8" s="2009"/>
      <c r="N8" s="2009"/>
      <c r="O8" s="1999"/>
      <c r="P8" s="1999"/>
      <c r="Q8" s="1999"/>
    </row>
    <row r="9" spans="1:17">
      <c r="A9" s="1287" t="s">
        <v>887</v>
      </c>
      <c r="B9" s="1287" t="s">
        <v>888</v>
      </c>
      <c r="C9" s="1287" t="s">
        <v>889</v>
      </c>
      <c r="D9" s="1287" t="s">
        <v>890</v>
      </c>
      <c r="E9" s="1287" t="s">
        <v>891</v>
      </c>
      <c r="F9" s="1287" t="s">
        <v>892</v>
      </c>
      <c r="G9" s="1287" t="s">
        <v>893</v>
      </c>
      <c r="H9" s="1287" t="s">
        <v>894</v>
      </c>
      <c r="I9" s="1287" t="s">
        <v>932</v>
      </c>
      <c r="J9" s="1287" t="s">
        <v>966</v>
      </c>
      <c r="K9" s="1287" t="s">
        <v>967</v>
      </c>
      <c r="L9" s="1287" t="s">
        <v>969</v>
      </c>
      <c r="M9" s="1287" t="s">
        <v>1070</v>
      </c>
      <c r="N9" s="1287" t="s">
        <v>1096</v>
      </c>
      <c r="O9" s="1287" t="s">
        <v>1097</v>
      </c>
      <c r="P9" s="1287" t="s">
        <v>1098</v>
      </c>
      <c r="Q9" s="1287" t="s">
        <v>1099</v>
      </c>
    </row>
    <row r="10" spans="1:17" ht="27">
      <c r="A10" s="1615" t="s">
        <v>368</v>
      </c>
      <c r="B10" s="1616">
        <f>12785380997.39</f>
        <v>12785380997.389999</v>
      </c>
      <c r="C10" s="1616">
        <f>12785380997.39</f>
        <v>12785380997.389999</v>
      </c>
      <c r="D10" s="1616">
        <f>1597904922.63</f>
        <v>1597904922.6300001</v>
      </c>
      <c r="E10" s="1616">
        <f>116456163.99</f>
        <v>116456163.98999999</v>
      </c>
      <c r="F10" s="1616">
        <f>177846821.37</f>
        <v>177846821.37</v>
      </c>
      <c r="G10" s="1616">
        <f>1303396293.39</f>
        <v>1303396293.3900001</v>
      </c>
      <c r="H10" s="1616">
        <f>205643.88</f>
        <v>205643.88</v>
      </c>
      <c r="I10" s="1616">
        <f>0</f>
        <v>0</v>
      </c>
      <c r="J10" s="1616">
        <f>10615767706.47</f>
        <v>10615767706.469999</v>
      </c>
      <c r="K10" s="1616">
        <f>488876216.36</f>
        <v>488876216.36000001</v>
      </c>
      <c r="L10" s="1616">
        <f>69939166.84</f>
        <v>69939166.840000004</v>
      </c>
      <c r="M10" s="1616">
        <f>9635013.91</f>
        <v>9635013.9100000001</v>
      </c>
      <c r="N10" s="1616">
        <f>3257971.18</f>
        <v>3257971.18</v>
      </c>
      <c r="O10" s="1616">
        <f>0</f>
        <v>0</v>
      </c>
      <c r="P10" s="1616">
        <f>0</f>
        <v>0</v>
      </c>
      <c r="Q10" s="1616">
        <f>0</f>
        <v>0</v>
      </c>
    </row>
    <row r="11" spans="1:17" ht="27">
      <c r="A11" s="1617" t="s">
        <v>367</v>
      </c>
      <c r="B11" s="1616">
        <f>121240000</f>
        <v>121240000</v>
      </c>
      <c r="C11" s="1616">
        <f>121240000</f>
        <v>121240000</v>
      </c>
      <c r="D11" s="1616">
        <f>0</f>
        <v>0</v>
      </c>
      <c r="E11" s="1616">
        <f>0</f>
        <v>0</v>
      </c>
      <c r="F11" s="1616">
        <f>0</f>
        <v>0</v>
      </c>
      <c r="G11" s="1616">
        <f>0</f>
        <v>0</v>
      </c>
      <c r="H11" s="1616">
        <f>0</f>
        <v>0</v>
      </c>
      <c r="I11" s="1616">
        <f>0</f>
        <v>0</v>
      </c>
      <c r="J11" s="1616">
        <f>102790000</f>
        <v>102790000</v>
      </c>
      <c r="K11" s="1616">
        <f>18450000</f>
        <v>18450000</v>
      </c>
      <c r="L11" s="1616">
        <f>0</f>
        <v>0</v>
      </c>
      <c r="M11" s="1616">
        <f>0</f>
        <v>0</v>
      </c>
      <c r="N11" s="1616">
        <f>0</f>
        <v>0</v>
      </c>
      <c r="O11" s="1616">
        <f>0</f>
        <v>0</v>
      </c>
      <c r="P11" s="1616">
        <f>0</f>
        <v>0</v>
      </c>
      <c r="Q11" s="1616">
        <f>0</f>
        <v>0</v>
      </c>
    </row>
    <row r="12" spans="1:17">
      <c r="A12" s="1618" t="s">
        <v>711</v>
      </c>
      <c r="B12" s="1616">
        <f>0</f>
        <v>0</v>
      </c>
      <c r="C12" s="1616">
        <f>0</f>
        <v>0</v>
      </c>
      <c r="D12" s="1616">
        <f>0</f>
        <v>0</v>
      </c>
      <c r="E12" s="1616">
        <f>0</f>
        <v>0</v>
      </c>
      <c r="F12" s="1616">
        <f>0</f>
        <v>0</v>
      </c>
      <c r="G12" s="1616">
        <f>0</f>
        <v>0</v>
      </c>
      <c r="H12" s="1616">
        <f>0</f>
        <v>0</v>
      </c>
      <c r="I12" s="1616">
        <f>0</f>
        <v>0</v>
      </c>
      <c r="J12" s="1616">
        <f>0</f>
        <v>0</v>
      </c>
      <c r="K12" s="1616">
        <f>0</f>
        <v>0</v>
      </c>
      <c r="L12" s="1616">
        <f>0</f>
        <v>0</v>
      </c>
      <c r="M12" s="1616">
        <f>0</f>
        <v>0</v>
      </c>
      <c r="N12" s="1616">
        <f>0</f>
        <v>0</v>
      </c>
      <c r="O12" s="1616">
        <f>0</f>
        <v>0</v>
      </c>
      <c r="P12" s="1616">
        <f>0</f>
        <v>0</v>
      </c>
      <c r="Q12" s="1616">
        <f>0</f>
        <v>0</v>
      </c>
    </row>
    <row r="13" spans="1:17">
      <c r="A13" s="1618" t="s">
        <v>302</v>
      </c>
      <c r="B13" s="1616">
        <f>121240000</f>
        <v>121240000</v>
      </c>
      <c r="C13" s="1616">
        <f>121240000</f>
        <v>121240000</v>
      </c>
      <c r="D13" s="1616">
        <f>0</f>
        <v>0</v>
      </c>
      <c r="E13" s="1616">
        <f>0</f>
        <v>0</v>
      </c>
      <c r="F13" s="1616">
        <f>0</f>
        <v>0</v>
      </c>
      <c r="G13" s="1616">
        <f>0</f>
        <v>0</v>
      </c>
      <c r="H13" s="1616">
        <f>0</f>
        <v>0</v>
      </c>
      <c r="I13" s="1616">
        <f>0</f>
        <v>0</v>
      </c>
      <c r="J13" s="1616">
        <f>102790000</f>
        <v>102790000</v>
      </c>
      <c r="K13" s="1616">
        <f>18450000</f>
        <v>18450000</v>
      </c>
      <c r="L13" s="1616">
        <f>0</f>
        <v>0</v>
      </c>
      <c r="M13" s="1616">
        <f>0</f>
        <v>0</v>
      </c>
      <c r="N13" s="1616">
        <f>0</f>
        <v>0</v>
      </c>
      <c r="O13" s="1616">
        <f>0</f>
        <v>0</v>
      </c>
      <c r="P13" s="1616">
        <f>0</f>
        <v>0</v>
      </c>
      <c r="Q13" s="1616">
        <f>0</f>
        <v>0</v>
      </c>
    </row>
    <row r="14" spans="1:17" ht="27">
      <c r="A14" s="1617" t="s">
        <v>366</v>
      </c>
      <c r="B14" s="1616">
        <f>12657961107.28</f>
        <v>12657961107.280001</v>
      </c>
      <c r="C14" s="1616">
        <f>12657961107.28</f>
        <v>12657961107.280001</v>
      </c>
      <c r="D14" s="1616">
        <f>1596480854.09</f>
        <v>1596480854.0899999</v>
      </c>
      <c r="E14" s="1616">
        <f>116344079.78</f>
        <v>116344079.78</v>
      </c>
      <c r="F14" s="1616">
        <f>177843847.37</f>
        <v>177843847.37</v>
      </c>
      <c r="G14" s="1616">
        <f>1302292926.94</f>
        <v>1302292926.9400001</v>
      </c>
      <c r="H14" s="1616">
        <f>0</f>
        <v>0</v>
      </c>
      <c r="I14" s="1616">
        <f>0</f>
        <v>0</v>
      </c>
      <c r="J14" s="1616">
        <f>10512958262</f>
        <v>10512958262</v>
      </c>
      <c r="K14" s="1616">
        <f>470420781.8</f>
        <v>470420781.80000001</v>
      </c>
      <c r="L14" s="1616">
        <f>67166567.8</f>
        <v>67166567.799999997</v>
      </c>
      <c r="M14" s="1616">
        <f>7704298.35</f>
        <v>7704298.3499999996</v>
      </c>
      <c r="N14" s="1616">
        <f>3230343.24</f>
        <v>3230343.24</v>
      </c>
      <c r="O14" s="1616">
        <f>0</f>
        <v>0</v>
      </c>
      <c r="P14" s="1616">
        <f>0</f>
        <v>0</v>
      </c>
      <c r="Q14" s="1616">
        <f>0</f>
        <v>0</v>
      </c>
    </row>
    <row r="15" spans="1:17">
      <c r="A15" s="1618" t="s">
        <v>710</v>
      </c>
      <c r="B15" s="1616">
        <f>45382898.52</f>
        <v>45382898.520000003</v>
      </c>
      <c r="C15" s="1616">
        <f>45382898.52</f>
        <v>45382898.520000003</v>
      </c>
      <c r="D15" s="1616">
        <f>14642521.17</f>
        <v>14642521.17</v>
      </c>
      <c r="E15" s="1616">
        <f>8115691.98</f>
        <v>8115691.9800000004</v>
      </c>
      <c r="F15" s="1616">
        <f>1566851.07</f>
        <v>1566851.07</v>
      </c>
      <c r="G15" s="1616">
        <f>4959978.12</f>
        <v>4959978.12</v>
      </c>
      <c r="H15" s="1616">
        <f>0</f>
        <v>0</v>
      </c>
      <c r="I15" s="1616">
        <f>0</f>
        <v>0</v>
      </c>
      <c r="J15" s="1616">
        <f>29604525.19</f>
        <v>29604525.190000001</v>
      </c>
      <c r="K15" s="1616">
        <f>176470.59</f>
        <v>176470.59</v>
      </c>
      <c r="L15" s="1616">
        <f>117028.62</f>
        <v>117028.62</v>
      </c>
      <c r="M15" s="1616">
        <f>450000</f>
        <v>450000</v>
      </c>
      <c r="N15" s="1616">
        <f>392352.95</f>
        <v>392352.95</v>
      </c>
      <c r="O15" s="1616">
        <f>0</f>
        <v>0</v>
      </c>
      <c r="P15" s="1616">
        <f>0</f>
        <v>0</v>
      </c>
      <c r="Q15" s="1616">
        <f>0</f>
        <v>0</v>
      </c>
    </row>
    <row r="16" spans="1:17">
      <c r="A16" s="1619" t="s">
        <v>304</v>
      </c>
      <c r="B16" s="1616">
        <f>12612578208.76</f>
        <v>12612578208.76</v>
      </c>
      <c r="C16" s="1616">
        <f>12612578208.76</f>
        <v>12612578208.76</v>
      </c>
      <c r="D16" s="1616">
        <f>1581838332.92</f>
        <v>1581838332.9200001</v>
      </c>
      <c r="E16" s="1616">
        <f>108228387.8</f>
        <v>108228387.8</v>
      </c>
      <c r="F16" s="1616">
        <f>176276996.3</f>
        <v>176276996.30000001</v>
      </c>
      <c r="G16" s="1616">
        <f>1297332948.82</f>
        <v>1297332948.8199999</v>
      </c>
      <c r="H16" s="1616">
        <f>0</f>
        <v>0</v>
      </c>
      <c r="I16" s="1616">
        <f>0</f>
        <v>0</v>
      </c>
      <c r="J16" s="1616">
        <f>10483353736.81</f>
        <v>10483353736.809999</v>
      </c>
      <c r="K16" s="1616">
        <f>470244311.21</f>
        <v>470244311.20999998</v>
      </c>
      <c r="L16" s="1616">
        <f>67049539.18</f>
        <v>67049539.18</v>
      </c>
      <c r="M16" s="1616">
        <f>7254298.35</f>
        <v>7254298.3499999996</v>
      </c>
      <c r="N16" s="1616">
        <f>2837990.29</f>
        <v>2837990.29</v>
      </c>
      <c r="O16" s="1616">
        <f>0</f>
        <v>0</v>
      </c>
      <c r="P16" s="1616">
        <f>0</f>
        <v>0</v>
      </c>
      <c r="Q16" s="1616">
        <f>0</f>
        <v>0</v>
      </c>
    </row>
    <row r="17" spans="1:17">
      <c r="A17" s="1620" t="s">
        <v>305</v>
      </c>
      <c r="B17" s="1616">
        <f>0</f>
        <v>0</v>
      </c>
      <c r="C17" s="1616">
        <f>0</f>
        <v>0</v>
      </c>
      <c r="D17" s="1616">
        <f>0</f>
        <v>0</v>
      </c>
      <c r="E17" s="1616">
        <f>0</f>
        <v>0</v>
      </c>
      <c r="F17" s="1616">
        <f>0</f>
        <v>0</v>
      </c>
      <c r="G17" s="1616">
        <f>0</f>
        <v>0</v>
      </c>
      <c r="H17" s="1616">
        <f>0</f>
        <v>0</v>
      </c>
      <c r="I17" s="1616">
        <f>0</f>
        <v>0</v>
      </c>
      <c r="J17" s="1616">
        <f>0</f>
        <v>0</v>
      </c>
      <c r="K17" s="1616">
        <f>0</f>
        <v>0</v>
      </c>
      <c r="L17" s="1616">
        <f>0</f>
        <v>0</v>
      </c>
      <c r="M17" s="1616">
        <f>0</f>
        <v>0</v>
      </c>
      <c r="N17" s="1616">
        <f>0</f>
        <v>0</v>
      </c>
      <c r="O17" s="1616">
        <f>0</f>
        <v>0</v>
      </c>
      <c r="P17" s="1616">
        <f>0</f>
        <v>0</v>
      </c>
      <c r="Q17" s="1616">
        <f>0</f>
        <v>0</v>
      </c>
    </row>
    <row r="18" spans="1:17" ht="27">
      <c r="A18" s="1621" t="s">
        <v>365</v>
      </c>
      <c r="B18" s="1616">
        <f>6179890.11</f>
        <v>6179890.1100000003</v>
      </c>
      <c r="C18" s="1616">
        <f>6179890.11</f>
        <v>6179890.1100000003</v>
      </c>
      <c r="D18" s="1616">
        <f>1424068.54</f>
        <v>1424068.54</v>
      </c>
      <c r="E18" s="1616">
        <f>112084.21</f>
        <v>112084.21</v>
      </c>
      <c r="F18" s="1616">
        <f>2974</f>
        <v>2974</v>
      </c>
      <c r="G18" s="1616">
        <f>1103366.45</f>
        <v>1103366.45</v>
      </c>
      <c r="H18" s="1616">
        <f>205643.88</f>
        <v>205643.88</v>
      </c>
      <c r="I18" s="1616">
        <f>0</f>
        <v>0</v>
      </c>
      <c r="J18" s="1616">
        <f>19444.47</f>
        <v>19444.47</v>
      </c>
      <c r="K18" s="1616">
        <f>5434.56</f>
        <v>5434.56</v>
      </c>
      <c r="L18" s="1616">
        <f>2772599.04</f>
        <v>2772599.04</v>
      </c>
      <c r="M18" s="1616">
        <f>1930715.56</f>
        <v>1930715.56</v>
      </c>
      <c r="N18" s="1616">
        <f>27627.94</f>
        <v>27627.94</v>
      </c>
      <c r="O18" s="1616">
        <f>0</f>
        <v>0</v>
      </c>
      <c r="P18" s="1616">
        <f>0</f>
        <v>0</v>
      </c>
      <c r="Q18" s="1616">
        <f>0</f>
        <v>0</v>
      </c>
    </row>
    <row r="19" spans="1:17">
      <c r="A19" s="1618" t="s">
        <v>307</v>
      </c>
      <c r="B19" s="1616">
        <f>3340760.97</f>
        <v>3340760.97</v>
      </c>
      <c r="C19" s="1616">
        <f>3340760.97</f>
        <v>3340760.97</v>
      </c>
      <c r="D19" s="1616">
        <f>660783.54</f>
        <v>660783.54</v>
      </c>
      <c r="E19" s="1616">
        <f>0</f>
        <v>0</v>
      </c>
      <c r="F19" s="1616">
        <f>0</f>
        <v>0</v>
      </c>
      <c r="G19" s="1616">
        <f>660783.54</f>
        <v>660783.54</v>
      </c>
      <c r="H19" s="1616">
        <f>0</f>
        <v>0</v>
      </c>
      <c r="I19" s="1616">
        <f>0</f>
        <v>0</v>
      </c>
      <c r="J19" s="1616">
        <f>17813.79</f>
        <v>17813.79</v>
      </c>
      <c r="K19" s="1616">
        <f>5434.56</f>
        <v>5434.56</v>
      </c>
      <c r="L19" s="1616">
        <f>1975111.68</f>
        <v>1975111.6799999999</v>
      </c>
      <c r="M19" s="1616">
        <f>658459.82</f>
        <v>658459.81999999995</v>
      </c>
      <c r="N19" s="1616">
        <f>23157.58</f>
        <v>23157.58</v>
      </c>
      <c r="O19" s="1616">
        <f>0</f>
        <v>0</v>
      </c>
      <c r="P19" s="1616">
        <f>0</f>
        <v>0</v>
      </c>
      <c r="Q19" s="1616">
        <f>0</f>
        <v>0</v>
      </c>
    </row>
    <row r="20" spans="1:17">
      <c r="A20" s="1619" t="s">
        <v>308</v>
      </c>
      <c r="B20" s="1616">
        <f>2839129.14</f>
        <v>2839129.14</v>
      </c>
      <c r="C20" s="1616">
        <f>2839129.14</f>
        <v>2839129.14</v>
      </c>
      <c r="D20" s="1616">
        <f>763285</f>
        <v>763285</v>
      </c>
      <c r="E20" s="1616">
        <f>112084.21</f>
        <v>112084.21</v>
      </c>
      <c r="F20" s="1616">
        <f>2974</f>
        <v>2974</v>
      </c>
      <c r="G20" s="1616">
        <f>442582.91</f>
        <v>442582.91</v>
      </c>
      <c r="H20" s="1616">
        <f>205643.88</f>
        <v>205643.88</v>
      </c>
      <c r="I20" s="1616">
        <f>0</f>
        <v>0</v>
      </c>
      <c r="J20" s="1616">
        <f>1630.68</f>
        <v>1630.68</v>
      </c>
      <c r="K20" s="1616">
        <f>0</f>
        <v>0</v>
      </c>
      <c r="L20" s="1616">
        <f>797487.36</f>
        <v>797487.36</v>
      </c>
      <c r="M20" s="1616">
        <f>1272255.74</f>
        <v>1272255.74</v>
      </c>
      <c r="N20" s="1616">
        <f>4470.36</f>
        <v>4470.3599999999997</v>
      </c>
      <c r="O20" s="1616">
        <f>0</f>
        <v>0</v>
      </c>
      <c r="P20" s="1616">
        <f>0</f>
        <v>0</v>
      </c>
      <c r="Q20" s="1616">
        <f>0</f>
        <v>0</v>
      </c>
    </row>
    <row r="21" spans="1:17">
      <c r="A21" s="1226"/>
      <c r="B21" s="1227"/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</row>
    <row r="22" spans="1:17">
      <c r="A22" s="1978" t="s">
        <v>309</v>
      </c>
      <c r="B22" s="1978"/>
      <c r="C22" s="1978"/>
      <c r="D22" s="1978"/>
      <c r="E22" s="1978"/>
      <c r="F22" s="1978"/>
      <c r="G22" s="1978"/>
      <c r="H22" s="1978"/>
      <c r="I22" s="1978"/>
      <c r="J22" s="1978"/>
      <c r="K22" s="1978"/>
      <c r="L22" s="1978"/>
      <c r="M22" s="1978"/>
    </row>
    <row r="24" spans="1:17">
      <c r="A24" s="2006" t="s">
        <v>68</v>
      </c>
      <c r="B24" s="2006" t="s">
        <v>310</v>
      </c>
      <c r="C24" s="2006" t="s">
        <v>311</v>
      </c>
      <c r="D24" s="2006"/>
      <c r="E24" s="2006"/>
      <c r="F24" s="2006"/>
      <c r="G24" s="2006"/>
      <c r="H24" s="2006"/>
      <c r="I24" s="2006"/>
      <c r="J24" s="2006"/>
      <c r="K24" s="2006"/>
      <c r="L24" s="2006"/>
      <c r="M24" s="2006"/>
      <c r="N24" s="2006"/>
      <c r="O24" s="2006" t="s">
        <v>312</v>
      </c>
      <c r="P24" s="2006"/>
      <c r="Q24" s="2006"/>
    </row>
    <row r="25" spans="1:17">
      <c r="A25" s="2006"/>
      <c r="B25" s="2006"/>
      <c r="C25" s="2006" t="s">
        <v>313</v>
      </c>
      <c r="D25" s="2006" t="s">
        <v>314</v>
      </c>
      <c r="E25" s="2006" t="s">
        <v>315</v>
      </c>
      <c r="F25" s="2006" t="s">
        <v>316</v>
      </c>
      <c r="G25" s="2006" t="s">
        <v>317</v>
      </c>
      <c r="H25" s="2006" t="s">
        <v>290</v>
      </c>
      <c r="I25" s="2006" t="s">
        <v>318</v>
      </c>
      <c r="J25" s="2006" t="s">
        <v>292</v>
      </c>
      <c r="K25" s="2006" t="s">
        <v>293</v>
      </c>
      <c r="L25" s="2006" t="s">
        <v>294</v>
      </c>
      <c r="M25" s="2006" t="s">
        <v>295</v>
      </c>
      <c r="N25" s="2010" t="s">
        <v>296</v>
      </c>
      <c r="O25" s="2006" t="s">
        <v>297</v>
      </c>
      <c r="P25" s="2006" t="s">
        <v>298</v>
      </c>
      <c r="Q25" s="2006" t="s">
        <v>299</v>
      </c>
    </row>
    <row r="26" spans="1:17">
      <c r="A26" s="2006"/>
      <c r="B26" s="2006"/>
      <c r="C26" s="2006"/>
      <c r="D26" s="2006"/>
      <c r="E26" s="2006"/>
      <c r="F26" s="2006"/>
      <c r="G26" s="2006"/>
      <c r="H26" s="2006"/>
      <c r="I26" s="2006"/>
      <c r="J26" s="2006"/>
      <c r="K26" s="2006"/>
      <c r="L26" s="2006"/>
      <c r="M26" s="2006"/>
      <c r="N26" s="2010"/>
      <c r="O26" s="2006"/>
      <c r="P26" s="2006"/>
      <c r="Q26" s="2006"/>
    </row>
    <row r="27" spans="1:17" ht="51" customHeight="1">
      <c r="A27" s="2006"/>
      <c r="B27" s="2006"/>
      <c r="C27" s="2006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10"/>
      <c r="O27" s="2006"/>
      <c r="P27" s="2006"/>
      <c r="Q27" s="2006"/>
    </row>
    <row r="28" spans="1:17">
      <c r="A28" s="2006"/>
      <c r="B28" s="2008" t="s">
        <v>4</v>
      </c>
      <c r="C28" s="2008"/>
      <c r="D28" s="2008"/>
      <c r="E28" s="2008"/>
      <c r="F28" s="2008"/>
      <c r="G28" s="2008"/>
      <c r="H28" s="2008"/>
      <c r="I28" s="2008"/>
      <c r="J28" s="2008"/>
      <c r="K28" s="2008"/>
      <c r="L28" s="2008"/>
      <c r="M28" s="2008"/>
      <c r="N28" s="2008"/>
      <c r="O28" s="2008"/>
      <c r="P28" s="2008"/>
      <c r="Q28" s="2008"/>
    </row>
    <row r="29" spans="1:17">
      <c r="A29" s="1287" t="s">
        <v>887</v>
      </c>
      <c r="B29" s="1287" t="s">
        <v>888</v>
      </c>
      <c r="C29" s="1287" t="s">
        <v>889</v>
      </c>
      <c r="D29" s="1287" t="s">
        <v>890</v>
      </c>
      <c r="E29" s="1287" t="s">
        <v>891</v>
      </c>
      <c r="F29" s="1287" t="s">
        <v>892</v>
      </c>
      <c r="G29" s="1287" t="s">
        <v>893</v>
      </c>
      <c r="H29" s="1287" t="s">
        <v>894</v>
      </c>
      <c r="I29" s="1287" t="s">
        <v>932</v>
      </c>
      <c r="J29" s="1287" t="s">
        <v>966</v>
      </c>
      <c r="K29" s="1287" t="s">
        <v>967</v>
      </c>
      <c r="L29" s="1287" t="s">
        <v>969</v>
      </c>
      <c r="M29" s="1287" t="s">
        <v>1070</v>
      </c>
      <c r="N29" s="1287" t="s">
        <v>1096</v>
      </c>
      <c r="O29" s="1287" t="s">
        <v>1097</v>
      </c>
      <c r="P29" s="1287" t="s">
        <v>1098</v>
      </c>
      <c r="Q29" s="1287" t="s">
        <v>1099</v>
      </c>
    </row>
    <row r="30" spans="1:17">
      <c r="A30" s="1622" t="s">
        <v>320</v>
      </c>
      <c r="B30" s="1623">
        <f>14251759.71</f>
        <v>14251759.710000001</v>
      </c>
      <c r="C30" s="1623">
        <f>14251759.71</f>
        <v>14251759.710000001</v>
      </c>
      <c r="D30" s="1623">
        <f>0</f>
        <v>0</v>
      </c>
      <c r="E30" s="1623">
        <f>0</f>
        <v>0</v>
      </c>
      <c r="F30" s="1623">
        <f>0</f>
        <v>0</v>
      </c>
      <c r="G30" s="1623">
        <f>0</f>
        <v>0</v>
      </c>
      <c r="H30" s="1623">
        <f>0</f>
        <v>0</v>
      </c>
      <c r="I30" s="1623">
        <f>0</f>
        <v>0</v>
      </c>
      <c r="J30" s="1623">
        <f>13319934.37</f>
        <v>13319934.369999999</v>
      </c>
      <c r="K30" s="1623">
        <f>21000</f>
        <v>21000</v>
      </c>
      <c r="L30" s="1623">
        <f>617077.76</f>
        <v>617077.76000000001</v>
      </c>
      <c r="M30" s="1623">
        <f>293747.58</f>
        <v>293747.58</v>
      </c>
      <c r="N30" s="1623">
        <f>0</f>
        <v>0</v>
      </c>
      <c r="O30" s="1623">
        <f>0</f>
        <v>0</v>
      </c>
      <c r="P30" s="1623">
        <f>0</f>
        <v>0</v>
      </c>
      <c r="Q30" s="1623">
        <f>0</f>
        <v>0</v>
      </c>
    </row>
    <row r="31" spans="1:17">
      <c r="A31" s="1624" t="s">
        <v>709</v>
      </c>
      <c r="B31" s="1623">
        <f>13284614.91</f>
        <v>13284614.91</v>
      </c>
      <c r="C31" s="1623">
        <f>13284614.91</f>
        <v>13284614.91</v>
      </c>
      <c r="D31" s="1623">
        <f>0</f>
        <v>0</v>
      </c>
      <c r="E31" s="1623">
        <f>0</f>
        <v>0</v>
      </c>
      <c r="F31" s="1623">
        <f>0</f>
        <v>0</v>
      </c>
      <c r="G31" s="1623">
        <f>0</f>
        <v>0</v>
      </c>
      <c r="H31" s="1623">
        <f>0</f>
        <v>0</v>
      </c>
      <c r="I31" s="1623">
        <f>0</f>
        <v>0</v>
      </c>
      <c r="J31" s="1623">
        <f>13284614.91</f>
        <v>13284614.91</v>
      </c>
      <c r="K31" s="1623">
        <f>0</f>
        <v>0</v>
      </c>
      <c r="L31" s="1623">
        <f>0</f>
        <v>0</v>
      </c>
      <c r="M31" s="1623">
        <f>0</f>
        <v>0</v>
      </c>
      <c r="N31" s="1623">
        <f>0</f>
        <v>0</v>
      </c>
      <c r="O31" s="1623">
        <f>0</f>
        <v>0</v>
      </c>
      <c r="P31" s="1623">
        <f>0</f>
        <v>0</v>
      </c>
      <c r="Q31" s="1623">
        <f>0</f>
        <v>0</v>
      </c>
    </row>
    <row r="32" spans="1:17">
      <c r="A32" s="1624" t="s">
        <v>321</v>
      </c>
      <c r="B32" s="1623">
        <f>967144.8</f>
        <v>967144.8</v>
      </c>
      <c r="C32" s="1623">
        <f>967144.8</f>
        <v>967144.8</v>
      </c>
      <c r="D32" s="1623">
        <f>0</f>
        <v>0</v>
      </c>
      <c r="E32" s="1623">
        <f>0</f>
        <v>0</v>
      </c>
      <c r="F32" s="1623">
        <f>0</f>
        <v>0</v>
      </c>
      <c r="G32" s="1623">
        <f>0</f>
        <v>0</v>
      </c>
      <c r="H32" s="1623">
        <f>0</f>
        <v>0</v>
      </c>
      <c r="I32" s="1623">
        <f>0</f>
        <v>0</v>
      </c>
      <c r="J32" s="1623">
        <f>35319.46</f>
        <v>35319.46</v>
      </c>
      <c r="K32" s="1623">
        <f>21000</f>
        <v>21000</v>
      </c>
      <c r="L32" s="1623">
        <f>617077.76</f>
        <v>617077.76000000001</v>
      </c>
      <c r="M32" s="1623">
        <f>293747.58</f>
        <v>293747.58</v>
      </c>
      <c r="N32" s="1623">
        <f>0</f>
        <v>0</v>
      </c>
      <c r="O32" s="1623">
        <f>0</f>
        <v>0</v>
      </c>
      <c r="P32" s="1623">
        <f>0</f>
        <v>0</v>
      </c>
      <c r="Q32" s="1623">
        <f>0</f>
        <v>0</v>
      </c>
    </row>
    <row r="33" spans="1:17">
      <c r="A33" s="1620" t="s">
        <v>322</v>
      </c>
      <c r="B33" s="1623">
        <f>78925247.79</f>
        <v>78925247.790000007</v>
      </c>
      <c r="C33" s="1623">
        <f>78925247.79</f>
        <v>78925247.790000007</v>
      </c>
      <c r="D33" s="1623">
        <f>8872227.57</f>
        <v>8872227.5700000003</v>
      </c>
      <c r="E33" s="1623">
        <f>71648.11</f>
        <v>71648.11</v>
      </c>
      <c r="F33" s="1623">
        <f>387200</f>
        <v>387200</v>
      </c>
      <c r="G33" s="1623">
        <f>8413379.46</f>
        <v>8413379.4600000009</v>
      </c>
      <c r="H33" s="1623">
        <f>0</f>
        <v>0</v>
      </c>
      <c r="I33" s="1623">
        <f>0</f>
        <v>0</v>
      </c>
      <c r="J33" s="1623">
        <f>9730626.42</f>
        <v>9730626.4199999999</v>
      </c>
      <c r="K33" s="1623">
        <f>82280</f>
        <v>82280</v>
      </c>
      <c r="L33" s="1623">
        <f>17631801.82</f>
        <v>17631801.82</v>
      </c>
      <c r="M33" s="1623">
        <f>26329314.34</f>
        <v>26329314.34</v>
      </c>
      <c r="N33" s="1623">
        <f>16278997.64</f>
        <v>16278997.640000001</v>
      </c>
      <c r="O33" s="1623">
        <f>0</f>
        <v>0</v>
      </c>
      <c r="P33" s="1623">
        <f>0</f>
        <v>0</v>
      </c>
      <c r="Q33" s="1623">
        <f>0</f>
        <v>0</v>
      </c>
    </row>
    <row r="34" spans="1:17">
      <c r="A34" s="1624" t="s">
        <v>708</v>
      </c>
      <c r="B34" s="1623">
        <f>10030027.12</f>
        <v>10030027.119999999</v>
      </c>
      <c r="C34" s="1623">
        <f>10030027.12</f>
        <v>10030027.119999999</v>
      </c>
      <c r="D34" s="1623">
        <f>2647298.43</f>
        <v>2647298.4300000002</v>
      </c>
      <c r="E34" s="1623">
        <f>366.11</f>
        <v>366.11</v>
      </c>
      <c r="F34" s="1623">
        <f>0</f>
        <v>0</v>
      </c>
      <c r="G34" s="1623">
        <f>2646932.32</f>
        <v>2646932.3199999998</v>
      </c>
      <c r="H34" s="1623">
        <f>0</f>
        <v>0</v>
      </c>
      <c r="I34" s="1623">
        <f>0</f>
        <v>0</v>
      </c>
      <c r="J34" s="1623">
        <f>0</f>
        <v>0</v>
      </c>
      <c r="K34" s="1623">
        <f>0</f>
        <v>0</v>
      </c>
      <c r="L34" s="1623">
        <f>1265422.99</f>
        <v>1265422.99</v>
      </c>
      <c r="M34" s="1623">
        <f>217006.99</f>
        <v>217006.99</v>
      </c>
      <c r="N34" s="1623">
        <f>5900298.71</f>
        <v>5900298.71</v>
      </c>
      <c r="O34" s="1623">
        <f>0</f>
        <v>0</v>
      </c>
      <c r="P34" s="1623">
        <f>0</f>
        <v>0</v>
      </c>
      <c r="Q34" s="1623">
        <f>0</f>
        <v>0</v>
      </c>
    </row>
    <row r="35" spans="1:17">
      <c r="A35" s="1624" t="s">
        <v>323</v>
      </c>
      <c r="B35" s="1623">
        <f>68895220.67</f>
        <v>68895220.670000002</v>
      </c>
      <c r="C35" s="1623">
        <f>68895220.67</f>
        <v>68895220.670000002</v>
      </c>
      <c r="D35" s="1623">
        <f>6224929.14</f>
        <v>6224929.1399999997</v>
      </c>
      <c r="E35" s="1623">
        <f>71282</f>
        <v>71282</v>
      </c>
      <c r="F35" s="1623">
        <f>387200</f>
        <v>387200</v>
      </c>
      <c r="G35" s="1623">
        <f>5766447.14</f>
        <v>5766447.1399999997</v>
      </c>
      <c r="H35" s="1623">
        <f>0</f>
        <v>0</v>
      </c>
      <c r="I35" s="1623">
        <f>0</f>
        <v>0</v>
      </c>
      <c r="J35" s="1623">
        <f>9730626.42</f>
        <v>9730626.4199999999</v>
      </c>
      <c r="K35" s="1623">
        <f>82280</f>
        <v>82280</v>
      </c>
      <c r="L35" s="1623">
        <f>16366378.83</f>
        <v>16366378.83</v>
      </c>
      <c r="M35" s="1623">
        <f>26112307.35</f>
        <v>26112307.350000001</v>
      </c>
      <c r="N35" s="1623">
        <f>10378698.93</f>
        <v>10378698.93</v>
      </c>
      <c r="O35" s="1623">
        <f>0</f>
        <v>0</v>
      </c>
      <c r="P35" s="1623">
        <f>0</f>
        <v>0</v>
      </c>
      <c r="Q35" s="1623">
        <f>0</f>
        <v>0</v>
      </c>
    </row>
    <row r="36" spans="1:17" ht="27">
      <c r="A36" s="1622" t="s">
        <v>324</v>
      </c>
      <c r="B36" s="1623">
        <f>14685456156.62</f>
        <v>14685456156.620001</v>
      </c>
      <c r="C36" s="1623">
        <f>14685456156.62</f>
        <v>14685456156.620001</v>
      </c>
      <c r="D36" s="1623">
        <f>10960936.6</f>
        <v>10960936.6</v>
      </c>
      <c r="E36" s="1623">
        <f>10726994.8</f>
        <v>10726994.800000001</v>
      </c>
      <c r="F36" s="1623">
        <f>5624.58</f>
        <v>5624.58</v>
      </c>
      <c r="G36" s="1623">
        <f>228317.22</f>
        <v>228317.22</v>
      </c>
      <c r="H36" s="1623">
        <f>0</f>
        <v>0</v>
      </c>
      <c r="I36" s="1623">
        <f>629.48</f>
        <v>629.48</v>
      </c>
      <c r="J36" s="1623">
        <f>14672614171.69</f>
        <v>14672614171.690001</v>
      </c>
      <c r="K36" s="1623">
        <f>1838375.4</f>
        <v>1838375.4</v>
      </c>
      <c r="L36" s="1623">
        <f>28746.99</f>
        <v>28746.99</v>
      </c>
      <c r="M36" s="1623">
        <f>13296.46</f>
        <v>13296.46</v>
      </c>
      <c r="N36" s="1623">
        <f>0</f>
        <v>0</v>
      </c>
      <c r="O36" s="1623">
        <f>0</f>
        <v>0</v>
      </c>
      <c r="P36" s="1623">
        <f>0</f>
        <v>0</v>
      </c>
      <c r="Q36" s="1623">
        <f>0</f>
        <v>0</v>
      </c>
    </row>
    <row r="37" spans="1:17">
      <c r="A37" s="1624" t="s">
        <v>325</v>
      </c>
      <c r="B37" s="1623">
        <f>174907.02</f>
        <v>174907.02</v>
      </c>
      <c r="C37" s="1623">
        <f>174907.02</f>
        <v>174907.02</v>
      </c>
      <c r="D37" s="1623">
        <f>174907.02</f>
        <v>174907.02</v>
      </c>
      <c r="E37" s="1623">
        <f>0</f>
        <v>0</v>
      </c>
      <c r="F37" s="1623">
        <f>0</f>
        <v>0</v>
      </c>
      <c r="G37" s="1623">
        <f>174907.02</f>
        <v>174907.02</v>
      </c>
      <c r="H37" s="1623">
        <f>0</f>
        <v>0</v>
      </c>
      <c r="I37" s="1623">
        <f>0</f>
        <v>0</v>
      </c>
      <c r="J37" s="1623">
        <f>0</f>
        <v>0</v>
      </c>
      <c r="K37" s="1623">
        <f>0</f>
        <v>0</v>
      </c>
      <c r="L37" s="1623">
        <f>0</f>
        <v>0</v>
      </c>
      <c r="M37" s="1623">
        <f>0</f>
        <v>0</v>
      </c>
      <c r="N37" s="1623">
        <f>0</f>
        <v>0</v>
      </c>
      <c r="O37" s="1623">
        <f>0</f>
        <v>0</v>
      </c>
      <c r="P37" s="1623">
        <f>0</f>
        <v>0</v>
      </c>
      <c r="Q37" s="1623">
        <f>0</f>
        <v>0</v>
      </c>
    </row>
    <row r="38" spans="1:17">
      <c r="A38" s="1624" t="s">
        <v>326</v>
      </c>
      <c r="B38" s="1623">
        <f>13340285506.08</f>
        <v>13340285506.08</v>
      </c>
      <c r="C38" s="1623">
        <f>13340285506.08</f>
        <v>13340285506.08</v>
      </c>
      <c r="D38" s="1623">
        <f>10724924.8</f>
        <v>10724924.800000001</v>
      </c>
      <c r="E38" s="1623">
        <f>10724924.8</f>
        <v>10724924.800000001</v>
      </c>
      <c r="F38" s="1623">
        <f>0</f>
        <v>0</v>
      </c>
      <c r="G38" s="1623">
        <f>0</f>
        <v>0</v>
      </c>
      <c r="H38" s="1623">
        <f>0</f>
        <v>0</v>
      </c>
      <c r="I38" s="1623">
        <f>629.48</f>
        <v>629.48</v>
      </c>
      <c r="J38" s="1623">
        <f>13327713091.06</f>
        <v>13327713091.059999</v>
      </c>
      <c r="K38" s="1623">
        <f>1838375.4</f>
        <v>1838375.4</v>
      </c>
      <c r="L38" s="1623">
        <f>8485.34</f>
        <v>8485.34</v>
      </c>
      <c r="M38" s="1623">
        <f>0</f>
        <v>0</v>
      </c>
      <c r="N38" s="1623">
        <f>0</f>
        <v>0</v>
      </c>
      <c r="O38" s="1623">
        <f>0</f>
        <v>0</v>
      </c>
      <c r="P38" s="1623">
        <f>0</f>
        <v>0</v>
      </c>
      <c r="Q38" s="1623">
        <f>0</f>
        <v>0</v>
      </c>
    </row>
    <row r="39" spans="1:17">
      <c r="A39" s="1624" t="s">
        <v>327</v>
      </c>
      <c r="B39" s="1623">
        <f>1344995743.52</f>
        <v>1344995743.52</v>
      </c>
      <c r="C39" s="1623">
        <f>1344995743.52</f>
        <v>1344995743.52</v>
      </c>
      <c r="D39" s="1623">
        <f>61104.78</f>
        <v>61104.78</v>
      </c>
      <c r="E39" s="1623">
        <f>2070</f>
        <v>2070</v>
      </c>
      <c r="F39" s="1623">
        <f>5624.58</f>
        <v>5624.58</v>
      </c>
      <c r="G39" s="1623">
        <f>53410.2</f>
        <v>53410.2</v>
      </c>
      <c r="H39" s="1623">
        <f>0</f>
        <v>0</v>
      </c>
      <c r="I39" s="1623">
        <f>0</f>
        <v>0</v>
      </c>
      <c r="J39" s="1623">
        <f>1344901080.63</f>
        <v>1344901080.6300001</v>
      </c>
      <c r="K39" s="1623">
        <f>0</f>
        <v>0</v>
      </c>
      <c r="L39" s="1623">
        <f>20261.65</f>
        <v>20261.650000000001</v>
      </c>
      <c r="M39" s="1623">
        <f>13296.46</f>
        <v>13296.46</v>
      </c>
      <c r="N39" s="1623">
        <f>0</f>
        <v>0</v>
      </c>
      <c r="O39" s="1623">
        <f>0</f>
        <v>0</v>
      </c>
      <c r="P39" s="1623">
        <f>0</f>
        <v>0</v>
      </c>
      <c r="Q39" s="1623">
        <f>0</f>
        <v>0</v>
      </c>
    </row>
    <row r="40" spans="1:17">
      <c r="A40" s="1622" t="s">
        <v>364</v>
      </c>
      <c r="B40" s="1623">
        <f>2883935896.29</f>
        <v>2883935896.29</v>
      </c>
      <c r="C40" s="1623">
        <f>2877286012.49</f>
        <v>2877286012.4899998</v>
      </c>
      <c r="D40" s="1623">
        <f>40875730.5</f>
        <v>40875730.5</v>
      </c>
      <c r="E40" s="1623">
        <f>34578552.54</f>
        <v>34578552.539999999</v>
      </c>
      <c r="F40" s="1623">
        <f>347065.05</f>
        <v>347065.05</v>
      </c>
      <c r="G40" s="1623">
        <f>5899022.44</f>
        <v>5899022.4400000004</v>
      </c>
      <c r="H40" s="1623">
        <f>51090.47</f>
        <v>51090.47</v>
      </c>
      <c r="I40" s="1623">
        <f>0</f>
        <v>0</v>
      </c>
      <c r="J40" s="1623">
        <f>4564606.09</f>
        <v>4564606.09</v>
      </c>
      <c r="K40" s="1623">
        <f>3309974.05</f>
        <v>3309974.05</v>
      </c>
      <c r="L40" s="1623">
        <f>555918857.06</f>
        <v>555918857.05999994</v>
      </c>
      <c r="M40" s="1623">
        <f>2250578738.3</f>
        <v>2250578738.3000002</v>
      </c>
      <c r="N40" s="1623">
        <f>22038106.49</f>
        <v>22038106.489999998</v>
      </c>
      <c r="O40" s="1623">
        <f>6649883.8</f>
        <v>6649883.7999999998</v>
      </c>
      <c r="P40" s="1623">
        <f>4453860.35</f>
        <v>4453860.3499999996</v>
      </c>
      <c r="Q40" s="1623">
        <f>2196023.45</f>
        <v>2196023.4500000002</v>
      </c>
    </row>
    <row r="41" spans="1:17">
      <c r="A41" s="1625" t="s">
        <v>328</v>
      </c>
      <c r="B41" s="1623">
        <f>241952348.5</f>
        <v>241952348.5</v>
      </c>
      <c r="C41" s="1623">
        <f>241811287.4</f>
        <v>241811287.40000001</v>
      </c>
      <c r="D41" s="1623">
        <f>1525798.72</f>
        <v>1525798.72</v>
      </c>
      <c r="E41" s="1623">
        <f>413330.37</f>
        <v>413330.37</v>
      </c>
      <c r="F41" s="1623">
        <f>130985.54</f>
        <v>130985.54</v>
      </c>
      <c r="G41" s="1623">
        <f>981482.81</f>
        <v>981482.81</v>
      </c>
      <c r="H41" s="1623">
        <f>0</f>
        <v>0</v>
      </c>
      <c r="I41" s="1623">
        <f>0</f>
        <v>0</v>
      </c>
      <c r="J41" s="1623">
        <f>2693.67</f>
        <v>2693.67</v>
      </c>
      <c r="K41" s="1623">
        <f>155967.57</f>
        <v>155967.57</v>
      </c>
      <c r="L41" s="1623">
        <f>54662407.52</f>
        <v>54662407.520000003</v>
      </c>
      <c r="M41" s="1623">
        <f>181530488.06</f>
        <v>181530488.06</v>
      </c>
      <c r="N41" s="1623">
        <f>3933931.86</f>
        <v>3933931.86</v>
      </c>
      <c r="O41" s="1623">
        <f>141061.1</f>
        <v>141061.1</v>
      </c>
      <c r="P41" s="1623">
        <f>47108.88</f>
        <v>47108.88</v>
      </c>
      <c r="Q41" s="1623">
        <f>93952.22</f>
        <v>93952.22</v>
      </c>
    </row>
    <row r="42" spans="1:17">
      <c r="A42" s="1624" t="s">
        <v>329</v>
      </c>
      <c r="B42" s="1623">
        <f>2641983547.79</f>
        <v>2641983547.79</v>
      </c>
      <c r="C42" s="1623">
        <f>2635474725.09</f>
        <v>2635474725.0900002</v>
      </c>
      <c r="D42" s="1623">
        <f>39349931.78</f>
        <v>39349931.780000001</v>
      </c>
      <c r="E42" s="1623">
        <f>34165222.17</f>
        <v>34165222.170000002</v>
      </c>
      <c r="F42" s="1623">
        <f>216079.51</f>
        <v>216079.51</v>
      </c>
      <c r="G42" s="1623">
        <f>4917539.63</f>
        <v>4917539.63</v>
      </c>
      <c r="H42" s="1623">
        <f>51090.47</f>
        <v>51090.47</v>
      </c>
      <c r="I42" s="1623">
        <f>0</f>
        <v>0</v>
      </c>
      <c r="J42" s="1623">
        <f>4561912.42</f>
        <v>4561912.42</v>
      </c>
      <c r="K42" s="1623">
        <f>3154006.48</f>
        <v>3154006.48</v>
      </c>
      <c r="L42" s="1623">
        <f>501256449.54</f>
        <v>501256449.54000002</v>
      </c>
      <c r="M42" s="1623">
        <f>2069048250.24</f>
        <v>2069048250.24</v>
      </c>
      <c r="N42" s="1623">
        <f>18104174.63</f>
        <v>18104174.629999999</v>
      </c>
      <c r="O42" s="1623">
        <f>6508822.7</f>
        <v>6508822.7000000002</v>
      </c>
      <c r="P42" s="1623">
        <f>4406751.47</f>
        <v>4406751.47</v>
      </c>
      <c r="Q42" s="1623">
        <f>2102071.23</f>
        <v>2102071.23</v>
      </c>
    </row>
    <row r="43" spans="1:17" ht="27">
      <c r="A43" s="1622" t="s">
        <v>330</v>
      </c>
      <c r="B43" s="1623">
        <f>811859984.66</f>
        <v>811859984.65999997</v>
      </c>
      <c r="C43" s="1623">
        <f>810968914.03</f>
        <v>810968914.02999997</v>
      </c>
      <c r="D43" s="1623">
        <f>192630303.11</f>
        <v>192630303.11000001</v>
      </c>
      <c r="E43" s="1623">
        <f>150536228.59</f>
        <v>150536228.59</v>
      </c>
      <c r="F43" s="1623">
        <f>1672702.34</f>
        <v>1672702.34</v>
      </c>
      <c r="G43" s="1623">
        <f>39080151.81</f>
        <v>39080151.810000002</v>
      </c>
      <c r="H43" s="1623">
        <f>1341220.37</f>
        <v>1341220.3700000001</v>
      </c>
      <c r="I43" s="1623">
        <f>0</f>
        <v>0</v>
      </c>
      <c r="J43" s="1623">
        <f>1581201.41</f>
        <v>1581201.41</v>
      </c>
      <c r="K43" s="1623">
        <f>4103531.09</f>
        <v>4103531.09</v>
      </c>
      <c r="L43" s="1623">
        <f>368112749.77</f>
        <v>368112749.76999998</v>
      </c>
      <c r="M43" s="1623">
        <f>237557097.97</f>
        <v>237557097.97</v>
      </c>
      <c r="N43" s="1623">
        <f>6984030.68</f>
        <v>6984030.6799999997</v>
      </c>
      <c r="O43" s="1623">
        <f>891070.63</f>
        <v>891070.63</v>
      </c>
      <c r="P43" s="1623">
        <f>1591.09</f>
        <v>1591.09</v>
      </c>
      <c r="Q43" s="1623">
        <f>889479.54</f>
        <v>889479.54</v>
      </c>
    </row>
    <row r="44" spans="1:17">
      <c r="A44" s="1625" t="s">
        <v>331</v>
      </c>
      <c r="B44" s="1623">
        <f>130928999.89</f>
        <v>130928999.89</v>
      </c>
      <c r="C44" s="1623">
        <f>130927679.8</f>
        <v>130927679.8</v>
      </c>
      <c r="D44" s="1623">
        <f>10318236.58</f>
        <v>10318236.58</v>
      </c>
      <c r="E44" s="1623">
        <f>2516222.1</f>
        <v>2516222.1</v>
      </c>
      <c r="F44" s="1623">
        <f>150197.02</f>
        <v>150197.01999999999</v>
      </c>
      <c r="G44" s="1623">
        <f>7380770.04</f>
        <v>7380770.04</v>
      </c>
      <c r="H44" s="1623">
        <f>271047.42</f>
        <v>271047.42</v>
      </c>
      <c r="I44" s="1623">
        <f>0</f>
        <v>0</v>
      </c>
      <c r="J44" s="1623">
        <f>582612.09</f>
        <v>582612.09</v>
      </c>
      <c r="K44" s="1623">
        <f>136938.32</f>
        <v>136938.32</v>
      </c>
      <c r="L44" s="1623">
        <f>56767015.89</f>
        <v>56767015.890000001</v>
      </c>
      <c r="M44" s="1623">
        <f>61966893.01</f>
        <v>61966893.009999998</v>
      </c>
      <c r="N44" s="1623">
        <f>1155983.91</f>
        <v>1155983.9099999999</v>
      </c>
      <c r="O44" s="1623">
        <f>1320.09</f>
        <v>1320.09</v>
      </c>
      <c r="P44" s="1623">
        <f>1320.09</f>
        <v>1320.09</v>
      </c>
      <c r="Q44" s="1623">
        <f>0</f>
        <v>0</v>
      </c>
    </row>
    <row r="45" spans="1:17" ht="27">
      <c r="A45" s="1625" t="s">
        <v>369</v>
      </c>
      <c r="B45" s="1623">
        <f>151637433.14</f>
        <v>151637433.13999999</v>
      </c>
      <c r="C45" s="1623">
        <f>151637162.14</f>
        <v>151637162.13999999</v>
      </c>
      <c r="D45" s="1623">
        <f>67900851.38</f>
        <v>67900851.379999995</v>
      </c>
      <c r="E45" s="1623">
        <f>65095458.31</f>
        <v>65095458.310000002</v>
      </c>
      <c r="F45" s="1623">
        <f>427034.43</f>
        <v>427034.43</v>
      </c>
      <c r="G45" s="1623">
        <f>2106651.06</f>
        <v>2106651.06</v>
      </c>
      <c r="H45" s="1623">
        <f>271707.58</f>
        <v>271707.58</v>
      </c>
      <c r="I45" s="1623">
        <f>0</f>
        <v>0</v>
      </c>
      <c r="J45" s="1623">
        <f>2594.75</f>
        <v>2594.75</v>
      </c>
      <c r="K45" s="1623">
        <f>876882.55</f>
        <v>876882.55</v>
      </c>
      <c r="L45" s="1623">
        <f>37993894.47</f>
        <v>37993894.469999999</v>
      </c>
      <c r="M45" s="1623">
        <f>44785341.25</f>
        <v>44785341.25</v>
      </c>
      <c r="N45" s="1623">
        <f>77597.74</f>
        <v>77597.740000000005</v>
      </c>
      <c r="O45" s="1623">
        <f>271</f>
        <v>271</v>
      </c>
      <c r="P45" s="1623">
        <f>271</f>
        <v>271</v>
      </c>
      <c r="Q45" s="1623">
        <f>0</f>
        <v>0</v>
      </c>
    </row>
    <row r="46" spans="1:17" ht="27">
      <c r="A46" s="1625" t="s">
        <v>333</v>
      </c>
      <c r="B46" s="1623">
        <f>529293551.63</f>
        <v>529293551.63</v>
      </c>
      <c r="C46" s="1623">
        <f>528404072.09</f>
        <v>528404072.08999997</v>
      </c>
      <c r="D46" s="1623">
        <f>114411215.15</f>
        <v>114411215.15000001</v>
      </c>
      <c r="E46" s="1623">
        <f>82924548.18</f>
        <v>82924548.180000007</v>
      </c>
      <c r="F46" s="1623">
        <f>1095470.89</f>
        <v>1095470.8899999999</v>
      </c>
      <c r="G46" s="1623">
        <f>29592730.71</f>
        <v>29592730.710000001</v>
      </c>
      <c r="H46" s="1623">
        <f>798465.37</f>
        <v>798465.37</v>
      </c>
      <c r="I46" s="1623">
        <f>0</f>
        <v>0</v>
      </c>
      <c r="J46" s="1623">
        <f>995994.57</f>
        <v>995994.57</v>
      </c>
      <c r="K46" s="1623">
        <f>3089710.22</f>
        <v>3089710.22</v>
      </c>
      <c r="L46" s="1623">
        <f>273351839.41</f>
        <v>273351839.41000003</v>
      </c>
      <c r="M46" s="1623">
        <f>130804863.71</f>
        <v>130804863.70999999</v>
      </c>
      <c r="N46" s="1623">
        <f>5750449.03</f>
        <v>5750449.0300000003</v>
      </c>
      <c r="O46" s="1623">
        <f>889479.54</f>
        <v>889479.54</v>
      </c>
      <c r="P46" s="1623">
        <f>0</f>
        <v>0</v>
      </c>
      <c r="Q46" s="1623">
        <f>889479.54</f>
        <v>889479.54</v>
      </c>
    </row>
    <row r="62" spans="1:18">
      <c r="A62" s="1978" t="s">
        <v>334</v>
      </c>
      <c r="B62" s="1978"/>
      <c r="C62" s="1978"/>
      <c r="D62" s="1978"/>
      <c r="E62" s="1978"/>
      <c r="F62" s="1978"/>
      <c r="G62" s="1978"/>
      <c r="H62" s="1978"/>
      <c r="I62" s="1978"/>
      <c r="J62" s="1978"/>
      <c r="K62" s="1978"/>
      <c r="L62" s="1978"/>
      <c r="R62" s="1511"/>
    </row>
    <row r="63" spans="1:18">
      <c r="R63" s="1511"/>
    </row>
    <row r="64" spans="1:18">
      <c r="A64" s="2006" t="s">
        <v>68</v>
      </c>
      <c r="B64" s="2006"/>
      <c r="C64" s="2006"/>
      <c r="D64" s="2006"/>
      <c r="E64" s="2006" t="s">
        <v>335</v>
      </c>
      <c r="F64" s="2006" t="s">
        <v>336</v>
      </c>
      <c r="G64" s="2006"/>
      <c r="H64" s="2006"/>
      <c r="I64" s="2006"/>
      <c r="J64" s="2006"/>
      <c r="K64" s="2006"/>
      <c r="R64" s="1511"/>
    </row>
    <row r="65" spans="1:18">
      <c r="A65" s="2006"/>
      <c r="B65" s="2006"/>
      <c r="C65" s="2006"/>
      <c r="D65" s="2006"/>
      <c r="E65" s="2006"/>
      <c r="F65" s="2006" t="s">
        <v>337</v>
      </c>
      <c r="G65" s="2006" t="s">
        <v>287</v>
      </c>
      <c r="H65" s="2006" t="s">
        <v>288</v>
      </c>
      <c r="I65" s="2006" t="s">
        <v>317</v>
      </c>
      <c r="J65" s="2006" t="s">
        <v>338</v>
      </c>
      <c r="K65" s="2010" t="s">
        <v>339</v>
      </c>
      <c r="R65" s="1511"/>
    </row>
    <row r="66" spans="1:18">
      <c r="A66" s="2006"/>
      <c r="B66" s="2006"/>
      <c r="C66" s="2006"/>
      <c r="D66" s="2006"/>
      <c r="E66" s="2006"/>
      <c r="F66" s="2006"/>
      <c r="G66" s="2006"/>
      <c r="H66" s="2006"/>
      <c r="I66" s="2006"/>
      <c r="J66" s="2006"/>
      <c r="K66" s="2010"/>
      <c r="R66" s="1511"/>
    </row>
    <row r="67" spans="1:18">
      <c r="A67" s="2006"/>
      <c r="B67" s="2006"/>
      <c r="C67" s="2006"/>
      <c r="D67" s="2006"/>
      <c r="E67" s="2006"/>
      <c r="F67" s="2006"/>
      <c r="G67" s="2006"/>
      <c r="H67" s="2006"/>
      <c r="I67" s="2006"/>
      <c r="J67" s="2006"/>
      <c r="K67" s="2010"/>
      <c r="R67" s="1511"/>
    </row>
    <row r="68" spans="1:18" ht="30" customHeight="1">
      <c r="A68" s="2006"/>
      <c r="B68" s="2006"/>
      <c r="C68" s="2006"/>
      <c r="D68" s="2006"/>
      <c r="E68" s="2006"/>
      <c r="F68" s="2006"/>
      <c r="G68" s="2006"/>
      <c r="H68" s="2006"/>
      <c r="I68" s="2006"/>
      <c r="J68" s="2006"/>
      <c r="K68" s="2010"/>
      <c r="R68" s="1511"/>
    </row>
    <row r="69" spans="1:18">
      <c r="A69" s="2006"/>
      <c r="B69" s="2006"/>
      <c r="C69" s="2006"/>
      <c r="D69" s="2006"/>
      <c r="E69" s="2008" t="s">
        <v>4</v>
      </c>
      <c r="F69" s="1999"/>
      <c r="G69" s="1999"/>
      <c r="H69" s="1999"/>
      <c r="I69" s="1999"/>
      <c r="J69" s="1999"/>
      <c r="K69" s="1999"/>
      <c r="R69" s="1511"/>
    </row>
    <row r="70" spans="1:18">
      <c r="A70" s="2007" t="s">
        <v>887</v>
      </c>
      <c r="B70" s="2007"/>
      <c r="C70" s="2007"/>
      <c r="D70" s="2007"/>
      <c r="E70" s="1626" t="s">
        <v>888</v>
      </c>
      <c r="F70" s="1626" t="s">
        <v>889</v>
      </c>
      <c r="G70" s="1626" t="s">
        <v>890</v>
      </c>
      <c r="H70" s="1626" t="s">
        <v>891</v>
      </c>
      <c r="I70" s="1626" t="s">
        <v>892</v>
      </c>
      <c r="J70" s="1626" t="s">
        <v>893</v>
      </c>
      <c r="K70" s="1626" t="s">
        <v>894</v>
      </c>
      <c r="R70" s="1511"/>
    </row>
    <row r="71" spans="1:18" ht="27" customHeight="1">
      <c r="A71" s="2011" t="s">
        <v>340</v>
      </c>
      <c r="B71" s="2011"/>
      <c r="C71" s="2011"/>
      <c r="D71" s="2011"/>
      <c r="E71" s="1616">
        <f>244297787.37</f>
        <v>244297787.37</v>
      </c>
      <c r="F71" s="1616">
        <f>132261373.06</f>
        <v>132261373.06</v>
      </c>
      <c r="G71" s="1616">
        <f>2044980.55</f>
        <v>2044980.55</v>
      </c>
      <c r="H71" s="1616">
        <f>41156435.09</f>
        <v>41156435.090000004</v>
      </c>
      <c r="I71" s="1616">
        <f>84814948.73</f>
        <v>84814948.730000004</v>
      </c>
      <c r="J71" s="1616">
        <f>4245008.69</f>
        <v>4245008.6900000004</v>
      </c>
      <c r="K71" s="1616">
        <f>112036414.31</f>
        <v>112036414.31</v>
      </c>
      <c r="R71" s="1511"/>
    </row>
    <row r="72" spans="1:18" ht="28.15" customHeight="1">
      <c r="A72" s="2011" t="s">
        <v>341</v>
      </c>
      <c r="B72" s="2011"/>
      <c r="C72" s="2011"/>
      <c r="D72" s="2011"/>
      <c r="E72" s="1616">
        <f>0</f>
        <v>0</v>
      </c>
      <c r="F72" s="1616">
        <f>0</f>
        <v>0</v>
      </c>
      <c r="G72" s="1616">
        <f>0</f>
        <v>0</v>
      </c>
      <c r="H72" s="1616">
        <f>0</f>
        <v>0</v>
      </c>
      <c r="I72" s="1616">
        <f>0</f>
        <v>0</v>
      </c>
      <c r="J72" s="1616">
        <f>0</f>
        <v>0</v>
      </c>
      <c r="K72" s="1616">
        <f>0</f>
        <v>0</v>
      </c>
      <c r="R72" s="1511"/>
    </row>
    <row r="73" spans="1:18">
      <c r="A73" s="2011" t="s">
        <v>342</v>
      </c>
      <c r="B73" s="2011"/>
      <c r="C73" s="2011"/>
      <c r="D73" s="2011"/>
      <c r="E73" s="1616">
        <f>36840499.21</f>
        <v>36840499.210000001</v>
      </c>
      <c r="F73" s="1616">
        <f>11997086.79</f>
        <v>11997086.789999999</v>
      </c>
      <c r="G73" s="1616">
        <f>0</f>
        <v>0</v>
      </c>
      <c r="H73" s="1616">
        <f>0</f>
        <v>0</v>
      </c>
      <c r="I73" s="1616">
        <f>11887500.75</f>
        <v>11887500.75</v>
      </c>
      <c r="J73" s="1616">
        <f>109586.04</f>
        <v>109586.04</v>
      </c>
      <c r="K73" s="1616">
        <f>24843412.42</f>
        <v>24843412.420000002</v>
      </c>
      <c r="R73" s="1511"/>
    </row>
    <row r="74" spans="1:18">
      <c r="A74" s="2011" t="s">
        <v>343</v>
      </c>
      <c r="B74" s="2011"/>
      <c r="C74" s="2011"/>
      <c r="D74" s="2011"/>
      <c r="E74" s="1616">
        <f>213114.12</f>
        <v>213114.12</v>
      </c>
      <c r="F74" s="1616">
        <f>0</f>
        <v>0</v>
      </c>
      <c r="G74" s="1616">
        <f>0</f>
        <v>0</v>
      </c>
      <c r="H74" s="1616">
        <f>0</f>
        <v>0</v>
      </c>
      <c r="I74" s="1616">
        <f>0</f>
        <v>0</v>
      </c>
      <c r="J74" s="1616">
        <f>0</f>
        <v>0</v>
      </c>
      <c r="K74" s="1616">
        <f>213114.12</f>
        <v>213114.12</v>
      </c>
      <c r="R74" s="1511"/>
    </row>
    <row r="75" spans="1:18">
      <c r="A75" s="2011" t="s">
        <v>344</v>
      </c>
      <c r="B75" s="2011"/>
      <c r="C75" s="2011"/>
      <c r="D75" s="2011"/>
      <c r="E75" s="1616">
        <f>39595.49</f>
        <v>39595.49</v>
      </c>
      <c r="F75" s="1616">
        <f>0</f>
        <v>0</v>
      </c>
      <c r="G75" s="1616">
        <f>0</f>
        <v>0</v>
      </c>
      <c r="H75" s="1616">
        <f>0</f>
        <v>0</v>
      </c>
      <c r="I75" s="1616">
        <f>0</f>
        <v>0</v>
      </c>
      <c r="J75" s="1616">
        <f>0</f>
        <v>0</v>
      </c>
      <c r="K75" s="1616">
        <f>39595.49</f>
        <v>39595.49</v>
      </c>
      <c r="R75" s="1511"/>
    </row>
    <row r="76" spans="1:18" ht="30.6" customHeight="1">
      <c r="A76" s="2011" t="s">
        <v>345</v>
      </c>
      <c r="B76" s="2011"/>
      <c r="C76" s="2011"/>
      <c r="D76" s="2011"/>
      <c r="E76" s="1616">
        <f>185025.64</f>
        <v>185025.64</v>
      </c>
      <c r="F76" s="1616">
        <f>0</f>
        <v>0</v>
      </c>
      <c r="G76" s="1616">
        <f>0</f>
        <v>0</v>
      </c>
      <c r="H76" s="1616">
        <f>0</f>
        <v>0</v>
      </c>
      <c r="I76" s="1616">
        <f>0</f>
        <v>0</v>
      </c>
      <c r="J76" s="1616">
        <f>0</f>
        <v>0</v>
      </c>
      <c r="K76" s="1616">
        <f>185025.64</f>
        <v>185025.64</v>
      </c>
      <c r="R76" s="1511"/>
    </row>
    <row r="77" spans="1:18" ht="27.6" customHeight="1">
      <c r="A77" s="2011" t="s">
        <v>346</v>
      </c>
      <c r="B77" s="2011"/>
      <c r="C77" s="2011"/>
      <c r="D77" s="2011"/>
      <c r="E77" s="1616">
        <f>1728179.48</f>
        <v>1728179.48</v>
      </c>
      <c r="F77" s="1616">
        <f>0</f>
        <v>0</v>
      </c>
      <c r="G77" s="1616">
        <f>0</f>
        <v>0</v>
      </c>
      <c r="H77" s="1616">
        <f>0</f>
        <v>0</v>
      </c>
      <c r="I77" s="1616">
        <f>0</f>
        <v>0</v>
      </c>
      <c r="J77" s="1616">
        <f>0</f>
        <v>0</v>
      </c>
      <c r="K77" s="1616">
        <f>1728179.48</f>
        <v>1728179.48</v>
      </c>
      <c r="R77" s="1511"/>
    </row>
  </sheetData>
  <mergeCells count="62">
    <mergeCell ref="A73:D73"/>
    <mergeCell ref="A74:D74"/>
    <mergeCell ref="A75:D75"/>
    <mergeCell ref="A76:D76"/>
    <mergeCell ref="A77:D77"/>
    <mergeCell ref="A71:D71"/>
    <mergeCell ref="A72:D72"/>
    <mergeCell ref="Q25:Q27"/>
    <mergeCell ref="A62:L62"/>
    <mergeCell ref="E64:E68"/>
    <mergeCell ref="F64:K64"/>
    <mergeCell ref="F65:F68"/>
    <mergeCell ref="G65:G68"/>
    <mergeCell ref="H65:H68"/>
    <mergeCell ref="I65:I68"/>
    <mergeCell ref="J65:J68"/>
    <mergeCell ref="K65:K68"/>
    <mergeCell ref="A64:D69"/>
    <mergeCell ref="A24:A28"/>
    <mergeCell ref="L25:L27"/>
    <mergeCell ref="G25:G27"/>
    <mergeCell ref="A70:D70"/>
    <mergeCell ref="M4:M7"/>
    <mergeCell ref="I4:I7"/>
    <mergeCell ref="J4:J7"/>
    <mergeCell ref="K4:K7"/>
    <mergeCell ref="L4:L7"/>
    <mergeCell ref="E69:K69"/>
    <mergeCell ref="B28:Q28"/>
    <mergeCell ref="B8:Q8"/>
    <mergeCell ref="Q4:Q7"/>
    <mergeCell ref="K25:K27"/>
    <mergeCell ref="M25:M27"/>
    <mergeCell ref="N25:N27"/>
    <mergeCell ref="O25:O27"/>
    <mergeCell ref="P25:P27"/>
    <mergeCell ref="A22:M22"/>
    <mergeCell ref="B24:B27"/>
    <mergeCell ref="C24:N24"/>
    <mergeCell ref="O24:Q24"/>
    <mergeCell ref="C25:C27"/>
    <mergeCell ref="D25:D27"/>
    <mergeCell ref="E25:E27"/>
    <mergeCell ref="F25:F27"/>
    <mergeCell ref="H25:H27"/>
    <mergeCell ref="I25:I27"/>
    <mergeCell ref="J25:J27"/>
    <mergeCell ref="A1:M1"/>
    <mergeCell ref="C2:M2"/>
    <mergeCell ref="B3:B7"/>
    <mergeCell ref="C3:N3"/>
    <mergeCell ref="A3:A8"/>
    <mergeCell ref="N4:N7"/>
    <mergeCell ref="H4:H7"/>
    <mergeCell ref="O3:Q3"/>
    <mergeCell ref="C4:C7"/>
    <mergeCell ref="D4:D7"/>
    <mergeCell ref="E4:E7"/>
    <mergeCell ref="F4:F7"/>
    <mergeCell ref="G4:G7"/>
    <mergeCell ref="O4:O7"/>
    <mergeCell ref="P4:P7"/>
  </mergeCells>
  <printOptions horizontalCentered="1"/>
  <pageMargins left="0.27559055118110237" right="0.27559055118110237" top="0.39370078740157483" bottom="0.19685039370078741" header="0.31496062992125984" footer="0.39370078740157483"/>
  <pageSetup paperSize="9" scale="61" firstPageNumber="5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96"/>
  <sheetViews>
    <sheetView showGridLines="0" topLeftCell="A88" zoomScaleNormal="100" zoomScaleSheetLayoutView="100" workbookViewId="0">
      <selection activeCell="A97" sqref="A97"/>
    </sheetView>
  </sheetViews>
  <sheetFormatPr defaultColWidth="9.140625" defaultRowHeight="13.5"/>
  <cols>
    <col min="1" max="1" width="30.42578125" style="1107" customWidth="1"/>
    <col min="2" max="4" width="12.28515625" style="1107" bestFit="1" customWidth="1"/>
    <col min="5" max="5" width="11.42578125" style="1107" bestFit="1" customWidth="1"/>
    <col min="6" max="6" width="10.28515625" style="1107" bestFit="1" customWidth="1"/>
    <col min="7" max="8" width="9.5703125" style="1107" bestFit="1" customWidth="1"/>
    <col min="9" max="12" width="9.28515625" style="1107" bestFit="1" customWidth="1"/>
    <col min="13" max="14" width="9.140625" style="1107"/>
    <col min="15" max="16384" width="9.140625" style="1513"/>
  </cols>
  <sheetData>
    <row r="1" spans="1:12">
      <c r="A1" s="2003" t="s">
        <v>1112</v>
      </c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</row>
    <row r="2" spans="1:12" ht="81">
      <c r="A2" s="1994" t="s">
        <v>218</v>
      </c>
      <c r="B2" s="1290" t="s">
        <v>1080</v>
      </c>
      <c r="C2" s="1290" t="s">
        <v>1081</v>
      </c>
      <c r="D2" s="1290" t="s">
        <v>1082</v>
      </c>
      <c r="E2" s="1290" t="s">
        <v>1083</v>
      </c>
      <c r="F2" s="1290" t="s">
        <v>1084</v>
      </c>
      <c r="G2" s="1290" t="s">
        <v>1085</v>
      </c>
      <c r="H2" s="1290" t="s">
        <v>1086</v>
      </c>
      <c r="I2" s="1290" t="s">
        <v>1087</v>
      </c>
      <c r="J2" s="1292" t="s">
        <v>219</v>
      </c>
      <c r="K2" s="1290" t="s">
        <v>220</v>
      </c>
      <c r="L2" s="1290" t="s">
        <v>221</v>
      </c>
    </row>
    <row r="3" spans="1:12">
      <c r="A3" s="1994"/>
      <c r="B3" s="2005" t="s">
        <v>4</v>
      </c>
      <c r="C3" s="2005"/>
      <c r="D3" s="2005"/>
      <c r="E3" s="2005"/>
      <c r="F3" s="2005"/>
      <c r="G3" s="2005"/>
      <c r="H3" s="2005"/>
      <c r="I3" s="2005"/>
      <c r="J3" s="2005" t="s">
        <v>5</v>
      </c>
      <c r="K3" s="2005"/>
      <c r="L3" s="2005"/>
    </row>
    <row r="4" spans="1:12">
      <c r="A4" s="1122">
        <v>1</v>
      </c>
      <c r="B4" s="1600">
        <v>2</v>
      </c>
      <c r="C4" s="1600">
        <v>3</v>
      </c>
      <c r="D4" s="1600">
        <v>4</v>
      </c>
      <c r="E4" s="1122">
        <v>5</v>
      </c>
      <c r="F4" s="1600">
        <v>6</v>
      </c>
      <c r="G4" s="1122">
        <v>7</v>
      </c>
      <c r="H4" s="1600">
        <v>8</v>
      </c>
      <c r="I4" s="1122">
        <v>9</v>
      </c>
      <c r="J4" s="1600">
        <v>10</v>
      </c>
      <c r="K4" s="1122">
        <v>11</v>
      </c>
      <c r="L4" s="1600">
        <v>12</v>
      </c>
    </row>
    <row r="5" spans="1:12">
      <c r="A5" s="1098" t="s">
        <v>222</v>
      </c>
      <c r="B5" s="1590">
        <f>54944853399.16</f>
        <v>54944853399.160004</v>
      </c>
      <c r="C5" s="1590">
        <f>56544352317.77</f>
        <v>56544352317.769997</v>
      </c>
      <c r="D5" s="1590">
        <f>56302794338.57</f>
        <v>56302794338.57</v>
      </c>
      <c r="E5" s="1590">
        <f>1157928584.3</f>
        <v>1157928584.3</v>
      </c>
      <c r="F5" s="1590">
        <f>267631353.33</f>
        <v>267631353.33000001</v>
      </c>
      <c r="G5" s="1590">
        <f>48739693.03</f>
        <v>48739693.030000001</v>
      </c>
      <c r="H5" s="1590">
        <f>35288720.67</f>
        <v>35288720.670000002</v>
      </c>
      <c r="I5" s="1590">
        <f>1313341.44</f>
        <v>1313341.4399999999</v>
      </c>
      <c r="J5" s="1591">
        <v>100</v>
      </c>
      <c r="K5" s="1591">
        <v>102.9110987101741</v>
      </c>
      <c r="L5" s="1591"/>
    </row>
    <row r="6" spans="1:12" ht="27">
      <c r="A6" s="1098" t="s">
        <v>223</v>
      </c>
      <c r="B6" s="1590">
        <f>B5-B21-B41</f>
        <v>23582703800.210007</v>
      </c>
      <c r="C6" s="1590">
        <f>C5-C21-C41</f>
        <v>24709433990.25</v>
      </c>
      <c r="D6" s="1590">
        <f>D5-D21-D41</f>
        <v>24529627118.509995</v>
      </c>
      <c r="E6" s="1590">
        <f>E5</f>
        <v>1157928584.3</v>
      </c>
      <c r="F6" s="1590">
        <f>F5</f>
        <v>267631353.33000001</v>
      </c>
      <c r="G6" s="1590">
        <f>G5</f>
        <v>48739693.030000001</v>
      </c>
      <c r="H6" s="1590">
        <f>H5</f>
        <v>35288720.670000002</v>
      </c>
      <c r="I6" s="1590">
        <f>I5</f>
        <v>1313341.4399999999</v>
      </c>
      <c r="J6" s="1591">
        <v>43.699207750027853</v>
      </c>
      <c r="K6" s="1591">
        <v>104.77778205410848</v>
      </c>
      <c r="L6" s="1591">
        <v>100</v>
      </c>
    </row>
    <row r="7" spans="1:12">
      <c r="A7" s="1592" t="s">
        <v>224</v>
      </c>
      <c r="B7" s="1593">
        <f>523083751.49</f>
        <v>523083751.49000001</v>
      </c>
      <c r="C7" s="1593">
        <f>638675775.56</f>
        <v>638675775.55999994</v>
      </c>
      <c r="D7" s="1593">
        <f>636217253.67</f>
        <v>636217253.66999996</v>
      </c>
      <c r="E7" s="1593">
        <f>0</f>
        <v>0</v>
      </c>
      <c r="F7" s="1593">
        <f>0</f>
        <v>0</v>
      </c>
      <c r="G7" s="1593">
        <f>0</f>
        <v>0</v>
      </c>
      <c r="H7" s="1593">
        <f>0</f>
        <v>0</v>
      </c>
      <c r="I7" s="1593">
        <f>0</f>
        <v>0</v>
      </c>
      <c r="J7" s="1594">
        <v>1.1295129387471745</v>
      </c>
      <c r="K7" s="1594">
        <v>122.09818671307166</v>
      </c>
      <c r="L7" s="1594">
        <v>2.584744659922249</v>
      </c>
    </row>
    <row r="8" spans="1:12">
      <c r="A8" s="1592" t="s">
        <v>225</v>
      </c>
      <c r="B8" s="1593">
        <f>8360125302.83</f>
        <v>8360125302.8299999</v>
      </c>
      <c r="C8" s="1593">
        <f>9002625166</f>
        <v>9002625166</v>
      </c>
      <c r="D8" s="1593">
        <f>8810043266</f>
        <v>8810043266</v>
      </c>
      <c r="E8" s="1593">
        <f>0</f>
        <v>0</v>
      </c>
      <c r="F8" s="1593">
        <f>0</f>
        <v>0</v>
      </c>
      <c r="G8" s="1593">
        <f>0</f>
        <v>0</v>
      </c>
      <c r="H8" s="1593">
        <f>0</f>
        <v>0</v>
      </c>
      <c r="I8" s="1593">
        <f>0</f>
        <v>0</v>
      </c>
      <c r="J8" s="1594">
        <v>15.921351641640038</v>
      </c>
      <c r="K8" s="1594">
        <v>107.68528987182174</v>
      </c>
      <c r="L8" s="1594">
        <v>36.433959472937786</v>
      </c>
    </row>
    <row r="9" spans="1:12">
      <c r="A9" s="1592" t="s">
        <v>80</v>
      </c>
      <c r="B9" s="1593">
        <f>592129901.77</f>
        <v>592129901.76999998</v>
      </c>
      <c r="C9" s="1593">
        <f>584263762.77</f>
        <v>584263762.76999998</v>
      </c>
      <c r="D9" s="1593">
        <f>584265305.83</f>
        <v>584265305.83000004</v>
      </c>
      <c r="E9" s="1593">
        <f>39851757.29</f>
        <v>39851757.289999999</v>
      </c>
      <c r="F9" s="1593">
        <f>184593.38</f>
        <v>184593.38</v>
      </c>
      <c r="G9" s="1593">
        <f>1238197.06</f>
        <v>1238197.06</v>
      </c>
      <c r="H9" s="1593">
        <f>322400.38</f>
        <v>322400.38</v>
      </c>
      <c r="I9" s="1593">
        <f>27</f>
        <v>27</v>
      </c>
      <c r="J9" s="1594">
        <v>1.0332840307136837</v>
      </c>
      <c r="K9" s="1594">
        <v>98.671551803669018</v>
      </c>
      <c r="L9" s="1594">
        <v>2.364537216840104</v>
      </c>
    </row>
    <row r="10" spans="1:12">
      <c r="A10" s="1592" t="s">
        <v>81</v>
      </c>
      <c r="B10" s="1593">
        <f>5967126547.14</f>
        <v>5967126547.1400003</v>
      </c>
      <c r="C10" s="1595">
        <f>6103047680.23</f>
        <v>6103047680.2299995</v>
      </c>
      <c r="D10" s="1593">
        <f>6102976877.98</f>
        <v>6102976877.9799995</v>
      </c>
      <c r="E10" s="1593">
        <f>808894496.19</f>
        <v>808894496.19000006</v>
      </c>
      <c r="F10" s="1593">
        <f>228811353.95</f>
        <v>228811353.94999999</v>
      </c>
      <c r="G10" s="1593">
        <f>39899249.38</f>
        <v>39899249.380000003</v>
      </c>
      <c r="H10" s="1593">
        <f>28219164.07</f>
        <v>28219164.07</v>
      </c>
      <c r="I10" s="1593">
        <f>879013.1</f>
        <v>879013.1</v>
      </c>
      <c r="J10" s="1594">
        <v>10.793381531601728</v>
      </c>
      <c r="K10" s="1594">
        <v>102.27783225336734</v>
      </c>
      <c r="L10" s="1594">
        <v>24.699261353530712</v>
      </c>
    </row>
    <row r="11" spans="1:12">
      <c r="A11" s="1592" t="s">
        <v>226</v>
      </c>
      <c r="B11" s="1593">
        <f>110437568.23</f>
        <v>110437568.23</v>
      </c>
      <c r="C11" s="1595">
        <f>110403789.53</f>
        <v>110403789.53</v>
      </c>
      <c r="D11" s="1593">
        <f>110404044.59</f>
        <v>110404044.59</v>
      </c>
      <c r="E11" s="1593">
        <f>191720.1</f>
        <v>191720.1</v>
      </c>
      <c r="F11" s="1593">
        <f>247459.4</f>
        <v>247459.4</v>
      </c>
      <c r="G11" s="1593">
        <f>70423.05</f>
        <v>70423.05</v>
      </c>
      <c r="H11" s="1593">
        <f>1754.74</f>
        <v>1754.74</v>
      </c>
      <c r="I11" s="1593">
        <f>89</f>
        <v>89</v>
      </c>
      <c r="J11" s="1594">
        <v>0.19525166529373048</v>
      </c>
      <c r="K11" s="1594">
        <v>99.969413759700274</v>
      </c>
      <c r="L11" s="1594">
        <v>0.44680824972989591</v>
      </c>
    </row>
    <row r="12" spans="1:12">
      <c r="A12" s="1592" t="s">
        <v>227</v>
      </c>
      <c r="B12" s="1593">
        <f>314130243.76</f>
        <v>314130243.75999999</v>
      </c>
      <c r="C12" s="1595">
        <f>319839239.57</f>
        <v>319839239.56999999</v>
      </c>
      <c r="D12" s="1593">
        <f>319820318.83</f>
        <v>319820318.82999998</v>
      </c>
      <c r="E12" s="1593">
        <f>305696561.29</f>
        <v>305696561.29000002</v>
      </c>
      <c r="F12" s="1593">
        <f>784055.29</f>
        <v>784055.29</v>
      </c>
      <c r="G12" s="1593">
        <f>1972789.03</f>
        <v>1972789.03</v>
      </c>
      <c r="H12" s="1593">
        <f>1034985.59</f>
        <v>1034985.59</v>
      </c>
      <c r="I12" s="1593">
        <f>3551.12</f>
        <v>3551.12</v>
      </c>
      <c r="J12" s="1594">
        <v>0.56564312165529085</v>
      </c>
      <c r="K12" s="1594">
        <v>101.81739769519352</v>
      </c>
      <c r="L12" s="1594">
        <v>1.2944013193349719</v>
      </c>
    </row>
    <row r="13" spans="1:12" ht="27">
      <c r="A13" s="1592" t="s">
        <v>228</v>
      </c>
      <c r="B13" s="1593">
        <f>22275884.02</f>
        <v>22275884.02</v>
      </c>
      <c r="C13" s="1595">
        <f>30244590.11</f>
        <v>30244590.109999999</v>
      </c>
      <c r="D13" s="1593">
        <f>30218730.31</f>
        <v>30218730.309999999</v>
      </c>
      <c r="E13" s="1593">
        <f>0</f>
        <v>0</v>
      </c>
      <c r="F13" s="1593">
        <f>0</f>
        <v>0</v>
      </c>
      <c r="G13" s="1593">
        <f>19254.76</f>
        <v>19254.759999999998</v>
      </c>
      <c r="H13" s="1593">
        <f>82900.94</f>
        <v>82900.94</v>
      </c>
      <c r="I13" s="1593">
        <f>0</f>
        <v>0</v>
      </c>
      <c r="J13" s="1594">
        <v>5.3488259870818504E-2</v>
      </c>
      <c r="K13" s="1594">
        <v>135.77279394544092</v>
      </c>
      <c r="L13" s="1594">
        <v>0.12240098304936525</v>
      </c>
    </row>
    <row r="14" spans="1:12">
      <c r="A14" s="1592" t="s">
        <v>229</v>
      </c>
      <c r="B14" s="1593">
        <f>52430925.62</f>
        <v>52430925.619999997</v>
      </c>
      <c r="C14" s="1595">
        <f>67479477.77</f>
        <v>67479477.769999996</v>
      </c>
      <c r="D14" s="1593">
        <f>67182654.1</f>
        <v>67182654.099999994</v>
      </c>
      <c r="E14" s="1593">
        <f>0</f>
        <v>0</v>
      </c>
      <c r="F14" s="1593">
        <f>0</f>
        <v>0</v>
      </c>
      <c r="G14" s="1593">
        <f>1426596.73</f>
        <v>1426596.73</v>
      </c>
      <c r="H14" s="1593">
        <f>2300627.56</f>
        <v>2300627.56</v>
      </c>
      <c r="I14" s="1593">
        <f>0</f>
        <v>0</v>
      </c>
      <c r="J14" s="1594">
        <v>0.119339023269338</v>
      </c>
      <c r="K14" s="1594">
        <v>128.70167171769265</v>
      </c>
      <c r="L14" s="1594">
        <v>0.27309196073299968</v>
      </c>
    </row>
    <row r="15" spans="1:12">
      <c r="A15" s="1592" t="s">
        <v>86</v>
      </c>
      <c r="B15" s="1593">
        <f>551170514.7</f>
        <v>551170514.70000005</v>
      </c>
      <c r="C15" s="1595">
        <f>679871121.93</f>
        <v>679871121.92999995</v>
      </c>
      <c r="D15" s="1593">
        <f>688377746.91</f>
        <v>688377746.90999997</v>
      </c>
      <c r="E15" s="1593">
        <f>0</f>
        <v>0</v>
      </c>
      <c r="F15" s="1593">
        <f>0</f>
        <v>0</v>
      </c>
      <c r="G15" s="1593">
        <f>82673.8</f>
        <v>82673.8</v>
      </c>
      <c r="H15" s="1593">
        <f>454098.48</f>
        <v>454098.48</v>
      </c>
      <c r="I15" s="1593">
        <f>0</f>
        <v>0</v>
      </c>
      <c r="J15" s="1594">
        <v>1.2023678653338101</v>
      </c>
      <c r="K15" s="1594">
        <v>123.35041585090072</v>
      </c>
      <c r="L15" s="1594">
        <v>2.7514637615668076</v>
      </c>
    </row>
    <row r="16" spans="1:12">
      <c r="A16" s="1592" t="s">
        <v>230</v>
      </c>
      <c r="B16" s="1593">
        <f>71075959.17</f>
        <v>71075959.170000002</v>
      </c>
      <c r="C16" s="1595">
        <f>79645530.46</f>
        <v>79645530.459999993</v>
      </c>
      <c r="D16" s="1593">
        <f>79600302.71</f>
        <v>79600302.709999993</v>
      </c>
      <c r="E16" s="1593">
        <f>0</f>
        <v>0</v>
      </c>
      <c r="F16" s="1593">
        <f>0</f>
        <v>0</v>
      </c>
      <c r="G16" s="1593">
        <f>160</f>
        <v>160</v>
      </c>
      <c r="H16" s="1593">
        <f>0</f>
        <v>0</v>
      </c>
      <c r="I16" s="1593">
        <f>0</f>
        <v>0</v>
      </c>
      <c r="J16" s="1594">
        <v>0.14085496994006608</v>
      </c>
      <c r="K16" s="1594">
        <v>112.05691965338551</v>
      </c>
      <c r="L16" s="1594">
        <v>0.32232842926077149</v>
      </c>
    </row>
    <row r="17" spans="1:12">
      <c r="A17" s="1592" t="s">
        <v>88</v>
      </c>
      <c r="B17" s="1593">
        <f>158235571.09</f>
        <v>158235571.09</v>
      </c>
      <c r="C17" s="1595">
        <f>156589852.69</f>
        <v>156589852.69</v>
      </c>
      <c r="D17" s="1593">
        <f>156344715.79</f>
        <v>156344715.78999999</v>
      </c>
      <c r="E17" s="1593">
        <f>0</f>
        <v>0</v>
      </c>
      <c r="F17" s="1593">
        <f>0</f>
        <v>0</v>
      </c>
      <c r="G17" s="1593">
        <f>0</f>
        <v>0</v>
      </c>
      <c r="H17" s="1593">
        <f>3000</f>
        <v>3000</v>
      </c>
      <c r="I17" s="1593">
        <f>0</f>
        <v>0</v>
      </c>
      <c r="J17" s="1594">
        <v>0.27693279040493857</v>
      </c>
      <c r="K17" s="1594">
        <v>98.959956734972081</v>
      </c>
      <c r="L17" s="1594">
        <v>0.63372496817121826</v>
      </c>
    </row>
    <row r="18" spans="1:12">
      <c r="A18" s="1592" t="s">
        <v>89</v>
      </c>
      <c r="B18" s="1593">
        <f>1029238.3</f>
        <v>1029238.3</v>
      </c>
      <c r="C18" s="1595">
        <f>779681.8</f>
        <v>779681.8</v>
      </c>
      <c r="D18" s="1593">
        <f>789537.8</f>
        <v>789537.8</v>
      </c>
      <c r="E18" s="1593">
        <f>72011.27</f>
        <v>72011.27</v>
      </c>
      <c r="F18" s="1593">
        <f>0</f>
        <v>0</v>
      </c>
      <c r="G18" s="1593">
        <f>0</f>
        <v>0</v>
      </c>
      <c r="H18" s="1593">
        <f>120134.85</f>
        <v>120134.85</v>
      </c>
      <c r="I18" s="1593">
        <f>0</f>
        <v>0</v>
      </c>
      <c r="J18" s="1594">
        <v>1.3788853670448217E-3</v>
      </c>
      <c r="K18" s="1594">
        <v>75.753282791749967</v>
      </c>
      <c r="L18" s="1594">
        <v>3.1554012945324917E-3</v>
      </c>
    </row>
    <row r="19" spans="1:12">
      <c r="A19" s="1592" t="s">
        <v>90</v>
      </c>
      <c r="B19" s="1593">
        <f>1517784058.19</f>
        <v>1517784058.1900001</v>
      </c>
      <c r="C19" s="1595">
        <f>1530317477.71</f>
        <v>1530317477.71</v>
      </c>
      <c r="D19" s="1593">
        <f>1530926965.1</f>
        <v>1530926965.0999999</v>
      </c>
      <c r="E19" s="1593">
        <f>0</f>
        <v>0</v>
      </c>
      <c r="F19" s="1593">
        <f>164286.14</f>
        <v>164286.14000000001</v>
      </c>
      <c r="G19" s="1593">
        <f>0</f>
        <v>0</v>
      </c>
      <c r="H19" s="1593">
        <f>146085.82</f>
        <v>146085.82</v>
      </c>
      <c r="I19" s="1593">
        <f>0</f>
        <v>0</v>
      </c>
      <c r="J19" s="1594">
        <v>2.7064019923862008</v>
      </c>
      <c r="K19" s="1594">
        <v>100.82577092916277</v>
      </c>
      <c r="L19" s="1594">
        <v>6.1932518499365141</v>
      </c>
    </row>
    <row r="20" spans="1:12">
      <c r="A20" s="1592" t="s">
        <v>231</v>
      </c>
      <c r="B20" s="1593">
        <f>B6-B7-B8-B9-B10-B11-B12-B13-B14-B15-B16-B17-B18-B19</f>
        <v>5341668333.9000034</v>
      </c>
      <c r="C20" s="1593">
        <f t="shared" ref="C20:I20" si="0">C6-C7-C8-C9-C10-C11-C12-C13-C14-C15-C16-C17-C18-C19</f>
        <v>5405650844.1199989</v>
      </c>
      <c r="D20" s="1593">
        <f t="shared" si="0"/>
        <v>5412459398.8899956</v>
      </c>
      <c r="E20" s="1593">
        <f t="shared" si="0"/>
        <v>3222038.1599998879</v>
      </c>
      <c r="F20" s="1593">
        <f t="shared" si="0"/>
        <v>37439605.170000032</v>
      </c>
      <c r="G20" s="1593">
        <f t="shared" si="0"/>
        <v>4030349.2199999965</v>
      </c>
      <c r="H20" s="1593">
        <f t="shared" si="0"/>
        <v>2603568.2399999984</v>
      </c>
      <c r="I20" s="1593">
        <f t="shared" si="0"/>
        <v>430661.22</v>
      </c>
      <c r="J20" s="1594">
        <v>9.5600190338039894</v>
      </c>
      <c r="K20" s="1594">
        <v>101.19780012948279</v>
      </c>
      <c r="L20" s="1594">
        <v>21.876870373692064</v>
      </c>
    </row>
    <row r="21" spans="1:12">
      <c r="A21" s="1098" t="s">
        <v>1100</v>
      </c>
      <c r="B21" s="1590">
        <f>B22+B37+B39</f>
        <v>18825951193.73</v>
      </c>
      <c r="C21" s="1590">
        <f>C22+C37+C39</f>
        <v>18457717018.519997</v>
      </c>
      <c r="D21" s="1590">
        <f>D22+D37+D39</f>
        <v>18458153067.060001</v>
      </c>
      <c r="E21" s="1593" t="s">
        <v>232</v>
      </c>
      <c r="F21" s="1593" t="s">
        <v>232</v>
      </c>
      <c r="G21" s="1593" t="s">
        <v>232</v>
      </c>
      <c r="H21" s="1593" t="s">
        <v>232</v>
      </c>
      <c r="I21" s="1593" t="s">
        <v>232</v>
      </c>
      <c r="J21" s="1591">
        <v>32.642901124396388</v>
      </c>
      <c r="K21" s="1591">
        <v>98.044007596637968</v>
      </c>
      <c r="L21" s="1331"/>
    </row>
    <row r="22" spans="1:12" ht="27">
      <c r="A22" s="1098" t="s">
        <v>233</v>
      </c>
      <c r="B22" s="1590">
        <f>B23+B25+B27+B29+B31+B33+B35</f>
        <v>16735422439.059999</v>
      </c>
      <c r="C22" s="1590">
        <f>C23+C25+C27+C29+C31+C33+C35</f>
        <v>16945686883.859997</v>
      </c>
      <c r="D22" s="1590">
        <f>D23+D25+D27+D29+D31+D33+D35</f>
        <v>16948896675.910002</v>
      </c>
      <c r="E22" s="1593" t="s">
        <v>232</v>
      </c>
      <c r="F22" s="1593" t="s">
        <v>232</v>
      </c>
      <c r="G22" s="1593" t="s">
        <v>232</v>
      </c>
      <c r="H22" s="1593" t="s">
        <v>232</v>
      </c>
      <c r="I22" s="1593" t="s">
        <v>232</v>
      </c>
      <c r="J22" s="1591">
        <v>29.968840722815276</v>
      </c>
      <c r="K22" s="1591">
        <v>101.25640356893081</v>
      </c>
      <c r="L22" s="1331"/>
    </row>
    <row r="23" spans="1:12">
      <c r="A23" s="1592" t="s">
        <v>234</v>
      </c>
      <c r="B23" s="1593">
        <f>14217289665.22</f>
        <v>14217289665.219999</v>
      </c>
      <c r="C23" s="1593">
        <f>14159433088.25</f>
        <v>14159433088.25</v>
      </c>
      <c r="D23" s="1593">
        <f>14167964319.08</f>
        <v>14167964319.08</v>
      </c>
      <c r="E23" s="1593" t="s">
        <v>232</v>
      </c>
      <c r="F23" s="1593" t="s">
        <v>232</v>
      </c>
      <c r="G23" s="1593" t="s">
        <v>232</v>
      </c>
      <c r="H23" s="1593" t="s">
        <v>232</v>
      </c>
      <c r="I23" s="1593" t="s">
        <v>232</v>
      </c>
      <c r="J23" s="1594">
        <v>25.041286190133199</v>
      </c>
      <c r="K23" s="1594">
        <v>99.593054806279042</v>
      </c>
      <c r="L23" s="1331"/>
    </row>
    <row r="24" spans="1:12">
      <c r="A24" s="1596" t="s">
        <v>235</v>
      </c>
      <c r="B24" s="1593">
        <f>7955664.07</f>
        <v>7955664.0700000003</v>
      </c>
      <c r="C24" s="1593">
        <f>6427393.18</f>
        <v>6427393.1799999997</v>
      </c>
      <c r="D24" s="1593">
        <f>6660575.2</f>
        <v>6660575.2000000002</v>
      </c>
      <c r="E24" s="1593" t="s">
        <v>232</v>
      </c>
      <c r="F24" s="1593" t="s">
        <v>232</v>
      </c>
      <c r="G24" s="1593" t="s">
        <v>232</v>
      </c>
      <c r="H24" s="1593" t="s">
        <v>232</v>
      </c>
      <c r="I24" s="1593" t="s">
        <v>232</v>
      </c>
      <c r="J24" s="1594">
        <v>1.1366994079053384E-2</v>
      </c>
      <c r="K24" s="1594">
        <v>80.7901530714079</v>
      </c>
      <c r="L24" s="1331"/>
    </row>
    <row r="25" spans="1:12">
      <c r="A25" s="1592" t="s">
        <v>236</v>
      </c>
      <c r="B25" s="1593">
        <f>1308966984.69</f>
        <v>1308966984.6900001</v>
      </c>
      <c r="C25" s="1593">
        <f>1258100878.87</f>
        <v>1258100878.8699999</v>
      </c>
      <c r="D25" s="1593">
        <f>1260855732.17</f>
        <v>1260855732.1700001</v>
      </c>
      <c r="E25" s="1593" t="s">
        <v>232</v>
      </c>
      <c r="F25" s="1593" t="s">
        <v>232</v>
      </c>
      <c r="G25" s="1593" t="s">
        <v>232</v>
      </c>
      <c r="H25" s="1593" t="s">
        <v>232</v>
      </c>
      <c r="I25" s="1593" t="s">
        <v>232</v>
      </c>
      <c r="J25" s="1594">
        <v>2.2249806166311341</v>
      </c>
      <c r="K25" s="1594">
        <v>96.114026830703693</v>
      </c>
      <c r="L25" s="1331"/>
    </row>
    <row r="26" spans="1:12">
      <c r="A26" s="1596" t="s">
        <v>235</v>
      </c>
      <c r="B26" s="1593">
        <f>138833818.6</f>
        <v>138833818.59999999</v>
      </c>
      <c r="C26" s="1593">
        <f>116396051.79</f>
        <v>116396051.79000001</v>
      </c>
      <c r="D26" s="1593">
        <f>116430539.71</f>
        <v>116430539.70999999</v>
      </c>
      <c r="E26" s="1593" t="s">
        <v>232</v>
      </c>
      <c r="F26" s="1593" t="s">
        <v>232</v>
      </c>
      <c r="G26" s="1593" t="s">
        <v>232</v>
      </c>
      <c r="H26" s="1593" t="s">
        <v>232</v>
      </c>
      <c r="I26" s="1593" t="s">
        <v>232</v>
      </c>
      <c r="J26" s="1594">
        <v>0.20584912023728427</v>
      </c>
      <c r="K26" s="1594">
        <v>83.838399724028051</v>
      </c>
      <c r="L26" s="1331"/>
    </row>
    <row r="27" spans="1:12" ht="27">
      <c r="A27" s="1592" t="s">
        <v>363</v>
      </c>
      <c r="B27" s="1593">
        <f>16324553.82</f>
        <v>16324553.82</v>
      </c>
      <c r="C27" s="1593">
        <f>15268008.89</f>
        <v>15268008.890000001</v>
      </c>
      <c r="D27" s="1593">
        <f>15237116.02</f>
        <v>15237116.02</v>
      </c>
      <c r="E27" s="1593" t="s">
        <v>232</v>
      </c>
      <c r="F27" s="1593" t="s">
        <v>232</v>
      </c>
      <c r="G27" s="1593" t="s">
        <v>232</v>
      </c>
      <c r="H27" s="1593" t="s">
        <v>232</v>
      </c>
      <c r="I27" s="1593" t="s">
        <v>232</v>
      </c>
      <c r="J27" s="1594">
        <v>2.7001828235994802E-2</v>
      </c>
      <c r="K27" s="1594">
        <v>93.527878668845602</v>
      </c>
      <c r="L27" s="1331"/>
    </row>
    <row r="28" spans="1:12">
      <c r="A28" s="1596" t="s">
        <v>235</v>
      </c>
      <c r="B28" s="1593">
        <f>2972501.24</f>
        <v>2972501.24</v>
      </c>
      <c r="C28" s="1593">
        <f>2948251.19</f>
        <v>2948251.19</v>
      </c>
      <c r="D28" s="1593">
        <f>2948251.19</f>
        <v>2948251.19</v>
      </c>
      <c r="E28" s="1593" t="s">
        <v>232</v>
      </c>
      <c r="F28" s="1593" t="s">
        <v>232</v>
      </c>
      <c r="G28" s="1593" t="s">
        <v>232</v>
      </c>
      <c r="H28" s="1593" t="s">
        <v>232</v>
      </c>
      <c r="I28" s="1593" t="s">
        <v>232</v>
      </c>
      <c r="J28" s="1594">
        <v>5.2140506861433501E-3</v>
      </c>
      <c r="K28" s="1594">
        <v>99.184187051844589</v>
      </c>
      <c r="L28" s="1331"/>
    </row>
    <row r="29" spans="1:12" ht="27">
      <c r="A29" s="1592" t="s">
        <v>362</v>
      </c>
      <c r="B29" s="1593">
        <f>174255343.23</f>
        <v>174255343.22999999</v>
      </c>
      <c r="C29" s="1593">
        <f>172387818.64</f>
        <v>172387818.63999999</v>
      </c>
      <c r="D29" s="1593">
        <f>172514320.12</f>
        <v>172514320.12</v>
      </c>
      <c r="E29" s="1593" t="s">
        <v>232</v>
      </c>
      <c r="F29" s="1593" t="s">
        <v>232</v>
      </c>
      <c r="G29" s="1593" t="s">
        <v>232</v>
      </c>
      <c r="H29" s="1593" t="s">
        <v>232</v>
      </c>
      <c r="I29" s="1593" t="s">
        <v>232</v>
      </c>
      <c r="J29" s="1594">
        <v>0.30487186000682914</v>
      </c>
      <c r="K29" s="1594">
        <v>98.928282739924342</v>
      </c>
      <c r="L29" s="1331"/>
    </row>
    <row r="30" spans="1:12">
      <c r="A30" s="1596" t="s">
        <v>235</v>
      </c>
      <c r="B30" s="1593">
        <f>71872205.21</f>
        <v>71872205.209999993</v>
      </c>
      <c r="C30" s="1593">
        <f>68723691.57</f>
        <v>68723691.569999993</v>
      </c>
      <c r="D30" s="1593">
        <f>68861894.33</f>
        <v>68861894.329999998</v>
      </c>
      <c r="E30" s="1593" t="s">
        <v>232</v>
      </c>
      <c r="F30" s="1593" t="s">
        <v>232</v>
      </c>
      <c r="G30" s="1593" t="s">
        <v>232</v>
      </c>
      <c r="H30" s="1593" t="s">
        <v>232</v>
      </c>
      <c r="I30" s="1593" t="s">
        <v>232</v>
      </c>
      <c r="J30" s="1594">
        <v>0.12153944426453786</v>
      </c>
      <c r="K30" s="1594">
        <v>95.619288943757169</v>
      </c>
      <c r="L30" s="1331"/>
    </row>
    <row r="31" spans="1:12" ht="40.5">
      <c r="A31" s="1592" t="s">
        <v>237</v>
      </c>
      <c r="B31" s="1593">
        <f>113962589.99</f>
        <v>113962589.98999999</v>
      </c>
      <c r="C31" s="1593">
        <f>101438040.13</f>
        <v>101438040.13</v>
      </c>
      <c r="D31" s="1593">
        <f>101626290.78</f>
        <v>101626290.78</v>
      </c>
      <c r="E31" s="1593" t="s">
        <v>232</v>
      </c>
      <c r="F31" s="1593" t="s">
        <v>232</v>
      </c>
      <c r="G31" s="1593" t="s">
        <v>232</v>
      </c>
      <c r="H31" s="1593" t="s">
        <v>232</v>
      </c>
      <c r="I31" s="1593" t="s">
        <v>232</v>
      </c>
      <c r="J31" s="1594">
        <v>0.17939552930049465</v>
      </c>
      <c r="K31" s="1594">
        <v>89.009946280530301</v>
      </c>
      <c r="L31" s="1331"/>
    </row>
    <row r="32" spans="1:12">
      <c r="A32" s="1596" t="s">
        <v>235</v>
      </c>
      <c r="B32" s="1593">
        <f>92597377.09</f>
        <v>92597377.090000004</v>
      </c>
      <c r="C32" s="1593">
        <f>80485286.9</f>
        <v>80485286.900000006</v>
      </c>
      <c r="D32" s="1593">
        <f>80673287.86</f>
        <v>80673287.859999999</v>
      </c>
      <c r="E32" s="1593" t="s">
        <v>232</v>
      </c>
      <c r="F32" s="1593" t="s">
        <v>232</v>
      </c>
      <c r="G32" s="1593" t="s">
        <v>232</v>
      </c>
      <c r="H32" s="1593" t="s">
        <v>232</v>
      </c>
      <c r="I32" s="1593" t="s">
        <v>232</v>
      </c>
      <c r="J32" s="1594">
        <v>0.14234009870284814</v>
      </c>
      <c r="K32" s="1594">
        <v>86.919618491755273</v>
      </c>
      <c r="L32" s="1331"/>
    </row>
    <row r="33" spans="1:12">
      <c r="A33" s="1592" t="s">
        <v>238</v>
      </c>
      <c r="B33" s="1593">
        <f>110552395.33</f>
        <v>110552395.33</v>
      </c>
      <c r="C33" s="1593">
        <f>109107051.96</f>
        <v>109107051.95999999</v>
      </c>
      <c r="D33" s="1593">
        <f>108951933.4</f>
        <v>108951933.40000001</v>
      </c>
      <c r="E33" s="1593" t="s">
        <v>232</v>
      </c>
      <c r="F33" s="1593" t="s">
        <v>232</v>
      </c>
      <c r="G33" s="1593" t="s">
        <v>232</v>
      </c>
      <c r="H33" s="1593" t="s">
        <v>232</v>
      </c>
      <c r="I33" s="1593" t="s">
        <v>232</v>
      </c>
      <c r="J33" s="1594">
        <v>0.19295835479171508</v>
      </c>
      <c r="K33" s="1594">
        <v>98.692616866703219</v>
      </c>
      <c r="L33" s="1331"/>
    </row>
    <row r="34" spans="1:12">
      <c r="A34" s="1596" t="s">
        <v>235</v>
      </c>
      <c r="B34" s="1593">
        <f>95986161.92</f>
        <v>95986161.920000002</v>
      </c>
      <c r="C34" s="1593">
        <f>95431666.05</f>
        <v>95431666.049999997</v>
      </c>
      <c r="D34" s="1593">
        <f>95275072.55</f>
        <v>95275072.549999997</v>
      </c>
      <c r="E34" s="1593" t="s">
        <v>232</v>
      </c>
      <c r="F34" s="1593" t="s">
        <v>232</v>
      </c>
      <c r="G34" s="1593" t="s">
        <v>232</v>
      </c>
      <c r="H34" s="1593" t="s">
        <v>232</v>
      </c>
      <c r="I34" s="1593" t="s">
        <v>232</v>
      </c>
      <c r="J34" s="1594">
        <v>0.16877311727560282</v>
      </c>
      <c r="K34" s="1594">
        <v>99.422316864318262</v>
      </c>
      <c r="L34" s="1331"/>
    </row>
    <row r="35" spans="1:12" ht="40.5">
      <c r="A35" s="1592" t="s">
        <v>1101</v>
      </c>
      <c r="B35" s="1593">
        <f>794070906.78</f>
        <v>794070906.77999997</v>
      </c>
      <c r="C35" s="1593">
        <f>1129951997.12</f>
        <v>1129951997.1199999</v>
      </c>
      <c r="D35" s="1593">
        <f>1121746964.34</f>
        <v>1121746964.3399999</v>
      </c>
      <c r="E35" s="1593" t="s">
        <v>232</v>
      </c>
      <c r="F35" s="1593" t="s">
        <v>232</v>
      </c>
      <c r="G35" s="1593" t="s">
        <v>232</v>
      </c>
      <c r="H35" s="1593" t="s">
        <v>232</v>
      </c>
      <c r="I35" s="1593" t="s">
        <v>232</v>
      </c>
      <c r="J35" s="1594">
        <v>1.9983463437159112</v>
      </c>
      <c r="K35" s="1594">
        <v>142.29862692010914</v>
      </c>
      <c r="L35" s="1331"/>
    </row>
    <row r="36" spans="1:12">
      <c r="A36" s="1596" t="s">
        <v>235</v>
      </c>
      <c r="B36" s="1593">
        <f>603133707.72</f>
        <v>603133707.72000003</v>
      </c>
      <c r="C36" s="1593">
        <f>861080110.52</f>
        <v>861080110.51999998</v>
      </c>
      <c r="D36" s="1593">
        <f>852192808.3</f>
        <v>852192808.29999995</v>
      </c>
      <c r="E36" s="1593" t="s">
        <v>232</v>
      </c>
      <c r="F36" s="1593" t="s">
        <v>232</v>
      </c>
      <c r="G36" s="1593" t="s">
        <v>232</v>
      </c>
      <c r="H36" s="1593" t="s">
        <v>232</v>
      </c>
      <c r="I36" s="1593" t="s">
        <v>232</v>
      </c>
      <c r="J36" s="1594">
        <v>1.5228401692195019</v>
      </c>
      <c r="K36" s="1594">
        <v>142.76769802422476</v>
      </c>
      <c r="L36" s="1331"/>
    </row>
    <row r="37" spans="1:12">
      <c r="A37" s="1098" t="s">
        <v>239</v>
      </c>
      <c r="B37" s="1590">
        <f>280255158</f>
        <v>280255158</v>
      </c>
      <c r="C37" s="1590">
        <f>211121772.35</f>
        <v>211121772.34999999</v>
      </c>
      <c r="D37" s="1590">
        <f>210433990.75</f>
        <v>210433990.75</v>
      </c>
      <c r="E37" s="1593" t="s">
        <v>232</v>
      </c>
      <c r="F37" s="1593" t="s">
        <v>232</v>
      </c>
      <c r="G37" s="1593" t="s">
        <v>232</v>
      </c>
      <c r="H37" s="1593" t="s">
        <v>232</v>
      </c>
      <c r="I37" s="1593" t="s">
        <v>232</v>
      </c>
      <c r="J37" s="1591">
        <v>0.37337375652219029</v>
      </c>
      <c r="K37" s="1591">
        <v>75.33198455887117</v>
      </c>
      <c r="L37" s="1331"/>
    </row>
    <row r="38" spans="1:12">
      <c r="A38" s="1596" t="s">
        <v>240</v>
      </c>
      <c r="B38" s="1593">
        <f>241410477.68</f>
        <v>241410477.68000001</v>
      </c>
      <c r="C38" s="1593">
        <f>175023692.82</f>
        <v>175023692.81999999</v>
      </c>
      <c r="D38" s="1593">
        <f>174088870.58</f>
        <v>174088870.58000001</v>
      </c>
      <c r="E38" s="1593" t="s">
        <v>232</v>
      </c>
      <c r="F38" s="1593" t="s">
        <v>232</v>
      </c>
      <c r="G38" s="1593" t="s">
        <v>232</v>
      </c>
      <c r="H38" s="1593" t="s">
        <v>232</v>
      </c>
      <c r="I38" s="1593" t="s">
        <v>232</v>
      </c>
      <c r="J38" s="1594">
        <v>0.30953346469758025</v>
      </c>
      <c r="K38" s="1594">
        <v>72.500454206466316</v>
      </c>
      <c r="L38" s="1331"/>
    </row>
    <row r="39" spans="1:12">
      <c r="A39" s="1098" t="s">
        <v>241</v>
      </c>
      <c r="B39" s="1593">
        <f>1810273596.67</f>
        <v>1810273596.6700001</v>
      </c>
      <c r="C39" s="1593">
        <f>1300908362.31</f>
        <v>1300908362.3099999</v>
      </c>
      <c r="D39" s="1593">
        <f>1298822400.4</f>
        <v>1298822400.4000001</v>
      </c>
      <c r="E39" s="1593" t="s">
        <v>232</v>
      </c>
      <c r="F39" s="1593" t="s">
        <v>232</v>
      </c>
      <c r="G39" s="1593" t="s">
        <v>232</v>
      </c>
      <c r="H39" s="1593" t="s">
        <v>232</v>
      </c>
      <c r="I39" s="1593" t="s">
        <v>232</v>
      </c>
      <c r="J39" s="1594">
        <v>2.300686645058923</v>
      </c>
      <c r="K39" s="1594">
        <v>71.862527559536971</v>
      </c>
      <c r="L39" s="1331"/>
    </row>
    <row r="40" spans="1:12">
      <c r="A40" s="1596" t="s">
        <v>242</v>
      </c>
      <c r="B40" s="1593">
        <f>1558075621.83</f>
        <v>1558075621.8299999</v>
      </c>
      <c r="C40" s="1593">
        <f>1093715979.03</f>
        <v>1093715979.03</v>
      </c>
      <c r="D40" s="1593">
        <f>1091442987.73</f>
        <v>1091442987.73</v>
      </c>
      <c r="E40" s="1593" t="s">
        <v>232</v>
      </c>
      <c r="F40" s="1593" t="s">
        <v>232</v>
      </c>
      <c r="G40" s="1593" t="s">
        <v>232</v>
      </c>
      <c r="H40" s="1593" t="s">
        <v>232</v>
      </c>
      <c r="I40" s="1593" t="s">
        <v>232</v>
      </c>
      <c r="J40" s="1594">
        <v>1.9342621043450907</v>
      </c>
      <c r="K40" s="1594">
        <v>70.196591468737722</v>
      </c>
      <c r="L40" s="1331"/>
    </row>
    <row r="41" spans="1:12" ht="27">
      <c r="A41" s="1098" t="s">
        <v>243</v>
      </c>
      <c r="B41" s="1590">
        <f>B42+B43+B44+B45+B46</f>
        <v>12536198405.219999</v>
      </c>
      <c r="C41" s="1590">
        <f>C42+C43+C44+C45+C46</f>
        <v>13377201309</v>
      </c>
      <c r="D41" s="1590">
        <f>D42+D43+D44+D45+D46</f>
        <v>13315014153</v>
      </c>
      <c r="E41" s="1593" t="s">
        <v>232</v>
      </c>
      <c r="F41" s="1593" t="s">
        <v>232</v>
      </c>
      <c r="G41" s="1593" t="s">
        <v>232</v>
      </c>
      <c r="H41" s="1593" t="s">
        <v>232</v>
      </c>
      <c r="I41" s="1593" t="s">
        <v>232</v>
      </c>
      <c r="J41" s="1591">
        <v>23.657891125575762</v>
      </c>
      <c r="K41" s="1591">
        <v>106.70859599214553</v>
      </c>
      <c r="L41" s="1331"/>
    </row>
    <row r="42" spans="1:12">
      <c r="A42" s="1592" t="s">
        <v>244</v>
      </c>
      <c r="B42" s="1593">
        <f>2938624658</f>
        <v>2938624658</v>
      </c>
      <c r="C42" s="1593">
        <f>2938292674</f>
        <v>2938292674</v>
      </c>
      <c r="D42" s="1593">
        <f>2938091250</f>
        <v>2938091250</v>
      </c>
      <c r="E42" s="1593" t="s">
        <v>232</v>
      </c>
      <c r="F42" s="1593" t="s">
        <v>232</v>
      </c>
      <c r="G42" s="1593" t="s">
        <v>232</v>
      </c>
      <c r="H42" s="1593" t="s">
        <v>232</v>
      </c>
      <c r="I42" s="1593" t="s">
        <v>232</v>
      </c>
      <c r="J42" s="1594">
        <v>5.196438819366568</v>
      </c>
      <c r="K42" s="1594">
        <v>99.988702742315311</v>
      </c>
      <c r="L42" s="1331"/>
    </row>
    <row r="43" spans="1:12">
      <c r="A43" s="1592" t="s">
        <v>245</v>
      </c>
      <c r="B43" s="1593">
        <f>8033843908</f>
        <v>8033843908</v>
      </c>
      <c r="C43" s="1593">
        <f>8033915307</f>
        <v>8033915307</v>
      </c>
      <c r="D43" s="1593">
        <f>7972437695</f>
        <v>7972437695</v>
      </c>
      <c r="E43" s="1593" t="s">
        <v>232</v>
      </c>
      <c r="F43" s="1593" t="s">
        <v>232</v>
      </c>
      <c r="G43" s="1593" t="s">
        <v>232</v>
      </c>
      <c r="H43" s="1593" t="s">
        <v>232</v>
      </c>
      <c r="I43" s="1593" t="s">
        <v>232</v>
      </c>
      <c r="J43" s="1594">
        <v>14.208165763135304</v>
      </c>
      <c r="K43" s="1594">
        <v>100.00088872774748</v>
      </c>
      <c r="L43" s="1331"/>
    </row>
    <row r="44" spans="1:12">
      <c r="A44" s="1592" t="s">
        <v>246</v>
      </c>
      <c r="B44" s="1593">
        <f>0</f>
        <v>0</v>
      </c>
      <c r="C44" s="1593">
        <f>0</f>
        <v>0</v>
      </c>
      <c r="D44" s="1593">
        <f>0</f>
        <v>0</v>
      </c>
      <c r="E44" s="1593" t="s">
        <v>232</v>
      </c>
      <c r="F44" s="1593" t="s">
        <v>232</v>
      </c>
      <c r="G44" s="1593" t="s">
        <v>232</v>
      </c>
      <c r="H44" s="1593" t="s">
        <v>232</v>
      </c>
      <c r="I44" s="1593" t="s">
        <v>232</v>
      </c>
      <c r="J44" s="1594">
        <v>0</v>
      </c>
      <c r="K44" s="1594" t="s">
        <v>273</v>
      </c>
      <c r="L44" s="1331"/>
    </row>
    <row r="45" spans="1:12">
      <c r="A45" s="1592" t="s">
        <v>247</v>
      </c>
      <c r="B45" s="1593">
        <f>125044092</f>
        <v>125044092</v>
      </c>
      <c r="C45" s="1593">
        <f>125044092</f>
        <v>125044092</v>
      </c>
      <c r="D45" s="1593">
        <f>125044092</f>
        <v>125044092</v>
      </c>
      <c r="E45" s="1593" t="s">
        <v>232</v>
      </c>
      <c r="F45" s="1593" t="s">
        <v>232</v>
      </c>
      <c r="G45" s="1593" t="s">
        <v>232</v>
      </c>
      <c r="H45" s="1593" t="s">
        <v>232</v>
      </c>
      <c r="I45" s="1593" t="s">
        <v>232</v>
      </c>
      <c r="J45" s="1594">
        <v>0.22114338015098783</v>
      </c>
      <c r="K45" s="1594">
        <v>100</v>
      </c>
      <c r="L45" s="1331"/>
    </row>
    <row r="46" spans="1:12">
      <c r="A46" s="1592" t="s">
        <v>249</v>
      </c>
      <c r="B46" s="1593">
        <f>1438685747.22</f>
        <v>1438685747.22</v>
      </c>
      <c r="C46" s="1593">
        <f>2279949236</f>
        <v>2279949236</v>
      </c>
      <c r="D46" s="1593">
        <f>2279441116</f>
        <v>2279441116</v>
      </c>
      <c r="E46" s="1593" t="s">
        <v>232</v>
      </c>
      <c r="F46" s="1593" t="s">
        <v>232</v>
      </c>
      <c r="G46" s="1593" t="s">
        <v>232</v>
      </c>
      <c r="H46" s="1593" t="s">
        <v>232</v>
      </c>
      <c r="I46" s="1593" t="s">
        <v>232</v>
      </c>
      <c r="J46" s="1594">
        <v>4.0321431629229014</v>
      </c>
      <c r="K46" s="1594">
        <v>158.47444380439507</v>
      </c>
      <c r="L46" s="1331"/>
    </row>
    <row r="47" spans="1:12">
      <c r="A47" s="1095"/>
      <c r="B47" s="1088"/>
      <c r="C47" s="1089"/>
      <c r="D47" s="1089"/>
      <c r="E47" s="1090"/>
      <c r="F47" s="1090"/>
      <c r="G47" s="1090"/>
      <c r="H47" s="1090"/>
      <c r="I47" s="1090"/>
      <c r="J47" s="1091"/>
      <c r="K47" s="1091"/>
      <c r="L47" s="1443"/>
    </row>
    <row r="48" spans="1:12">
      <c r="A48" s="1098" t="s">
        <v>222</v>
      </c>
      <c r="B48" s="1590">
        <f t="shared" ref="B48:I48" si="1">+B5</f>
        <v>54944853399.160004</v>
      </c>
      <c r="C48" s="1590">
        <f t="shared" si="1"/>
        <v>56544352317.769997</v>
      </c>
      <c r="D48" s="1590">
        <f t="shared" si="1"/>
        <v>56302794338.57</v>
      </c>
      <c r="E48" s="1590">
        <f t="shared" si="1"/>
        <v>1157928584.3</v>
      </c>
      <c r="F48" s="1590">
        <f t="shared" si="1"/>
        <v>267631353.33000001</v>
      </c>
      <c r="G48" s="1590">
        <f t="shared" si="1"/>
        <v>48739693.030000001</v>
      </c>
      <c r="H48" s="1590">
        <f t="shared" si="1"/>
        <v>35288720.670000002</v>
      </c>
      <c r="I48" s="1590">
        <f t="shared" si="1"/>
        <v>1313341.4399999999</v>
      </c>
      <c r="J48" s="1591">
        <v>100</v>
      </c>
      <c r="K48" s="1591">
        <v>102.9110987101741</v>
      </c>
      <c r="L48" s="1091"/>
    </row>
    <row r="49" spans="1:12">
      <c r="A49" s="1598" t="s">
        <v>740</v>
      </c>
      <c r="B49" s="1593">
        <f>5419399384.23</f>
        <v>5419399384.2299995</v>
      </c>
      <c r="C49" s="1593">
        <f>5638564906.15</f>
        <v>5638564906.1499996</v>
      </c>
      <c r="D49" s="1593">
        <f>5624090236.36</f>
        <v>5624090236.3599997</v>
      </c>
      <c r="E49" s="1593">
        <f>0</f>
        <v>0</v>
      </c>
      <c r="F49" s="1593">
        <f>216.89</f>
        <v>216.89</v>
      </c>
      <c r="G49" s="1593">
        <f>0</f>
        <v>0</v>
      </c>
      <c r="H49" s="1593">
        <f>122480.7</f>
        <v>122480.7</v>
      </c>
      <c r="I49" s="1593">
        <f>0</f>
        <v>0</v>
      </c>
      <c r="J49" s="1594">
        <v>9.9719329606291875</v>
      </c>
      <c r="K49" s="1594">
        <v>104.04409246083162</v>
      </c>
      <c r="L49" s="1091"/>
    </row>
    <row r="50" spans="1:12">
      <c r="A50" s="1598" t="s">
        <v>739</v>
      </c>
      <c r="B50" s="1593">
        <f>B48-B49</f>
        <v>49525454014.930008</v>
      </c>
      <c r="C50" s="1593">
        <f t="shared" ref="C50:I50" si="2">C48-C49</f>
        <v>50905787411.619995</v>
      </c>
      <c r="D50" s="1593">
        <f t="shared" si="2"/>
        <v>50678704102.209999</v>
      </c>
      <c r="E50" s="1593">
        <f t="shared" si="2"/>
        <v>1157928584.3</v>
      </c>
      <c r="F50" s="1593">
        <f t="shared" si="2"/>
        <v>267631136.44000003</v>
      </c>
      <c r="G50" s="1593">
        <f t="shared" si="2"/>
        <v>48739693.030000001</v>
      </c>
      <c r="H50" s="1593">
        <f t="shared" si="2"/>
        <v>35166239.969999999</v>
      </c>
      <c r="I50" s="1593">
        <f t="shared" si="2"/>
        <v>1313341.4399999999</v>
      </c>
      <c r="J50" s="1594">
        <v>90.028067039370825</v>
      </c>
      <c r="K50" s="1594">
        <v>102.78711911711879</v>
      </c>
      <c r="L50" s="1091"/>
    </row>
    <row r="51" spans="1:12">
      <c r="A51" s="1993" t="s">
        <v>3</v>
      </c>
      <c r="B51" s="1993"/>
      <c r="C51" s="1993"/>
      <c r="D51" s="1993"/>
      <c r="E51" s="1993"/>
      <c r="F51" s="1993"/>
      <c r="G51" s="1993"/>
      <c r="H51" s="1993"/>
      <c r="I51" s="1993"/>
      <c r="J51" s="1993"/>
      <c r="K51" s="1993"/>
      <c r="L51" s="1993"/>
    </row>
    <row r="52" spans="1:12">
      <c r="A52" s="1092"/>
      <c r="B52" s="1088"/>
      <c r="C52" s="1089"/>
      <c r="D52" s="1089"/>
      <c r="E52" s="1090"/>
      <c r="F52" s="1090"/>
      <c r="G52" s="1090"/>
      <c r="H52" s="1090"/>
      <c r="I52" s="1090"/>
      <c r="J52" s="1091"/>
      <c r="K52" s="1091"/>
      <c r="L52" s="1443"/>
    </row>
    <row r="53" spans="1:12" ht="27" customHeight="1">
      <c r="A53" s="1994" t="s">
        <v>218</v>
      </c>
      <c r="B53" s="1995" t="s">
        <v>1080</v>
      </c>
      <c r="C53" s="1995" t="s">
        <v>1088</v>
      </c>
      <c r="D53" s="1995" t="s">
        <v>1089</v>
      </c>
      <c r="E53" s="1995" t="s">
        <v>250</v>
      </c>
      <c r="F53" s="1995"/>
      <c r="G53" s="1995"/>
      <c r="H53" s="1995" t="s">
        <v>1090</v>
      </c>
      <c r="I53" s="1995"/>
      <c r="J53" s="1995" t="s">
        <v>219</v>
      </c>
      <c r="K53" s="1997" t="s">
        <v>251</v>
      </c>
    </row>
    <row r="54" spans="1:12">
      <c r="A54" s="1994"/>
      <c r="B54" s="1995"/>
      <c r="C54" s="1996"/>
      <c r="D54" s="1995"/>
      <c r="E54" s="1995" t="s">
        <v>1091</v>
      </c>
      <c r="F54" s="1996" t="s">
        <v>252</v>
      </c>
      <c r="G54" s="1996"/>
      <c r="H54" s="1995"/>
      <c r="I54" s="1995"/>
      <c r="J54" s="1995"/>
      <c r="K54" s="1997"/>
      <c r="L54" s="1101"/>
    </row>
    <row r="55" spans="1:12" ht="54">
      <c r="A55" s="1994"/>
      <c r="B55" s="1995"/>
      <c r="C55" s="1996"/>
      <c r="D55" s="1995"/>
      <c r="E55" s="1996"/>
      <c r="F55" s="1104" t="s">
        <v>1092</v>
      </c>
      <c r="G55" s="1104" t="s">
        <v>1093</v>
      </c>
      <c r="H55" s="1995"/>
      <c r="I55" s="1995"/>
      <c r="J55" s="1995"/>
      <c r="K55" s="1997"/>
      <c r="L55" s="1101"/>
    </row>
    <row r="56" spans="1:12">
      <c r="A56" s="1994"/>
      <c r="B56" s="2005" t="s">
        <v>4</v>
      </c>
      <c r="C56" s="2005"/>
      <c r="D56" s="2005"/>
      <c r="E56" s="2005"/>
      <c r="F56" s="2005"/>
      <c r="G56" s="2005"/>
      <c r="H56" s="2005"/>
      <c r="I56" s="2005"/>
      <c r="J56" s="2005" t="s">
        <v>5</v>
      </c>
      <c r="K56" s="2005"/>
    </row>
    <row r="57" spans="1:12">
      <c r="A57" s="1122">
        <v>1</v>
      </c>
      <c r="B57" s="1600">
        <v>2</v>
      </c>
      <c r="C57" s="1600">
        <v>3</v>
      </c>
      <c r="D57" s="1600">
        <v>4</v>
      </c>
      <c r="E57" s="1122">
        <v>5</v>
      </c>
      <c r="F57" s="1122">
        <v>6</v>
      </c>
      <c r="G57" s="1600">
        <v>7</v>
      </c>
      <c r="H57" s="2004">
        <v>8</v>
      </c>
      <c r="I57" s="2004"/>
      <c r="J57" s="1122">
        <v>9</v>
      </c>
      <c r="K57" s="1600">
        <v>10</v>
      </c>
    </row>
    <row r="58" spans="1:12" ht="27">
      <c r="A58" s="1098" t="s">
        <v>253</v>
      </c>
      <c r="B58" s="1601">
        <f>58298056502.97</f>
        <v>58298056502.970001</v>
      </c>
      <c r="C58" s="1601">
        <f>53451034807.72</f>
        <v>53451034807.720001</v>
      </c>
      <c r="D58" s="1601">
        <f>53381079601.64</f>
        <v>53381079601.639999</v>
      </c>
      <c r="E58" s="1601">
        <f>2032440365.91</f>
        <v>2032440365.9100001</v>
      </c>
      <c r="F58" s="1601">
        <f>1227489.41</f>
        <v>1227489.4099999999</v>
      </c>
      <c r="G58" s="1601">
        <f>4351374.4</f>
        <v>4351374.4000000004</v>
      </c>
      <c r="H58" s="1998">
        <f>565782464.76</f>
        <v>565782464.75999999</v>
      </c>
      <c r="I58" s="1998"/>
      <c r="J58" s="1602">
        <v>100</v>
      </c>
      <c r="K58" s="1602">
        <v>91.565796192400498</v>
      </c>
    </row>
    <row r="59" spans="1:12">
      <c r="A59" s="1098" t="s">
        <v>254</v>
      </c>
      <c r="B59" s="1603">
        <f>10542630098.53</f>
        <v>10542630098.530001</v>
      </c>
      <c r="C59" s="1603">
        <f>8070516051.10001</f>
        <v>8070516051.1000099</v>
      </c>
      <c r="D59" s="1603">
        <f>8032037513.94</f>
        <v>8032037513.9399996</v>
      </c>
      <c r="E59" s="1603">
        <f>203408095.49</f>
        <v>203408095.49000001</v>
      </c>
      <c r="F59" s="1603">
        <f>67968</f>
        <v>67968</v>
      </c>
      <c r="G59" s="1603">
        <f>931337.46</f>
        <v>931337.46</v>
      </c>
      <c r="H59" s="1987">
        <f>500891755.25</f>
        <v>500891755.25</v>
      </c>
      <c r="I59" s="1987"/>
      <c r="J59" s="1602">
        <v>15.046599982390083</v>
      </c>
      <c r="K59" s="1602">
        <v>76.186278365774569</v>
      </c>
    </row>
    <row r="60" spans="1:12">
      <c r="A60" s="1592" t="s">
        <v>255</v>
      </c>
      <c r="B60" s="1593">
        <f>9805426735.64999</f>
        <v>9805426735.6499901</v>
      </c>
      <c r="C60" s="1593">
        <f>7384544277.30001</f>
        <v>7384544277.3000097</v>
      </c>
      <c r="D60" s="1593">
        <f>7346065740.14</f>
        <v>7346065740.1400003</v>
      </c>
      <c r="E60" s="1593">
        <f>203408095.49</f>
        <v>203408095.49000001</v>
      </c>
      <c r="F60" s="1593">
        <f>67968</f>
        <v>67968</v>
      </c>
      <c r="G60" s="1593">
        <f>931337.46</f>
        <v>931337.46</v>
      </c>
      <c r="H60" s="1986">
        <f>500691755.25</f>
        <v>500691755.25</v>
      </c>
      <c r="I60" s="1986"/>
      <c r="J60" s="1604">
        <v>13.761553334927887</v>
      </c>
      <c r="K60" s="1604">
        <v>74.918368554339494</v>
      </c>
    </row>
    <row r="61" spans="1:12" ht="27">
      <c r="A61" s="1098" t="s">
        <v>256</v>
      </c>
      <c r="B61" s="1603">
        <f t="shared" ref="B61:H61" si="3">B58-B59</f>
        <v>47755426404.440002</v>
      </c>
      <c r="C61" s="1603">
        <f t="shared" si="3"/>
        <v>45380518756.619995</v>
      </c>
      <c r="D61" s="1603">
        <f t="shared" si="3"/>
        <v>45349042087.699997</v>
      </c>
      <c r="E61" s="1603">
        <f t="shared" si="3"/>
        <v>1829032270.4200001</v>
      </c>
      <c r="F61" s="1603">
        <f t="shared" si="3"/>
        <v>1159521.4099999999</v>
      </c>
      <c r="G61" s="1603">
        <f t="shared" si="3"/>
        <v>3420036.9400000004</v>
      </c>
      <c r="H61" s="1987">
        <f t="shared" si="3"/>
        <v>64890709.50999999</v>
      </c>
      <c r="I61" s="1987"/>
      <c r="J61" s="1602">
        <v>84.953400017609923</v>
      </c>
      <c r="K61" s="1602">
        <v>94.961024331852116</v>
      </c>
    </row>
    <row r="62" spans="1:12" ht="27">
      <c r="A62" s="1592" t="s">
        <v>257</v>
      </c>
      <c r="B62" s="1593">
        <f>17130606530.08</f>
        <v>17130606530.08</v>
      </c>
      <c r="C62" s="1593">
        <f>16546280709.13</f>
        <v>16546280709.129999</v>
      </c>
      <c r="D62" s="1593">
        <f>16534730240.09</f>
        <v>16534730240.09</v>
      </c>
      <c r="E62" s="1593">
        <f>1311270136.83</f>
        <v>1311270136.8299999</v>
      </c>
      <c r="F62" s="1593">
        <f>723454.97</f>
        <v>723454.97</v>
      </c>
      <c r="G62" s="1593">
        <f>927173.36</f>
        <v>927173.36</v>
      </c>
      <c r="H62" s="1986">
        <f>270202.07</f>
        <v>270202.07</v>
      </c>
      <c r="I62" s="1986"/>
      <c r="J62" s="1604">
        <v>30.974889162005656</v>
      </c>
      <c r="K62" s="1604">
        <v>96.521569222060592</v>
      </c>
    </row>
    <row r="63" spans="1:12">
      <c r="A63" s="1592" t="s">
        <v>258</v>
      </c>
      <c r="B63" s="1605">
        <f>3529178392.22</f>
        <v>3529178392.2199998</v>
      </c>
      <c r="C63" s="1605">
        <f>3437412626.2</f>
        <v>3437412626.1999998</v>
      </c>
      <c r="D63" s="1605">
        <f>3436497057.91</f>
        <v>3436497057.9099998</v>
      </c>
      <c r="E63" s="1605">
        <f>1280485.39</f>
        <v>1280485.3899999999</v>
      </c>
      <c r="F63" s="1605">
        <f>0</f>
        <v>0</v>
      </c>
      <c r="G63" s="1605">
        <f>1844.7</f>
        <v>1844.7</v>
      </c>
      <c r="H63" s="2001">
        <f>36500</f>
        <v>36500</v>
      </c>
      <c r="I63" s="2001"/>
      <c r="J63" s="1604">
        <v>6.4376687087542948</v>
      </c>
      <c r="K63" s="1604">
        <v>97.373855214734576</v>
      </c>
    </row>
    <row r="64" spans="1:12">
      <c r="A64" s="1592" t="s">
        <v>259</v>
      </c>
      <c r="B64" s="1593">
        <f>264265317.92</f>
        <v>264265317.91999999</v>
      </c>
      <c r="C64" s="1593">
        <f>188059921.52</f>
        <v>188059921.52000001</v>
      </c>
      <c r="D64" s="1593">
        <f>187818823.29</f>
        <v>187818823.28999999</v>
      </c>
      <c r="E64" s="1593">
        <f>12375552.39</f>
        <v>12375552.390000001</v>
      </c>
      <c r="F64" s="1593">
        <f>0</f>
        <v>0</v>
      </c>
      <c r="G64" s="1593">
        <f>0</f>
        <v>0</v>
      </c>
      <c r="H64" s="1986">
        <f>0</f>
        <v>0</v>
      </c>
      <c r="I64" s="1986"/>
      <c r="J64" s="1604">
        <v>0.3518453067858705</v>
      </c>
      <c r="K64" s="1604">
        <v>71.072066803278986</v>
      </c>
    </row>
    <row r="65" spans="1:14" ht="27">
      <c r="A65" s="1592" t="s">
        <v>260</v>
      </c>
      <c r="B65" s="1605">
        <f>24973129.29</f>
        <v>24973129.289999999</v>
      </c>
      <c r="C65" s="1605">
        <f>47995.48</f>
        <v>47995.48</v>
      </c>
      <c r="D65" s="1605">
        <f>47995.48</f>
        <v>47995.48</v>
      </c>
      <c r="E65" s="1605">
        <f>0</f>
        <v>0</v>
      </c>
      <c r="F65" s="1605">
        <f>0</f>
        <v>0</v>
      </c>
      <c r="G65" s="1605">
        <f>0</f>
        <v>0</v>
      </c>
      <c r="H65" s="2001">
        <f>0</f>
        <v>0</v>
      </c>
      <c r="I65" s="2001"/>
      <c r="J65" s="1604">
        <v>8.9911032819436378E-5</v>
      </c>
      <c r="K65" s="1604">
        <v>0.19218848964682553</v>
      </c>
    </row>
    <row r="66" spans="1:14">
      <c r="A66" s="1592" t="s">
        <v>261</v>
      </c>
      <c r="B66" s="1605">
        <f>14419071605.89</f>
        <v>14419071605.889999</v>
      </c>
      <c r="C66" s="1605">
        <f>14277844274.07</f>
        <v>14277844274.07</v>
      </c>
      <c r="D66" s="1605">
        <f>14276764731.92</f>
        <v>14276764731.92</v>
      </c>
      <c r="E66" s="1605">
        <f>158098623.5</f>
        <v>158098623.5</v>
      </c>
      <c r="F66" s="1605">
        <f>20582.37</f>
        <v>20582.37</v>
      </c>
      <c r="G66" s="1605">
        <f>85758.92</f>
        <v>85758.92</v>
      </c>
      <c r="H66" s="2001">
        <f>0</f>
        <v>0</v>
      </c>
      <c r="I66" s="2002"/>
      <c r="J66" s="1604">
        <v>26.744990619263127</v>
      </c>
      <c r="K66" s="1604">
        <v>99.013064933307717</v>
      </c>
    </row>
    <row r="67" spans="1:14">
      <c r="A67" s="1592" t="s">
        <v>262</v>
      </c>
      <c r="B67" s="1593">
        <f t="shared" ref="B67:H67" si="4">B61-B62-B63-B64-B65-B66</f>
        <v>12387331429.040001</v>
      </c>
      <c r="C67" s="1593">
        <f t="shared" si="4"/>
        <v>10930873230.219997</v>
      </c>
      <c r="D67" s="1593">
        <f t="shared" si="4"/>
        <v>10913183239.009996</v>
      </c>
      <c r="E67" s="1593">
        <f t="shared" si="4"/>
        <v>346007472.31000018</v>
      </c>
      <c r="F67" s="1593">
        <f t="shared" si="4"/>
        <v>415484.06999999995</v>
      </c>
      <c r="G67" s="1593">
        <f t="shared" si="4"/>
        <v>2405259.9600000004</v>
      </c>
      <c r="H67" s="2001">
        <f t="shared" si="4"/>
        <v>64584007.43999999</v>
      </c>
      <c r="I67" s="2001" t="e">
        <f>I61-I62-#REF!-I63-I64-I65-I66</f>
        <v>#REF!</v>
      </c>
      <c r="J67" s="1604">
        <v>20.443916309768145</v>
      </c>
      <c r="K67" s="1604">
        <v>88.099549943629398</v>
      </c>
    </row>
    <row r="68" spans="1:14">
      <c r="A68" s="1098" t="s">
        <v>263</v>
      </c>
      <c r="B68" s="1603">
        <f>B5-B58</f>
        <v>-3353203103.8099976</v>
      </c>
      <c r="C68" s="1603"/>
      <c r="D68" s="1603">
        <f>C5-D58</f>
        <v>3163272716.1299973</v>
      </c>
      <c r="E68" s="1440"/>
      <c r="F68" s="1440"/>
      <c r="G68" s="1440"/>
      <c r="H68" s="1947"/>
      <c r="I68" s="1947"/>
      <c r="J68" s="1102"/>
      <c r="K68" s="1102"/>
      <c r="L68" s="1103"/>
    </row>
    <row r="69" spans="1:14" ht="40.5">
      <c r="A69" s="1290" t="s">
        <v>1073</v>
      </c>
      <c r="B69" s="1603">
        <f>+B50-B61</f>
        <v>1770027610.4900055</v>
      </c>
      <c r="C69" s="1603"/>
      <c r="D69" s="1603">
        <f>+C50-D61</f>
        <v>5556745323.9199982</v>
      </c>
      <c r="E69" s="1440"/>
      <c r="F69" s="1440"/>
      <c r="G69" s="1440"/>
      <c r="H69" s="1440"/>
      <c r="I69" s="1440"/>
      <c r="J69" s="1102"/>
      <c r="K69" s="1102"/>
      <c r="L69" s="1103"/>
    </row>
    <row r="70" spans="1:14">
      <c r="A70" s="1288"/>
      <c r="B70" s="1440"/>
      <c r="C70" s="1440"/>
      <c r="D70" s="1440"/>
      <c r="E70" s="1440"/>
      <c r="F70" s="1440"/>
      <c r="G70" s="1440"/>
      <c r="H70" s="1440"/>
      <c r="I70" s="1440"/>
      <c r="J70" s="1102"/>
      <c r="K70" s="1102"/>
      <c r="L70" s="1103"/>
    </row>
    <row r="71" spans="1:14">
      <c r="A71" s="1385" t="s">
        <v>1074</v>
      </c>
      <c r="B71" s="1440"/>
      <c r="C71" s="1440"/>
      <c r="D71" s="1440"/>
      <c r="E71" s="1440"/>
      <c r="F71" s="1440"/>
      <c r="G71" s="1440"/>
      <c r="H71" s="1440"/>
      <c r="I71" s="1440"/>
      <c r="J71" s="1102"/>
      <c r="K71" s="1102"/>
      <c r="L71" s="1103"/>
    </row>
    <row r="72" spans="1:14">
      <c r="A72" s="1098" t="s">
        <v>1110</v>
      </c>
      <c r="B72" s="1590">
        <f>3353652566.6</f>
        <v>3353652566.5999999</v>
      </c>
      <c r="C72" s="1590">
        <f>2540261856.58</f>
        <v>2540261856.5799999</v>
      </c>
      <c r="D72" s="1590">
        <f>2530184121.59</f>
        <v>2530184121.5900002</v>
      </c>
      <c r="E72" s="1590">
        <f>67010606.1299999</f>
        <v>67010606.129999898</v>
      </c>
      <c r="F72" s="1590">
        <f>0</f>
        <v>0</v>
      </c>
      <c r="G72" s="1590">
        <f>173819.09</f>
        <v>173819.09</v>
      </c>
      <c r="H72" s="1590">
        <f>69518462.5</f>
        <v>69518462.5</v>
      </c>
      <c r="I72" s="1590">
        <f>0</f>
        <v>0</v>
      </c>
      <c r="J72" s="1602">
        <v>100</v>
      </c>
      <c r="K72" s="1602">
        <v>75.445624474903525</v>
      </c>
      <c r="L72" s="1103"/>
    </row>
    <row r="73" spans="1:14">
      <c r="A73" s="1491" t="s">
        <v>740</v>
      </c>
      <c r="B73" s="1593">
        <f>2941632675.3</f>
        <v>2941632675.3000002</v>
      </c>
      <c r="C73" s="1593">
        <f>2251160090.16</f>
        <v>2251160090.1599998</v>
      </c>
      <c r="D73" s="1593">
        <f>2241812065.48</f>
        <v>2241812065.48</v>
      </c>
      <c r="E73" s="1593">
        <f>63808310.63</f>
        <v>63808310.630000003</v>
      </c>
      <c r="F73" s="1593">
        <f>0</f>
        <v>0</v>
      </c>
      <c r="G73" s="1593">
        <f>173819.09</f>
        <v>173819.09</v>
      </c>
      <c r="H73" s="1593">
        <f>68923294.93</f>
        <v>68923294.930000007</v>
      </c>
      <c r="I73" s="1593">
        <f>0</f>
        <v>0</v>
      </c>
      <c r="J73" s="1604">
        <v>88.602724455926804</v>
      </c>
      <c r="K73" s="1604">
        <v>76.209789356224448</v>
      </c>
      <c r="L73" s="1103"/>
    </row>
    <row r="74" spans="1:14">
      <c r="A74" s="1492" t="s">
        <v>739</v>
      </c>
      <c r="B74" s="1593">
        <f>+B72-B73</f>
        <v>412019891.29999971</v>
      </c>
      <c r="C74" s="1593">
        <f t="shared" ref="C74:I74" si="5">+C72-C73</f>
        <v>289101766.42000008</v>
      </c>
      <c r="D74" s="1593">
        <f t="shared" si="5"/>
        <v>288372056.11000013</v>
      </c>
      <c r="E74" s="1593">
        <f t="shared" si="5"/>
        <v>3202295.4999998957</v>
      </c>
      <c r="F74" s="1593">
        <f t="shared" si="5"/>
        <v>0</v>
      </c>
      <c r="G74" s="1593">
        <f t="shared" si="5"/>
        <v>0</v>
      </c>
      <c r="H74" s="1593">
        <f t="shared" si="5"/>
        <v>595167.56999999285</v>
      </c>
      <c r="I74" s="1593">
        <f t="shared" si="5"/>
        <v>0</v>
      </c>
      <c r="J74" s="1604">
        <v>11.397275544073191</v>
      </c>
      <c r="K74" s="1604">
        <v>69.989838403221853</v>
      </c>
    </row>
    <row r="75" spans="1:14">
      <c r="A75" s="1357"/>
      <c r="B75" s="1358"/>
      <c r="C75" s="1358"/>
      <c r="D75" s="1358"/>
      <c r="E75" s="1358"/>
      <c r="F75" s="1358"/>
      <c r="G75" s="1358"/>
      <c r="H75" s="1358"/>
      <c r="I75" s="1358"/>
      <c r="J75" s="1331"/>
      <c r="K75" s="1331"/>
    </row>
    <row r="76" spans="1:14">
      <c r="A76" s="1357"/>
      <c r="B76" s="1358"/>
      <c r="C76" s="1358"/>
      <c r="D76" s="1358"/>
      <c r="E76" s="1358"/>
      <c r="F76" s="1358"/>
      <c r="G76" s="1358"/>
      <c r="H76" s="1358"/>
      <c r="I76" s="1358"/>
      <c r="J76" s="1331"/>
      <c r="K76" s="1331"/>
    </row>
    <row r="77" spans="1:14">
      <c r="A77" s="1357"/>
      <c r="B77" s="1358"/>
      <c r="C77" s="1358"/>
      <c r="D77" s="1358"/>
      <c r="E77" s="1358"/>
      <c r="F77" s="1358"/>
      <c r="G77" s="1358"/>
      <c r="H77" s="1358"/>
      <c r="I77" s="1358"/>
      <c r="J77" s="1331"/>
      <c r="K77" s="1331"/>
    </row>
    <row r="78" spans="1:14">
      <c r="A78" s="1993" t="s">
        <v>3</v>
      </c>
      <c r="B78" s="1993"/>
      <c r="C78" s="1993"/>
      <c r="D78" s="1993"/>
      <c r="E78" s="1993"/>
      <c r="F78" s="1993"/>
      <c r="G78" s="1993"/>
      <c r="H78" s="1993"/>
      <c r="I78" s="1993"/>
      <c r="J78" s="1993"/>
      <c r="K78" s="1993"/>
      <c r="L78" s="1993"/>
    </row>
    <row r="80" spans="1:14" ht="27">
      <c r="A80" s="1995" t="s">
        <v>68</v>
      </c>
      <c r="B80" s="1104" t="s">
        <v>1095</v>
      </c>
      <c r="C80" s="1608" t="s">
        <v>264</v>
      </c>
      <c r="D80" s="1608" t="s">
        <v>22</v>
      </c>
      <c r="E80" s="1608" t="s">
        <v>265</v>
      </c>
      <c r="M80" s="1513"/>
      <c r="N80" s="1513"/>
    </row>
    <row r="81" spans="1:14">
      <c r="A81" s="1995"/>
      <c r="B81" s="1999" t="s">
        <v>4</v>
      </c>
      <c r="C81" s="1999"/>
      <c r="D81" s="2000" t="s">
        <v>5</v>
      </c>
      <c r="E81" s="2000"/>
      <c r="G81" s="1291"/>
      <c r="M81" s="1513"/>
      <c r="N81" s="1513"/>
    </row>
    <row r="82" spans="1:14">
      <c r="A82" s="1200">
        <v>1</v>
      </c>
      <c r="B82" s="1609">
        <v>2</v>
      </c>
      <c r="C82" s="1609">
        <v>3</v>
      </c>
      <c r="D82" s="1609">
        <v>4</v>
      </c>
      <c r="E82" s="1609">
        <v>5</v>
      </c>
      <c r="M82" s="1513"/>
      <c r="N82" s="1513"/>
    </row>
    <row r="83" spans="1:14" ht="27">
      <c r="A83" s="1610" t="s">
        <v>266</v>
      </c>
      <c r="B83" s="1601">
        <f>5705265203.02</f>
        <v>5705265203.0200005</v>
      </c>
      <c r="C83" s="1601">
        <f>7197236550.21</f>
        <v>7197236550.21</v>
      </c>
      <c r="D83" s="1611">
        <v>100</v>
      </c>
      <c r="E83" s="1602">
        <v>126.15077992168086</v>
      </c>
      <c r="M83" s="1513"/>
      <c r="N83" s="1513"/>
    </row>
    <row r="84" spans="1:14" ht="27">
      <c r="A84" s="1612" t="s">
        <v>267</v>
      </c>
      <c r="B84" s="1595">
        <f>2231666613.2</f>
        <v>2231666613.1999998</v>
      </c>
      <c r="C84" s="1595">
        <f>1804647128.52</f>
        <v>1804647128.52</v>
      </c>
      <c r="D84" s="1613">
        <v>25.074167229745203</v>
      </c>
      <c r="E84" s="1604">
        <v>80.865444589517153</v>
      </c>
      <c r="M84" s="1513"/>
      <c r="N84" s="1513"/>
    </row>
    <row r="85" spans="1:14">
      <c r="A85" s="1614" t="s">
        <v>268</v>
      </c>
      <c r="B85" s="1595">
        <f>92758404.91</f>
        <v>92758404.909999996</v>
      </c>
      <c r="C85" s="1595">
        <f>92758000</f>
        <v>92758000</v>
      </c>
      <c r="D85" s="1613">
        <v>1.2888002131497751</v>
      </c>
      <c r="E85" s="1604">
        <v>99.999563478910204</v>
      </c>
      <c r="M85" s="1513"/>
      <c r="N85" s="1513"/>
    </row>
    <row r="86" spans="1:14">
      <c r="A86" s="1612" t="s">
        <v>269</v>
      </c>
      <c r="B86" s="1595">
        <f>18477997.46</f>
        <v>18477997.460000001</v>
      </c>
      <c r="C86" s="1595">
        <f>15303819.3</f>
        <v>15303819.300000001</v>
      </c>
      <c r="D86" s="1613">
        <v>0.21263465766667719</v>
      </c>
      <c r="E86" s="1604">
        <v>82.821849787179261</v>
      </c>
      <c r="M86" s="1513"/>
      <c r="N86" s="1513"/>
    </row>
    <row r="87" spans="1:14">
      <c r="A87" s="1612" t="s">
        <v>270</v>
      </c>
      <c r="B87" s="1595">
        <f>239296034.91</f>
        <v>239296034.91</v>
      </c>
      <c r="C87" s="1595">
        <f>579891503.35</f>
        <v>579891503.35000002</v>
      </c>
      <c r="D87" s="1613">
        <v>8.0571410888680592</v>
      </c>
      <c r="E87" s="1604">
        <v>242.33226579291173</v>
      </c>
      <c r="M87" s="1513"/>
      <c r="N87" s="1513"/>
    </row>
    <row r="88" spans="1:14" ht="40.5">
      <c r="A88" s="1612" t="s">
        <v>1102</v>
      </c>
      <c r="B88" s="1595">
        <f>1289554545.95</f>
        <v>1289554545.95</v>
      </c>
      <c r="C88" s="1595">
        <f>1638054937.69</f>
        <v>1638054937.6900001</v>
      </c>
      <c r="D88" s="1613">
        <v>22.759498402789124</v>
      </c>
      <c r="E88" s="1604">
        <v>127.02486628692886</v>
      </c>
      <c r="M88" s="1513"/>
      <c r="N88" s="1513"/>
    </row>
    <row r="89" spans="1:14">
      <c r="A89" s="1612" t="s">
        <v>272</v>
      </c>
      <c r="B89" s="1595">
        <f>650003.68</f>
        <v>650003.68000000005</v>
      </c>
      <c r="C89" s="1595">
        <f>650003.68</f>
        <v>650003.68000000005</v>
      </c>
      <c r="D89" s="1613">
        <v>9.0312952126192711E-3</v>
      </c>
      <c r="E89" s="1604">
        <v>100</v>
      </c>
      <c r="M89" s="1513"/>
      <c r="N89" s="1513"/>
    </row>
    <row r="90" spans="1:14" ht="27">
      <c r="A90" s="1612" t="s">
        <v>361</v>
      </c>
      <c r="B90" s="1595">
        <f>1915870358.42</f>
        <v>1915870358.4200001</v>
      </c>
      <c r="C90" s="1595">
        <f>3157792054.49</f>
        <v>3157792054.4899998</v>
      </c>
      <c r="D90" s="1613">
        <v>43.875062775279524</v>
      </c>
      <c r="E90" s="1604">
        <v>164.82284621252771</v>
      </c>
      <c r="M90" s="1513"/>
      <c r="N90" s="1513"/>
    </row>
    <row r="91" spans="1:14">
      <c r="A91" s="1612" t="s">
        <v>275</v>
      </c>
      <c r="B91" s="1595">
        <f>9749649.4</f>
        <v>9749649.4000000004</v>
      </c>
      <c r="C91" s="1595">
        <f>897103.18</f>
        <v>897103.18</v>
      </c>
      <c r="D91" s="1613">
        <v>1.2464550438790628E-2</v>
      </c>
      <c r="E91" s="1604">
        <v>9.2013891289260101</v>
      </c>
      <c r="M91" s="1513"/>
      <c r="N91" s="1513"/>
    </row>
    <row r="92" spans="1:14" ht="27">
      <c r="A92" s="1610" t="s">
        <v>276</v>
      </c>
      <c r="B92" s="1601">
        <f>2315398564.15</f>
        <v>2315398564.1500001</v>
      </c>
      <c r="C92" s="1601">
        <f>2028784516.09</f>
        <v>2028784516.0899999</v>
      </c>
      <c r="D92" s="1611">
        <v>100</v>
      </c>
      <c r="E92" s="1602">
        <v>87.621394756923067</v>
      </c>
      <c r="M92" s="1513"/>
      <c r="N92" s="1513"/>
    </row>
    <row r="93" spans="1:14" ht="27">
      <c r="A93" s="1612" t="s">
        <v>277</v>
      </c>
      <c r="B93" s="1595">
        <f>1677857380.23</f>
        <v>1677857380.23</v>
      </c>
      <c r="C93" s="1595">
        <f>1666647530.46</f>
        <v>1666647530.46</v>
      </c>
      <c r="D93" s="1613">
        <v>82.150051779381045</v>
      </c>
      <c r="E93" s="1604">
        <v>99.331894957099195</v>
      </c>
      <c r="M93" s="1513"/>
      <c r="N93" s="1513"/>
    </row>
    <row r="94" spans="1:14">
      <c r="A94" s="1612" t="s">
        <v>278</v>
      </c>
      <c r="B94" s="1595">
        <f>55840711.44</f>
        <v>55840711.439999998</v>
      </c>
      <c r="C94" s="1595">
        <f>55840711.44</f>
        <v>55840711.439999998</v>
      </c>
      <c r="D94" s="1613">
        <v>2.7524220042658696</v>
      </c>
      <c r="E94" s="1604">
        <v>100</v>
      </c>
      <c r="M94" s="1513"/>
      <c r="N94" s="1513"/>
    </row>
    <row r="95" spans="1:14">
      <c r="A95" s="1614" t="s">
        <v>360</v>
      </c>
      <c r="B95" s="1595">
        <f>19972106.11</f>
        <v>19972106.109999999</v>
      </c>
      <c r="C95" s="1595">
        <f>18856127.15</f>
        <v>18856127.149999999</v>
      </c>
      <c r="D95" s="1613">
        <v>0.92942976449468873</v>
      </c>
      <c r="E95" s="1604">
        <v>94.412312082393584</v>
      </c>
      <c r="M95" s="1513"/>
      <c r="N95" s="1513"/>
    </row>
    <row r="96" spans="1:14">
      <c r="A96" s="1612" t="s">
        <v>280</v>
      </c>
      <c r="B96" s="1595">
        <f>617569077.81</f>
        <v>617569077.80999994</v>
      </c>
      <c r="C96" s="1595">
        <f>343280858.48</f>
        <v>343280858.48000002</v>
      </c>
      <c r="D96" s="1613">
        <v>16.920518456124274</v>
      </c>
      <c r="E96" s="1604">
        <v>55.585823645401675</v>
      </c>
      <c r="M96" s="1513"/>
      <c r="N96" s="1513"/>
    </row>
  </sheetData>
  <mergeCells count="33">
    <mergeCell ref="H60:I60"/>
    <mergeCell ref="B56:I56"/>
    <mergeCell ref="A1:L1"/>
    <mergeCell ref="A80:A81"/>
    <mergeCell ref="B81:C81"/>
    <mergeCell ref="D81:E81"/>
    <mergeCell ref="H67:I67"/>
    <mergeCell ref="H68:I68"/>
    <mergeCell ref="A78:L78"/>
    <mergeCell ref="H62:I62"/>
    <mergeCell ref="H63:I63"/>
    <mergeCell ref="H64:I64"/>
    <mergeCell ref="H65:I65"/>
    <mergeCell ref="H66:I66"/>
    <mergeCell ref="H57:I57"/>
    <mergeCell ref="H58:I58"/>
    <mergeCell ref="H59:I59"/>
    <mergeCell ref="J56:K56"/>
    <mergeCell ref="H61:I61"/>
    <mergeCell ref="A2:A3"/>
    <mergeCell ref="B3:I3"/>
    <mergeCell ref="J3:L3"/>
    <mergeCell ref="A51:L51"/>
    <mergeCell ref="A53:A56"/>
    <mergeCell ref="B53:B55"/>
    <mergeCell ref="C53:C55"/>
    <mergeCell ref="D53:D55"/>
    <mergeCell ref="E53:G53"/>
    <mergeCell ref="H53:I55"/>
    <mergeCell ref="J53:J55"/>
    <mergeCell ref="K53:K55"/>
    <mergeCell ref="E54:E55"/>
    <mergeCell ref="F54:G54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78" orientation="landscape" r:id="rId1"/>
  <headerFooter alignWithMargins="0"/>
  <rowBreaks count="2" manualBreakCount="2">
    <brk id="36" max="11" man="1"/>
    <brk id="76" max="16383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70"/>
  <sheetViews>
    <sheetView showGridLines="0" zoomScaleNormal="100" zoomScaleSheetLayoutView="50" workbookViewId="0">
      <selection activeCell="T8" sqref="T8"/>
    </sheetView>
  </sheetViews>
  <sheetFormatPr defaultColWidth="9.140625" defaultRowHeight="13.5"/>
  <cols>
    <col min="1" max="1" width="27.7109375" style="1430" customWidth="1"/>
    <col min="2" max="3" width="12.28515625" style="1430" bestFit="1" customWidth="1"/>
    <col min="4" max="7" width="10.28515625" style="1430" bestFit="1" customWidth="1"/>
    <col min="8" max="8" width="10.85546875" style="1430" customWidth="1"/>
    <col min="9" max="9" width="10.28515625" style="1430" bestFit="1" customWidth="1"/>
    <col min="10" max="10" width="12.28515625" style="1430" bestFit="1" customWidth="1"/>
    <col min="11" max="11" width="10.28515625" style="1430" bestFit="1" customWidth="1"/>
    <col min="12" max="12" width="12.28515625" style="1430" customWidth="1"/>
    <col min="13" max="13" width="11.42578125" style="1430" bestFit="1" customWidth="1"/>
    <col min="14" max="14" width="12.7109375" style="1430" customWidth="1"/>
    <col min="15" max="17" width="9.28515625" style="1430" bestFit="1" customWidth="1"/>
    <col min="18" max="18" width="9.140625" style="1430"/>
    <col min="19" max="16384" width="9.140625" style="1511"/>
  </cols>
  <sheetData>
    <row r="2" spans="1:17">
      <c r="A2" s="1978" t="s">
        <v>281</v>
      </c>
      <c r="B2" s="1978"/>
      <c r="C2" s="1978"/>
      <c r="D2" s="1978"/>
      <c r="E2" s="1978"/>
      <c r="F2" s="1978"/>
      <c r="G2" s="1978"/>
      <c r="H2" s="1978"/>
      <c r="I2" s="1978"/>
      <c r="J2" s="1978"/>
      <c r="K2" s="1978"/>
      <c r="L2" s="1978"/>
      <c r="M2" s="1978"/>
    </row>
    <row r="3" spans="1:17"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7">
      <c r="A4" s="2006" t="s">
        <v>68</v>
      </c>
      <c r="B4" s="2006" t="s">
        <v>282</v>
      </c>
      <c r="C4" s="2006" t="s">
        <v>283</v>
      </c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 t="s">
        <v>284</v>
      </c>
      <c r="P4" s="2006"/>
      <c r="Q4" s="2006"/>
    </row>
    <row r="5" spans="1:17">
      <c r="A5" s="2006"/>
      <c r="B5" s="2006"/>
      <c r="C5" s="2006" t="s">
        <v>285</v>
      </c>
      <c r="D5" s="2006" t="s">
        <v>286</v>
      </c>
      <c r="E5" s="2006" t="s">
        <v>287</v>
      </c>
      <c r="F5" s="2006" t="s">
        <v>288</v>
      </c>
      <c r="G5" s="2006" t="s">
        <v>289</v>
      </c>
      <c r="H5" s="2006" t="s">
        <v>290</v>
      </c>
      <c r="I5" s="2006" t="s">
        <v>291</v>
      </c>
      <c r="J5" s="2006" t="s">
        <v>292</v>
      </c>
      <c r="K5" s="2006" t="s">
        <v>293</v>
      </c>
      <c r="L5" s="2006" t="s">
        <v>294</v>
      </c>
      <c r="M5" s="2006" t="s">
        <v>295</v>
      </c>
      <c r="N5" s="2006" t="s">
        <v>296</v>
      </c>
      <c r="O5" s="2006" t="s">
        <v>297</v>
      </c>
      <c r="P5" s="2006" t="s">
        <v>298</v>
      </c>
      <c r="Q5" s="2006" t="s">
        <v>299</v>
      </c>
    </row>
    <row r="6" spans="1:17">
      <c r="A6" s="2006"/>
      <c r="B6" s="2006"/>
      <c r="C6" s="2006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</row>
    <row r="7" spans="1:17">
      <c r="A7" s="2006"/>
      <c r="B7" s="2006"/>
      <c r="C7" s="2006"/>
      <c r="D7" s="2006"/>
      <c r="E7" s="2006"/>
      <c r="F7" s="2006"/>
      <c r="G7" s="2006"/>
      <c r="H7" s="2006"/>
      <c r="I7" s="2006"/>
      <c r="J7" s="2006"/>
      <c r="K7" s="2006"/>
      <c r="L7" s="2006"/>
      <c r="M7" s="2006"/>
      <c r="N7" s="2006"/>
      <c r="O7" s="2006"/>
      <c r="P7" s="2006"/>
      <c r="Q7" s="2006"/>
    </row>
    <row r="8" spans="1:17" ht="42.6" customHeight="1">
      <c r="A8" s="2006"/>
      <c r="B8" s="2006"/>
      <c r="C8" s="2006"/>
      <c r="D8" s="2006"/>
      <c r="E8" s="2006"/>
      <c r="F8" s="2006"/>
      <c r="G8" s="2006"/>
      <c r="H8" s="2006"/>
      <c r="I8" s="2006"/>
      <c r="J8" s="2006"/>
      <c r="K8" s="2006"/>
      <c r="L8" s="2006"/>
      <c r="M8" s="2006"/>
      <c r="N8" s="2006"/>
      <c r="O8" s="2006"/>
      <c r="P8" s="2006"/>
      <c r="Q8" s="2006"/>
    </row>
    <row r="9" spans="1:17">
      <c r="A9" s="2006"/>
      <c r="B9" s="2009" t="s">
        <v>4</v>
      </c>
      <c r="C9" s="2009"/>
      <c r="D9" s="2009"/>
      <c r="E9" s="2009"/>
      <c r="F9" s="2009"/>
      <c r="G9" s="2009"/>
      <c r="H9" s="2009"/>
      <c r="I9" s="2009"/>
      <c r="J9" s="2009"/>
      <c r="K9" s="2009"/>
      <c r="L9" s="2009"/>
      <c r="M9" s="2009"/>
      <c r="N9" s="2009"/>
      <c r="O9" s="1999"/>
      <c r="P9" s="1999"/>
      <c r="Q9" s="1999"/>
    </row>
    <row r="10" spans="1:17">
      <c r="A10" s="1287" t="s">
        <v>887</v>
      </c>
      <c r="B10" s="1287" t="s">
        <v>888</v>
      </c>
      <c r="C10" s="1287" t="s">
        <v>889</v>
      </c>
      <c r="D10" s="1287" t="s">
        <v>890</v>
      </c>
      <c r="E10" s="1287" t="s">
        <v>891</v>
      </c>
      <c r="F10" s="1287" t="s">
        <v>892</v>
      </c>
      <c r="G10" s="1287" t="s">
        <v>893</v>
      </c>
      <c r="H10" s="1287" t="s">
        <v>894</v>
      </c>
      <c r="I10" s="1287" t="s">
        <v>932</v>
      </c>
      <c r="J10" s="1287" t="s">
        <v>966</v>
      </c>
      <c r="K10" s="1287" t="s">
        <v>967</v>
      </c>
      <c r="L10" s="1287" t="s">
        <v>969</v>
      </c>
      <c r="M10" s="1287" t="s">
        <v>1070</v>
      </c>
      <c r="N10" s="1287" t="s">
        <v>1096</v>
      </c>
      <c r="O10" s="1287" t="s">
        <v>1097</v>
      </c>
      <c r="P10" s="1287" t="s">
        <v>1098</v>
      </c>
      <c r="Q10" s="1287" t="s">
        <v>1099</v>
      </c>
    </row>
    <row r="11" spans="1:17" ht="27">
      <c r="A11" s="1615" t="s">
        <v>368</v>
      </c>
      <c r="B11" s="1616">
        <f>13151498840.44</f>
        <v>13151498840.440001</v>
      </c>
      <c r="C11" s="1616">
        <f>13151498840.44</f>
        <v>13151498840.440001</v>
      </c>
      <c r="D11" s="1616">
        <f>807228856.29</f>
        <v>807228856.28999996</v>
      </c>
      <c r="E11" s="1616">
        <f>113453372.28</f>
        <v>113453372.28</v>
      </c>
      <c r="F11" s="1616">
        <f>153770026.2</f>
        <v>153770026.19999999</v>
      </c>
      <c r="G11" s="1616">
        <f>536556732.63</f>
        <v>536556732.63</v>
      </c>
      <c r="H11" s="1616">
        <f>3448725.18</f>
        <v>3448725.18</v>
      </c>
      <c r="I11" s="1616">
        <f>0</f>
        <v>0</v>
      </c>
      <c r="J11" s="1616">
        <f>11587884617.71</f>
        <v>11587884617.709999</v>
      </c>
      <c r="K11" s="1616">
        <f>667990904.99</f>
        <v>667990904.99000001</v>
      </c>
      <c r="L11" s="1616">
        <f>76772622.05</f>
        <v>76772622.049999997</v>
      </c>
      <c r="M11" s="1616">
        <f>7526526.37</f>
        <v>7526526.3700000001</v>
      </c>
      <c r="N11" s="1616">
        <f>4095313.03</f>
        <v>4095313.03</v>
      </c>
      <c r="O11" s="1616">
        <f>0</f>
        <v>0</v>
      </c>
      <c r="P11" s="1616">
        <f>0</f>
        <v>0</v>
      </c>
      <c r="Q11" s="1616">
        <f>0</f>
        <v>0</v>
      </c>
    </row>
    <row r="12" spans="1:17" ht="27">
      <c r="A12" s="1617" t="s">
        <v>367</v>
      </c>
      <c r="B12" s="1616">
        <f>198299000</f>
        <v>198299000</v>
      </c>
      <c r="C12" s="1616">
        <f>198299000</f>
        <v>198299000</v>
      </c>
      <c r="D12" s="1616">
        <f>0</f>
        <v>0</v>
      </c>
      <c r="E12" s="1616">
        <f>0</f>
        <v>0</v>
      </c>
      <c r="F12" s="1616">
        <f>0</f>
        <v>0</v>
      </c>
      <c r="G12" s="1616">
        <f>0</f>
        <v>0</v>
      </c>
      <c r="H12" s="1616">
        <f>0</f>
        <v>0</v>
      </c>
      <c r="I12" s="1616">
        <f>0</f>
        <v>0</v>
      </c>
      <c r="J12" s="1616">
        <f>182062000</f>
        <v>182062000</v>
      </c>
      <c r="K12" s="1616">
        <f>16237000</f>
        <v>16237000</v>
      </c>
      <c r="L12" s="1616">
        <f>0</f>
        <v>0</v>
      </c>
      <c r="M12" s="1616">
        <f>0</f>
        <v>0</v>
      </c>
      <c r="N12" s="1616">
        <f>0</f>
        <v>0</v>
      </c>
      <c r="O12" s="1616">
        <f>0</f>
        <v>0</v>
      </c>
      <c r="P12" s="1616">
        <f>0</f>
        <v>0</v>
      </c>
      <c r="Q12" s="1616">
        <f>0</f>
        <v>0</v>
      </c>
    </row>
    <row r="13" spans="1:17">
      <c r="A13" s="1618" t="s">
        <v>711</v>
      </c>
      <c r="B13" s="1616">
        <f>4000000</f>
        <v>4000000</v>
      </c>
      <c r="C13" s="1616">
        <f>4000000</f>
        <v>4000000</v>
      </c>
      <c r="D13" s="1616">
        <f>0</f>
        <v>0</v>
      </c>
      <c r="E13" s="1616">
        <f>0</f>
        <v>0</v>
      </c>
      <c r="F13" s="1616">
        <f>0</f>
        <v>0</v>
      </c>
      <c r="G13" s="1616">
        <f>0</f>
        <v>0</v>
      </c>
      <c r="H13" s="1616">
        <f>0</f>
        <v>0</v>
      </c>
      <c r="I13" s="1616">
        <f>0</f>
        <v>0</v>
      </c>
      <c r="J13" s="1616">
        <f>4000000</f>
        <v>4000000</v>
      </c>
      <c r="K13" s="1616">
        <f>0</f>
        <v>0</v>
      </c>
      <c r="L13" s="1616">
        <f>0</f>
        <v>0</v>
      </c>
      <c r="M13" s="1616">
        <f>0</f>
        <v>0</v>
      </c>
      <c r="N13" s="1616">
        <f>0</f>
        <v>0</v>
      </c>
      <c r="O13" s="1616">
        <f>0</f>
        <v>0</v>
      </c>
      <c r="P13" s="1616">
        <f>0</f>
        <v>0</v>
      </c>
      <c r="Q13" s="1616">
        <f>0</f>
        <v>0</v>
      </c>
    </row>
    <row r="14" spans="1:17">
      <c r="A14" s="1618" t="s">
        <v>302</v>
      </c>
      <c r="B14" s="1616">
        <f>194299000</f>
        <v>194299000</v>
      </c>
      <c r="C14" s="1616">
        <f>194299000</f>
        <v>194299000</v>
      </c>
      <c r="D14" s="1616">
        <f>0</f>
        <v>0</v>
      </c>
      <c r="E14" s="1616">
        <f>0</f>
        <v>0</v>
      </c>
      <c r="F14" s="1616">
        <f>0</f>
        <v>0</v>
      </c>
      <c r="G14" s="1616">
        <f>0</f>
        <v>0</v>
      </c>
      <c r="H14" s="1616">
        <f>0</f>
        <v>0</v>
      </c>
      <c r="I14" s="1616">
        <f>0</f>
        <v>0</v>
      </c>
      <c r="J14" s="1616">
        <f>178062000</f>
        <v>178062000</v>
      </c>
      <c r="K14" s="1616">
        <f>16237000</f>
        <v>16237000</v>
      </c>
      <c r="L14" s="1616">
        <f>0</f>
        <v>0</v>
      </c>
      <c r="M14" s="1616">
        <f>0</f>
        <v>0</v>
      </c>
      <c r="N14" s="1616">
        <f>0</f>
        <v>0</v>
      </c>
      <c r="O14" s="1616">
        <f>0</f>
        <v>0</v>
      </c>
      <c r="P14" s="1616">
        <f>0</f>
        <v>0</v>
      </c>
      <c r="Q14" s="1616">
        <f>0</f>
        <v>0</v>
      </c>
    </row>
    <row r="15" spans="1:17" ht="27">
      <c r="A15" s="1617" t="s">
        <v>366</v>
      </c>
      <c r="B15" s="1616">
        <f>12936608455.73</f>
        <v>12936608455.73</v>
      </c>
      <c r="C15" s="1616">
        <f>12936608455.73</f>
        <v>12936608455.73</v>
      </c>
      <c r="D15" s="1616">
        <f>798966102.66</f>
        <v>798966102.65999997</v>
      </c>
      <c r="E15" s="1616">
        <f>113449601.22</f>
        <v>113449601.22</v>
      </c>
      <c r="F15" s="1616">
        <f>153767513.2</f>
        <v>153767513.19999999</v>
      </c>
      <c r="G15" s="1616">
        <f>531748988.24</f>
        <v>531748988.24000001</v>
      </c>
      <c r="H15" s="1616">
        <f>0</f>
        <v>0</v>
      </c>
      <c r="I15" s="1616">
        <f>0</f>
        <v>0</v>
      </c>
      <c r="J15" s="1616">
        <f>11405821919.01</f>
        <v>11405821919.01</v>
      </c>
      <c r="K15" s="1616">
        <f>651753813.48</f>
        <v>651753813.48000002</v>
      </c>
      <c r="L15" s="1616">
        <f>72127550.01</f>
        <v>72127550.010000005</v>
      </c>
      <c r="M15" s="1616">
        <f>4716210.72</f>
        <v>4716210.72</v>
      </c>
      <c r="N15" s="1616">
        <f>3222859.85</f>
        <v>3222859.85</v>
      </c>
      <c r="O15" s="1616">
        <f>0</f>
        <v>0</v>
      </c>
      <c r="P15" s="1616">
        <f>0</f>
        <v>0</v>
      </c>
      <c r="Q15" s="1616">
        <f>0</f>
        <v>0</v>
      </c>
    </row>
    <row r="16" spans="1:17">
      <c r="A16" s="1618" t="s">
        <v>710</v>
      </c>
      <c r="B16" s="1616">
        <f>25465554.13</f>
        <v>25465554.129999999</v>
      </c>
      <c r="C16" s="1616">
        <f>25465554.13</f>
        <v>25465554.129999999</v>
      </c>
      <c r="D16" s="1616">
        <f>5015764.64</f>
        <v>5015764.6399999997</v>
      </c>
      <c r="E16" s="1616">
        <f>4701425.64</f>
        <v>4701425.6399999997</v>
      </c>
      <c r="F16" s="1616">
        <f>0</f>
        <v>0</v>
      </c>
      <c r="G16" s="1616">
        <f>314339</f>
        <v>314339</v>
      </c>
      <c r="H16" s="1616">
        <f>0</f>
        <v>0</v>
      </c>
      <c r="I16" s="1616">
        <f>0</f>
        <v>0</v>
      </c>
      <c r="J16" s="1616">
        <f>14013569.44</f>
        <v>14013569.439999999</v>
      </c>
      <c r="K16" s="1616">
        <f>6094460.54</f>
        <v>6094460.54</v>
      </c>
      <c r="L16" s="1616">
        <f>21759.51</f>
        <v>21759.51</v>
      </c>
      <c r="M16" s="1616">
        <f>0</f>
        <v>0</v>
      </c>
      <c r="N16" s="1616">
        <f>320000</f>
        <v>320000</v>
      </c>
      <c r="O16" s="1616">
        <f>0</f>
        <v>0</v>
      </c>
      <c r="P16" s="1616">
        <f>0</f>
        <v>0</v>
      </c>
      <c r="Q16" s="1616">
        <f>0</f>
        <v>0</v>
      </c>
    </row>
    <row r="17" spans="1:17">
      <c r="A17" s="1619" t="s">
        <v>304</v>
      </c>
      <c r="B17" s="1616">
        <f>12911142901.6</f>
        <v>12911142901.6</v>
      </c>
      <c r="C17" s="1616">
        <f>12911142901.6</f>
        <v>12911142901.6</v>
      </c>
      <c r="D17" s="1616">
        <f>793950338.02</f>
        <v>793950338.01999998</v>
      </c>
      <c r="E17" s="1616">
        <f>108748175.58</f>
        <v>108748175.58</v>
      </c>
      <c r="F17" s="1616">
        <f>153767513.2</f>
        <v>153767513.19999999</v>
      </c>
      <c r="G17" s="1616">
        <f>531434649.24</f>
        <v>531434649.24000001</v>
      </c>
      <c r="H17" s="1616">
        <f>0</f>
        <v>0</v>
      </c>
      <c r="I17" s="1616">
        <f>0</f>
        <v>0</v>
      </c>
      <c r="J17" s="1616">
        <f>11391808349.57</f>
        <v>11391808349.57</v>
      </c>
      <c r="K17" s="1616">
        <f>645659352.94</f>
        <v>645659352.94000006</v>
      </c>
      <c r="L17" s="1616">
        <f>72105790.5</f>
        <v>72105790.5</v>
      </c>
      <c r="M17" s="1616">
        <f>4716210.72</f>
        <v>4716210.72</v>
      </c>
      <c r="N17" s="1616">
        <f>2902859.85</f>
        <v>2902859.85</v>
      </c>
      <c r="O17" s="1616">
        <f>0</f>
        <v>0</v>
      </c>
      <c r="P17" s="1616">
        <f>0</f>
        <v>0</v>
      </c>
      <c r="Q17" s="1616">
        <f>0</f>
        <v>0</v>
      </c>
    </row>
    <row r="18" spans="1:17">
      <c r="A18" s="1620" t="s">
        <v>305</v>
      </c>
      <c r="B18" s="1616">
        <f>0</f>
        <v>0</v>
      </c>
      <c r="C18" s="1616">
        <f>0</f>
        <v>0</v>
      </c>
      <c r="D18" s="1616">
        <f>0</f>
        <v>0</v>
      </c>
      <c r="E18" s="1616">
        <f>0</f>
        <v>0</v>
      </c>
      <c r="F18" s="1616">
        <f>0</f>
        <v>0</v>
      </c>
      <c r="G18" s="1616">
        <f>0</f>
        <v>0</v>
      </c>
      <c r="H18" s="1616">
        <f>0</f>
        <v>0</v>
      </c>
      <c r="I18" s="1616">
        <f>0</f>
        <v>0</v>
      </c>
      <c r="J18" s="1616">
        <f>0</f>
        <v>0</v>
      </c>
      <c r="K18" s="1616">
        <f>0</f>
        <v>0</v>
      </c>
      <c r="L18" s="1616">
        <f>0</f>
        <v>0</v>
      </c>
      <c r="M18" s="1616">
        <f>0</f>
        <v>0</v>
      </c>
      <c r="N18" s="1616">
        <f>0</f>
        <v>0</v>
      </c>
      <c r="O18" s="1616">
        <f>0</f>
        <v>0</v>
      </c>
      <c r="P18" s="1616">
        <f>0</f>
        <v>0</v>
      </c>
      <c r="Q18" s="1616">
        <f>0</f>
        <v>0</v>
      </c>
    </row>
    <row r="19" spans="1:17" ht="27">
      <c r="A19" s="1621" t="s">
        <v>365</v>
      </c>
      <c r="B19" s="1616">
        <f>16591384.71</f>
        <v>16591384.710000001</v>
      </c>
      <c r="C19" s="1616">
        <f>16591384.71</f>
        <v>16591384.710000001</v>
      </c>
      <c r="D19" s="1616">
        <f>8262753.63</f>
        <v>8262753.6299999999</v>
      </c>
      <c r="E19" s="1616">
        <f>3771.06</f>
        <v>3771.06</v>
      </c>
      <c r="F19" s="1616">
        <f>2513</f>
        <v>2513</v>
      </c>
      <c r="G19" s="1616">
        <f>4807744.39</f>
        <v>4807744.3899999997</v>
      </c>
      <c r="H19" s="1616">
        <f>3448725.18</f>
        <v>3448725.18</v>
      </c>
      <c r="I19" s="1616">
        <f>0</f>
        <v>0</v>
      </c>
      <c r="J19" s="1616">
        <f>698.7</f>
        <v>698.7</v>
      </c>
      <c r="K19" s="1616">
        <f>91.51</f>
        <v>91.51</v>
      </c>
      <c r="L19" s="1616">
        <f>4645072.04</f>
        <v>4645072.04</v>
      </c>
      <c r="M19" s="1616">
        <f>2810315.65</f>
        <v>2810315.65</v>
      </c>
      <c r="N19" s="1616">
        <f>872453.18</f>
        <v>872453.18</v>
      </c>
      <c r="O19" s="1616">
        <f>0</f>
        <v>0</v>
      </c>
      <c r="P19" s="1616">
        <f>0</f>
        <v>0</v>
      </c>
      <c r="Q19" s="1616">
        <f>0</f>
        <v>0</v>
      </c>
    </row>
    <row r="20" spans="1:17">
      <c r="A20" s="1618" t="s">
        <v>307</v>
      </c>
      <c r="B20" s="1616">
        <f>6036192.32</f>
        <v>6036192.3200000003</v>
      </c>
      <c r="C20" s="1616">
        <f>6036192.32</f>
        <v>6036192.3200000003</v>
      </c>
      <c r="D20" s="1616">
        <f>219732.92</f>
        <v>219732.92</v>
      </c>
      <c r="E20" s="1616">
        <f>41.23</f>
        <v>41.23</v>
      </c>
      <c r="F20" s="1616">
        <f>1500</f>
        <v>1500</v>
      </c>
      <c r="G20" s="1616">
        <f>218191.69</f>
        <v>218191.69</v>
      </c>
      <c r="H20" s="1616">
        <f>0</f>
        <v>0</v>
      </c>
      <c r="I20" s="1616">
        <f>0</f>
        <v>0</v>
      </c>
      <c r="J20" s="1616">
        <f>0</f>
        <v>0</v>
      </c>
      <c r="K20" s="1616">
        <f>20</f>
        <v>20</v>
      </c>
      <c r="L20" s="1616">
        <f>3050640.22</f>
        <v>3050640.22</v>
      </c>
      <c r="M20" s="1616">
        <f>1893346</f>
        <v>1893346</v>
      </c>
      <c r="N20" s="1616">
        <f>872453.18</f>
        <v>872453.18</v>
      </c>
      <c r="O20" s="1616">
        <f>0</f>
        <v>0</v>
      </c>
      <c r="P20" s="1616">
        <f>0</f>
        <v>0</v>
      </c>
      <c r="Q20" s="1616">
        <f>0</f>
        <v>0</v>
      </c>
    </row>
    <row r="21" spans="1:17">
      <c r="A21" s="1619" t="s">
        <v>308</v>
      </c>
      <c r="B21" s="1616">
        <f>10555192.39</f>
        <v>10555192.390000001</v>
      </c>
      <c r="C21" s="1616">
        <f>10555192.39</f>
        <v>10555192.390000001</v>
      </c>
      <c r="D21" s="1616">
        <f>8043020.71</f>
        <v>8043020.71</v>
      </c>
      <c r="E21" s="1616">
        <f>3729.83</f>
        <v>3729.83</v>
      </c>
      <c r="F21" s="1616">
        <f>1013</f>
        <v>1013</v>
      </c>
      <c r="G21" s="1616">
        <f>4589552.7</f>
        <v>4589552.7</v>
      </c>
      <c r="H21" s="1616">
        <f>3448725.18</f>
        <v>3448725.18</v>
      </c>
      <c r="I21" s="1616">
        <f>0</f>
        <v>0</v>
      </c>
      <c r="J21" s="1616">
        <f>698.7</f>
        <v>698.7</v>
      </c>
      <c r="K21" s="1616">
        <f>71.51</f>
        <v>71.510000000000005</v>
      </c>
      <c r="L21" s="1616">
        <f>1594431.82</f>
        <v>1594431.82</v>
      </c>
      <c r="M21" s="1616">
        <f>916969.65</f>
        <v>916969.65</v>
      </c>
      <c r="N21" s="1616">
        <f>0</f>
        <v>0</v>
      </c>
      <c r="O21" s="1616">
        <f>0</f>
        <v>0</v>
      </c>
      <c r="P21" s="1616">
        <f>0</f>
        <v>0</v>
      </c>
      <c r="Q21" s="1616">
        <f>0</f>
        <v>0</v>
      </c>
    </row>
    <row r="22" spans="1:17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7">
      <c r="A23" s="1978" t="s">
        <v>309</v>
      </c>
      <c r="B23" s="1978"/>
      <c r="C23" s="1978"/>
      <c r="D23" s="1978"/>
      <c r="E23" s="1978"/>
      <c r="F23" s="1978"/>
      <c r="G23" s="1978"/>
      <c r="H23" s="1978"/>
      <c r="I23" s="1978"/>
      <c r="J23" s="1978"/>
      <c r="K23" s="1978"/>
      <c r="L23" s="1978"/>
      <c r="M23" s="1978"/>
    </row>
    <row r="25" spans="1:17">
      <c r="A25" s="2006" t="s">
        <v>68</v>
      </c>
      <c r="B25" s="2006" t="s">
        <v>310</v>
      </c>
      <c r="C25" s="2006" t="s">
        <v>311</v>
      </c>
      <c r="D25" s="2006"/>
      <c r="E25" s="2006"/>
      <c r="F25" s="2006"/>
      <c r="G25" s="2006"/>
      <c r="H25" s="2006"/>
      <c r="I25" s="2006"/>
      <c r="J25" s="2006"/>
      <c r="K25" s="2006"/>
      <c r="L25" s="2006"/>
      <c r="M25" s="2006"/>
      <c r="N25" s="2006"/>
      <c r="O25" s="2006" t="s">
        <v>312</v>
      </c>
      <c r="P25" s="2006"/>
      <c r="Q25" s="2006"/>
    </row>
    <row r="26" spans="1:17">
      <c r="A26" s="2006"/>
      <c r="B26" s="2006"/>
      <c r="C26" s="2006" t="s">
        <v>313</v>
      </c>
      <c r="D26" s="2006" t="s">
        <v>314</v>
      </c>
      <c r="E26" s="2006" t="s">
        <v>315</v>
      </c>
      <c r="F26" s="2006" t="s">
        <v>316</v>
      </c>
      <c r="G26" s="2006" t="s">
        <v>317</v>
      </c>
      <c r="H26" s="2006" t="s">
        <v>290</v>
      </c>
      <c r="I26" s="2006" t="s">
        <v>318</v>
      </c>
      <c r="J26" s="2006" t="s">
        <v>292</v>
      </c>
      <c r="K26" s="2006" t="s">
        <v>293</v>
      </c>
      <c r="L26" s="2006" t="s">
        <v>294</v>
      </c>
      <c r="M26" s="2006" t="s">
        <v>295</v>
      </c>
      <c r="N26" s="2010" t="s">
        <v>296</v>
      </c>
      <c r="O26" s="2006" t="s">
        <v>297</v>
      </c>
      <c r="P26" s="2006" t="s">
        <v>298</v>
      </c>
      <c r="Q26" s="2006" t="s">
        <v>299</v>
      </c>
    </row>
    <row r="27" spans="1:17">
      <c r="A27" s="2006"/>
      <c r="B27" s="2006"/>
      <c r="C27" s="2006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10"/>
      <c r="O27" s="2006"/>
      <c r="P27" s="2006"/>
      <c r="Q27" s="2006"/>
    </row>
    <row r="28" spans="1:17" ht="53.45" customHeight="1">
      <c r="A28" s="2006"/>
      <c r="B28" s="2006"/>
      <c r="C28" s="2006"/>
      <c r="D28" s="2006"/>
      <c r="E28" s="2006"/>
      <c r="F28" s="2006"/>
      <c r="G28" s="2006"/>
      <c r="H28" s="2006"/>
      <c r="I28" s="2006"/>
      <c r="J28" s="2006"/>
      <c r="K28" s="2006"/>
      <c r="L28" s="2006"/>
      <c r="M28" s="2006"/>
      <c r="N28" s="2010"/>
      <c r="O28" s="2006"/>
      <c r="P28" s="2006"/>
      <c r="Q28" s="2006"/>
    </row>
    <row r="29" spans="1:17">
      <c r="A29" s="2006"/>
      <c r="B29" s="2008" t="s">
        <v>4</v>
      </c>
      <c r="C29" s="2008"/>
      <c r="D29" s="2008"/>
      <c r="E29" s="2008"/>
      <c r="F29" s="2008"/>
      <c r="G29" s="2008"/>
      <c r="H29" s="2008"/>
      <c r="I29" s="2008"/>
      <c r="J29" s="2008"/>
      <c r="K29" s="2008"/>
      <c r="L29" s="2008"/>
      <c r="M29" s="2008"/>
      <c r="N29" s="2008"/>
      <c r="O29" s="2008"/>
      <c r="P29" s="2008"/>
      <c r="Q29" s="2008"/>
    </row>
    <row r="30" spans="1:17">
      <c r="A30" s="1287" t="s">
        <v>887</v>
      </c>
      <c r="B30" s="1287" t="s">
        <v>888</v>
      </c>
      <c r="C30" s="1287" t="s">
        <v>889</v>
      </c>
      <c r="D30" s="1287" t="s">
        <v>890</v>
      </c>
      <c r="E30" s="1287" t="s">
        <v>891</v>
      </c>
      <c r="F30" s="1287" t="s">
        <v>892</v>
      </c>
      <c r="G30" s="1287" t="s">
        <v>893</v>
      </c>
      <c r="H30" s="1287" t="s">
        <v>894</v>
      </c>
      <c r="I30" s="1287" t="s">
        <v>932</v>
      </c>
      <c r="J30" s="1287" t="s">
        <v>966</v>
      </c>
      <c r="K30" s="1287" t="s">
        <v>967</v>
      </c>
      <c r="L30" s="1287" t="s">
        <v>969</v>
      </c>
      <c r="M30" s="1287" t="s">
        <v>1070</v>
      </c>
      <c r="N30" s="1287" t="s">
        <v>1096</v>
      </c>
      <c r="O30" s="1287" t="s">
        <v>1097</v>
      </c>
      <c r="P30" s="1287" t="s">
        <v>1098</v>
      </c>
      <c r="Q30" s="1287" t="s">
        <v>1099</v>
      </c>
    </row>
    <row r="31" spans="1:17">
      <c r="A31" s="1622" t="s">
        <v>320</v>
      </c>
      <c r="B31" s="1623">
        <f>507556</f>
        <v>507556</v>
      </c>
      <c r="C31" s="1623">
        <f>507556</f>
        <v>507556</v>
      </c>
      <c r="D31" s="1623">
        <f>0</f>
        <v>0</v>
      </c>
      <c r="E31" s="1623">
        <f>0</f>
        <v>0</v>
      </c>
      <c r="F31" s="1623">
        <f>0</f>
        <v>0</v>
      </c>
      <c r="G31" s="1623">
        <f>0</f>
        <v>0</v>
      </c>
      <c r="H31" s="1623">
        <f>0</f>
        <v>0</v>
      </c>
      <c r="I31" s="1623">
        <f>0</f>
        <v>0</v>
      </c>
      <c r="J31" s="1623">
        <f>11925</f>
        <v>11925</v>
      </c>
      <c r="K31" s="1623">
        <f>4550</f>
        <v>4550</v>
      </c>
      <c r="L31" s="1623">
        <f>95430</f>
        <v>95430</v>
      </c>
      <c r="M31" s="1623">
        <f>395651</f>
        <v>395651</v>
      </c>
      <c r="N31" s="1623">
        <f>0</f>
        <v>0</v>
      </c>
      <c r="O31" s="1623">
        <f>0</f>
        <v>0</v>
      </c>
      <c r="P31" s="1623">
        <f>0</f>
        <v>0</v>
      </c>
      <c r="Q31" s="1623">
        <f>0</f>
        <v>0</v>
      </c>
    </row>
    <row r="32" spans="1:17">
      <c r="A32" s="1624" t="s">
        <v>709</v>
      </c>
      <c r="B32" s="1623">
        <f>70283.11</f>
        <v>70283.11</v>
      </c>
      <c r="C32" s="1623">
        <f>70283.11</f>
        <v>70283.11</v>
      </c>
      <c r="D32" s="1623">
        <f>0</f>
        <v>0</v>
      </c>
      <c r="E32" s="1623">
        <f>0</f>
        <v>0</v>
      </c>
      <c r="F32" s="1623">
        <f>0</f>
        <v>0</v>
      </c>
      <c r="G32" s="1623">
        <f>0</f>
        <v>0</v>
      </c>
      <c r="H32" s="1623">
        <f>0</f>
        <v>0</v>
      </c>
      <c r="I32" s="1623">
        <f>0</f>
        <v>0</v>
      </c>
      <c r="J32" s="1623">
        <f>6000</f>
        <v>6000</v>
      </c>
      <c r="K32" s="1623">
        <f>0</f>
        <v>0</v>
      </c>
      <c r="L32" s="1623">
        <f>38172</f>
        <v>38172</v>
      </c>
      <c r="M32" s="1623">
        <f>26111.11</f>
        <v>26111.11</v>
      </c>
      <c r="N32" s="1623">
        <f>0</f>
        <v>0</v>
      </c>
      <c r="O32" s="1623">
        <f>0</f>
        <v>0</v>
      </c>
      <c r="P32" s="1623">
        <f>0</f>
        <v>0</v>
      </c>
      <c r="Q32" s="1623">
        <f>0</f>
        <v>0</v>
      </c>
    </row>
    <row r="33" spans="1:17">
      <c r="A33" s="1624" t="s">
        <v>321</v>
      </c>
      <c r="B33" s="1623">
        <f>437272.89</f>
        <v>437272.89</v>
      </c>
      <c r="C33" s="1623">
        <f>437272.89</f>
        <v>437272.89</v>
      </c>
      <c r="D33" s="1623">
        <f>0</f>
        <v>0</v>
      </c>
      <c r="E33" s="1623">
        <f>0</f>
        <v>0</v>
      </c>
      <c r="F33" s="1623">
        <f>0</f>
        <v>0</v>
      </c>
      <c r="G33" s="1623">
        <f>0</f>
        <v>0</v>
      </c>
      <c r="H33" s="1623">
        <f>0</f>
        <v>0</v>
      </c>
      <c r="I33" s="1623">
        <f>0</f>
        <v>0</v>
      </c>
      <c r="J33" s="1623">
        <f>5925</f>
        <v>5925</v>
      </c>
      <c r="K33" s="1623">
        <f>4550</f>
        <v>4550</v>
      </c>
      <c r="L33" s="1623">
        <f>57258</f>
        <v>57258</v>
      </c>
      <c r="M33" s="1623">
        <f>369539.89</f>
        <v>369539.89</v>
      </c>
      <c r="N33" s="1623">
        <f>0</f>
        <v>0</v>
      </c>
      <c r="O33" s="1623">
        <f>0</f>
        <v>0</v>
      </c>
      <c r="P33" s="1623">
        <f>0</f>
        <v>0</v>
      </c>
      <c r="Q33" s="1623">
        <f>0</f>
        <v>0</v>
      </c>
    </row>
    <row r="34" spans="1:17">
      <c r="A34" s="1620" t="s">
        <v>322</v>
      </c>
      <c r="B34" s="1623">
        <f>137961695.84</f>
        <v>137961695.84</v>
      </c>
      <c r="C34" s="1623">
        <f>137961695.84</f>
        <v>137961695.84</v>
      </c>
      <c r="D34" s="1623">
        <f>8300749.94</f>
        <v>8300749.9400000004</v>
      </c>
      <c r="E34" s="1623">
        <f>7098.67</f>
        <v>7098.67</v>
      </c>
      <c r="F34" s="1623">
        <f>0</f>
        <v>0</v>
      </c>
      <c r="G34" s="1623">
        <f>8293651.27</f>
        <v>8293651.2699999996</v>
      </c>
      <c r="H34" s="1623">
        <f>0</f>
        <v>0</v>
      </c>
      <c r="I34" s="1623">
        <f>0</f>
        <v>0</v>
      </c>
      <c r="J34" s="1623">
        <f>1248.4</f>
        <v>1248.4000000000001</v>
      </c>
      <c r="K34" s="1623">
        <f>0</f>
        <v>0</v>
      </c>
      <c r="L34" s="1623">
        <f>46685380.46</f>
        <v>46685380.460000001</v>
      </c>
      <c r="M34" s="1623">
        <f>73359146.28</f>
        <v>73359146.280000001</v>
      </c>
      <c r="N34" s="1623">
        <f>9615170.76</f>
        <v>9615170.7599999998</v>
      </c>
      <c r="O34" s="1623">
        <f>0</f>
        <v>0</v>
      </c>
      <c r="P34" s="1623">
        <f>0</f>
        <v>0</v>
      </c>
      <c r="Q34" s="1623">
        <f>0</f>
        <v>0</v>
      </c>
    </row>
    <row r="35" spans="1:17">
      <c r="A35" s="1624" t="s">
        <v>708</v>
      </c>
      <c r="B35" s="1623">
        <f>5502541.21</f>
        <v>5502541.21</v>
      </c>
      <c r="C35" s="1623">
        <f>5502541.21</f>
        <v>5502541.21</v>
      </c>
      <c r="D35" s="1623">
        <f>974713.69</f>
        <v>974713.69</v>
      </c>
      <c r="E35" s="1623">
        <f>0</f>
        <v>0</v>
      </c>
      <c r="F35" s="1623">
        <f>0</f>
        <v>0</v>
      </c>
      <c r="G35" s="1623">
        <f>974713.69</f>
        <v>974713.69</v>
      </c>
      <c r="H35" s="1623">
        <f>0</f>
        <v>0</v>
      </c>
      <c r="I35" s="1623">
        <f>0</f>
        <v>0</v>
      </c>
      <c r="J35" s="1623">
        <f>0</f>
        <v>0</v>
      </c>
      <c r="K35" s="1623">
        <f>0</f>
        <v>0</v>
      </c>
      <c r="L35" s="1623">
        <f>197156.28</f>
        <v>197156.28</v>
      </c>
      <c r="M35" s="1623">
        <f>428183.84</f>
        <v>428183.84</v>
      </c>
      <c r="N35" s="1623">
        <f>3902487.4</f>
        <v>3902487.4</v>
      </c>
      <c r="O35" s="1623">
        <f>0</f>
        <v>0</v>
      </c>
      <c r="P35" s="1623">
        <f>0</f>
        <v>0</v>
      </c>
      <c r="Q35" s="1623">
        <f>0</f>
        <v>0</v>
      </c>
    </row>
    <row r="36" spans="1:17">
      <c r="A36" s="1624" t="s">
        <v>323</v>
      </c>
      <c r="B36" s="1623">
        <f>132459154.63</f>
        <v>132459154.63</v>
      </c>
      <c r="C36" s="1623">
        <f>132459154.63</f>
        <v>132459154.63</v>
      </c>
      <c r="D36" s="1623">
        <f>7326036.25</f>
        <v>7326036.25</v>
      </c>
      <c r="E36" s="1623">
        <f>7098.67</f>
        <v>7098.67</v>
      </c>
      <c r="F36" s="1623">
        <f>0</f>
        <v>0</v>
      </c>
      <c r="G36" s="1623">
        <f>7318937.58</f>
        <v>7318937.5800000001</v>
      </c>
      <c r="H36" s="1623">
        <f>0</f>
        <v>0</v>
      </c>
      <c r="I36" s="1623">
        <f>0</f>
        <v>0</v>
      </c>
      <c r="J36" s="1623">
        <f>1248.4</f>
        <v>1248.4000000000001</v>
      </c>
      <c r="K36" s="1623">
        <f>0</f>
        <v>0</v>
      </c>
      <c r="L36" s="1623">
        <f>46488224.18</f>
        <v>46488224.18</v>
      </c>
      <c r="M36" s="1623">
        <f>72930962.44</f>
        <v>72930962.439999998</v>
      </c>
      <c r="N36" s="1623">
        <f>5712683.36</f>
        <v>5712683.3600000003</v>
      </c>
      <c r="O36" s="1623">
        <f>0</f>
        <v>0</v>
      </c>
      <c r="P36" s="1623">
        <f>0</f>
        <v>0</v>
      </c>
      <c r="Q36" s="1623">
        <f>0</f>
        <v>0</v>
      </c>
    </row>
    <row r="37" spans="1:17" ht="27">
      <c r="A37" s="1622" t="s">
        <v>324</v>
      </c>
      <c r="B37" s="1623">
        <f>9195444520.56</f>
        <v>9195444520.5599995</v>
      </c>
      <c r="C37" s="1623">
        <f>9195444520.56</f>
        <v>9195444520.5599995</v>
      </c>
      <c r="D37" s="1623">
        <f>993917.94</f>
        <v>993917.94</v>
      </c>
      <c r="E37" s="1623">
        <f>629275.98</f>
        <v>629275.98</v>
      </c>
      <c r="F37" s="1623">
        <f>6250</f>
        <v>6250</v>
      </c>
      <c r="G37" s="1623">
        <f>358391.96</f>
        <v>358391.96</v>
      </c>
      <c r="H37" s="1623">
        <f>0</f>
        <v>0</v>
      </c>
      <c r="I37" s="1623">
        <f>0</f>
        <v>0</v>
      </c>
      <c r="J37" s="1623">
        <f>9187143429.07</f>
        <v>9187143429.0699997</v>
      </c>
      <c r="K37" s="1623">
        <f>6001.32</f>
        <v>6001.32</v>
      </c>
      <c r="L37" s="1623">
        <f>7204089.82</f>
        <v>7204089.8200000003</v>
      </c>
      <c r="M37" s="1623">
        <f>97082.41</f>
        <v>97082.41</v>
      </c>
      <c r="N37" s="1623">
        <f>0</f>
        <v>0</v>
      </c>
      <c r="O37" s="1623">
        <f>0</f>
        <v>0</v>
      </c>
      <c r="P37" s="1623">
        <f>0</f>
        <v>0</v>
      </c>
      <c r="Q37" s="1623">
        <f>0</f>
        <v>0</v>
      </c>
    </row>
    <row r="38" spans="1:17">
      <c r="A38" s="1624" t="s">
        <v>325</v>
      </c>
      <c r="B38" s="1623">
        <f>358391.96</f>
        <v>358391.96</v>
      </c>
      <c r="C38" s="1623">
        <f>358391.96</f>
        <v>358391.96</v>
      </c>
      <c r="D38" s="1623">
        <f>358391.96</f>
        <v>358391.96</v>
      </c>
      <c r="E38" s="1623">
        <f>0</f>
        <v>0</v>
      </c>
      <c r="F38" s="1623">
        <f>0</f>
        <v>0</v>
      </c>
      <c r="G38" s="1623">
        <f>358391.96</f>
        <v>358391.96</v>
      </c>
      <c r="H38" s="1623">
        <f>0</f>
        <v>0</v>
      </c>
      <c r="I38" s="1623">
        <f>0</f>
        <v>0</v>
      </c>
      <c r="J38" s="1623">
        <f>0</f>
        <v>0</v>
      </c>
      <c r="K38" s="1623">
        <f>0</f>
        <v>0</v>
      </c>
      <c r="L38" s="1623">
        <f>0</f>
        <v>0</v>
      </c>
      <c r="M38" s="1623">
        <f>0</f>
        <v>0</v>
      </c>
      <c r="N38" s="1623">
        <f>0</f>
        <v>0</v>
      </c>
      <c r="O38" s="1623">
        <f>0</f>
        <v>0</v>
      </c>
      <c r="P38" s="1623">
        <f>0</f>
        <v>0</v>
      </c>
      <c r="Q38" s="1623">
        <f>0</f>
        <v>0</v>
      </c>
    </row>
    <row r="39" spans="1:17">
      <c r="A39" s="1624" t="s">
        <v>326</v>
      </c>
      <c r="B39" s="1623">
        <f>8818768324.89</f>
        <v>8818768324.8899994</v>
      </c>
      <c r="C39" s="1623">
        <f>8818768324.89</f>
        <v>8818768324.8899994</v>
      </c>
      <c r="D39" s="1623">
        <f>578276.42</f>
        <v>578276.42000000004</v>
      </c>
      <c r="E39" s="1623">
        <f>572026.42</f>
        <v>572026.42000000004</v>
      </c>
      <c r="F39" s="1623">
        <f>6250</f>
        <v>6250</v>
      </c>
      <c r="G39" s="1623">
        <f>0</f>
        <v>0</v>
      </c>
      <c r="H39" s="1623">
        <f>0</f>
        <v>0</v>
      </c>
      <c r="I39" s="1623">
        <f>0</f>
        <v>0</v>
      </c>
      <c r="J39" s="1623">
        <f>8811024056.47</f>
        <v>8811024056.4699993</v>
      </c>
      <c r="K39" s="1623">
        <f>3495</f>
        <v>3495</v>
      </c>
      <c r="L39" s="1623">
        <f>7162457</f>
        <v>7162457</v>
      </c>
      <c r="M39" s="1623">
        <f>40</f>
        <v>40</v>
      </c>
      <c r="N39" s="1623">
        <f>0</f>
        <v>0</v>
      </c>
      <c r="O39" s="1623">
        <f>0</f>
        <v>0</v>
      </c>
      <c r="P39" s="1623">
        <f>0</f>
        <v>0</v>
      </c>
      <c r="Q39" s="1623">
        <f>0</f>
        <v>0</v>
      </c>
    </row>
    <row r="40" spans="1:17">
      <c r="A40" s="1624" t="s">
        <v>327</v>
      </c>
      <c r="B40" s="1623">
        <f>376317803.71</f>
        <v>376317803.70999998</v>
      </c>
      <c r="C40" s="1623">
        <f>376317803.71</f>
        <v>376317803.70999998</v>
      </c>
      <c r="D40" s="1623">
        <f>57249.56</f>
        <v>57249.56</v>
      </c>
      <c r="E40" s="1623">
        <f>57249.56</f>
        <v>57249.56</v>
      </c>
      <c r="F40" s="1623">
        <f>0</f>
        <v>0</v>
      </c>
      <c r="G40" s="1623">
        <f>0</f>
        <v>0</v>
      </c>
      <c r="H40" s="1623">
        <f>0</f>
        <v>0</v>
      </c>
      <c r="I40" s="1623">
        <f>0</f>
        <v>0</v>
      </c>
      <c r="J40" s="1623">
        <f>376119372.6</f>
        <v>376119372.60000002</v>
      </c>
      <c r="K40" s="1623">
        <f>2506.32</f>
        <v>2506.3200000000002</v>
      </c>
      <c r="L40" s="1623">
        <f>41632.82</f>
        <v>41632.82</v>
      </c>
      <c r="M40" s="1623">
        <f>97042.41</f>
        <v>97042.41</v>
      </c>
      <c r="N40" s="1623">
        <f>0</f>
        <v>0</v>
      </c>
      <c r="O40" s="1623">
        <f>0</f>
        <v>0</v>
      </c>
      <c r="P40" s="1623">
        <f>0</f>
        <v>0</v>
      </c>
      <c r="Q40" s="1623">
        <f>0</f>
        <v>0</v>
      </c>
    </row>
    <row r="41" spans="1:17">
      <c r="A41" s="1622" t="s">
        <v>364</v>
      </c>
      <c r="B41" s="1623">
        <f>3447039998.33</f>
        <v>3447039998.3299999</v>
      </c>
      <c r="C41" s="1623">
        <f>3438189894.22</f>
        <v>3438189894.2199998</v>
      </c>
      <c r="D41" s="1623">
        <f>70949202.53</f>
        <v>70949202.530000001</v>
      </c>
      <c r="E41" s="1623">
        <f>52162866.03</f>
        <v>52162866.030000001</v>
      </c>
      <c r="F41" s="1623">
        <f>1206414.83</f>
        <v>1206414.83</v>
      </c>
      <c r="G41" s="1623">
        <f>17460937.29</f>
        <v>17460937.289999999</v>
      </c>
      <c r="H41" s="1623">
        <f>118984.38</f>
        <v>118984.38</v>
      </c>
      <c r="I41" s="1623">
        <f>0</f>
        <v>0</v>
      </c>
      <c r="J41" s="1623">
        <f>239607.28</f>
        <v>239607.28</v>
      </c>
      <c r="K41" s="1623">
        <f>1483536.02</f>
        <v>1483536.02</v>
      </c>
      <c r="L41" s="1623">
        <f>763029216.01</f>
        <v>763029216.00999999</v>
      </c>
      <c r="M41" s="1623">
        <f>2580103863.99</f>
        <v>2580103863.9899998</v>
      </c>
      <c r="N41" s="1623">
        <f>22384468.39</f>
        <v>22384468.390000001</v>
      </c>
      <c r="O41" s="1623">
        <f>8850104.11</f>
        <v>8850104.1099999994</v>
      </c>
      <c r="P41" s="1623">
        <f>6711736.99</f>
        <v>6711736.9900000002</v>
      </c>
      <c r="Q41" s="1623">
        <f>2138367.12</f>
        <v>2138367.12</v>
      </c>
    </row>
    <row r="42" spans="1:17">
      <c r="A42" s="1625" t="s">
        <v>328</v>
      </c>
      <c r="B42" s="1623">
        <f>397259274.65</f>
        <v>397259274.64999998</v>
      </c>
      <c r="C42" s="1623">
        <f>397193786.42</f>
        <v>397193786.42000002</v>
      </c>
      <c r="D42" s="1623">
        <f>1679113.28</f>
        <v>1679113.28</v>
      </c>
      <c r="E42" s="1623">
        <f>665296.83</f>
        <v>665296.82999999996</v>
      </c>
      <c r="F42" s="1623">
        <f>38316.86</f>
        <v>38316.86</v>
      </c>
      <c r="G42" s="1623">
        <f>901286.94</f>
        <v>901286.94</v>
      </c>
      <c r="H42" s="1623">
        <f>74212.65</f>
        <v>74212.649999999994</v>
      </c>
      <c r="I42" s="1623">
        <f>0</f>
        <v>0</v>
      </c>
      <c r="J42" s="1623">
        <f>4559.57</f>
        <v>4559.57</v>
      </c>
      <c r="K42" s="1623">
        <f>225816.83</f>
        <v>225816.83</v>
      </c>
      <c r="L42" s="1623">
        <f>63003608.96</f>
        <v>63003608.960000001</v>
      </c>
      <c r="M42" s="1623">
        <f>328742213.65</f>
        <v>328742213.64999998</v>
      </c>
      <c r="N42" s="1623">
        <f>3538474.13</f>
        <v>3538474.13</v>
      </c>
      <c r="O42" s="1623">
        <f>65488.23</f>
        <v>65488.23</v>
      </c>
      <c r="P42" s="1623">
        <f>65488.23</f>
        <v>65488.23</v>
      </c>
      <c r="Q42" s="1623">
        <f>0</f>
        <v>0</v>
      </c>
    </row>
    <row r="43" spans="1:17">
      <c r="A43" s="1624" t="s">
        <v>329</v>
      </c>
      <c r="B43" s="1623">
        <f>3049780723.68</f>
        <v>3049780723.6799998</v>
      </c>
      <c r="C43" s="1623">
        <f>3040996107.8</f>
        <v>3040996107.8000002</v>
      </c>
      <c r="D43" s="1623">
        <f>69270089.25</f>
        <v>69270089.25</v>
      </c>
      <c r="E43" s="1623">
        <f>51497569.2</f>
        <v>51497569.200000003</v>
      </c>
      <c r="F43" s="1623">
        <f>1168097.97</f>
        <v>1168097.97</v>
      </c>
      <c r="G43" s="1623">
        <f>16559650.35</f>
        <v>16559650.35</v>
      </c>
      <c r="H43" s="1623">
        <f>44771.73</f>
        <v>44771.73</v>
      </c>
      <c r="I43" s="1623">
        <f>0</f>
        <v>0</v>
      </c>
      <c r="J43" s="1623">
        <f>235047.71</f>
        <v>235047.71</v>
      </c>
      <c r="K43" s="1623">
        <f>1257719.19</f>
        <v>1257719.19</v>
      </c>
      <c r="L43" s="1623">
        <f>700025607.05</f>
        <v>700025607.04999995</v>
      </c>
      <c r="M43" s="1623">
        <f>2251361650.34</f>
        <v>2251361650.3400002</v>
      </c>
      <c r="N43" s="1623">
        <f>18845994.26</f>
        <v>18845994.260000002</v>
      </c>
      <c r="O43" s="1623">
        <f>8784615.88</f>
        <v>8784615.8800000008</v>
      </c>
      <c r="P43" s="1623">
        <f>6646248.76</f>
        <v>6646248.7599999998</v>
      </c>
      <c r="Q43" s="1623">
        <f>2138367.12</f>
        <v>2138367.12</v>
      </c>
    </row>
    <row r="44" spans="1:17" ht="27">
      <c r="A44" s="1622" t="s">
        <v>330</v>
      </c>
      <c r="B44" s="1623">
        <f>681513941.5</f>
        <v>681513941.5</v>
      </c>
      <c r="C44" s="1623">
        <f>681440613.27</f>
        <v>681440613.26999998</v>
      </c>
      <c r="D44" s="1623">
        <f>139898788.94</f>
        <v>139898788.94</v>
      </c>
      <c r="E44" s="1623">
        <f>96565865.46</f>
        <v>96565865.459999993</v>
      </c>
      <c r="F44" s="1623">
        <f>4323479.86</f>
        <v>4323479.8600000003</v>
      </c>
      <c r="G44" s="1623">
        <f>38212331.84</f>
        <v>38212331.840000004</v>
      </c>
      <c r="H44" s="1623">
        <f>797111.78</f>
        <v>797111.78</v>
      </c>
      <c r="I44" s="1623">
        <f>0</f>
        <v>0</v>
      </c>
      <c r="J44" s="1623">
        <f>101429.78</f>
        <v>101429.78</v>
      </c>
      <c r="K44" s="1623">
        <f>1050825.44</f>
        <v>1050825.44</v>
      </c>
      <c r="L44" s="1623">
        <f>281969311.96</f>
        <v>281969311.95999998</v>
      </c>
      <c r="M44" s="1623">
        <f>248330667.82</f>
        <v>248330667.81999999</v>
      </c>
      <c r="N44" s="1623">
        <f>10089589.33</f>
        <v>10089589.33</v>
      </c>
      <c r="O44" s="1623">
        <f>73328.23</f>
        <v>73328.23</v>
      </c>
      <c r="P44" s="1623">
        <f>71019</f>
        <v>71019</v>
      </c>
      <c r="Q44" s="1623">
        <f>2309.23</f>
        <v>2309.23</v>
      </c>
    </row>
    <row r="45" spans="1:17">
      <c r="A45" s="1625" t="s">
        <v>331</v>
      </c>
      <c r="B45" s="1623">
        <f>145168142.58</f>
        <v>145168142.58000001</v>
      </c>
      <c r="C45" s="1623">
        <f>145095386.79</f>
        <v>145095386.78999999</v>
      </c>
      <c r="D45" s="1623">
        <f>13202577.27</f>
        <v>13202577.27</v>
      </c>
      <c r="E45" s="1623">
        <f>163843.74</f>
        <v>163843.74</v>
      </c>
      <c r="F45" s="1623">
        <f>2559635.84</f>
        <v>2559635.84</v>
      </c>
      <c r="G45" s="1623">
        <f>10459012.61</f>
        <v>10459012.609999999</v>
      </c>
      <c r="H45" s="1623">
        <f>20085.08</f>
        <v>20085.080000000002</v>
      </c>
      <c r="I45" s="1623">
        <f>0</f>
        <v>0</v>
      </c>
      <c r="J45" s="1623">
        <f>51940.05</f>
        <v>51940.05</v>
      </c>
      <c r="K45" s="1623">
        <f>69790.53</f>
        <v>69790.53</v>
      </c>
      <c r="L45" s="1623">
        <f>39735699.42</f>
        <v>39735699.420000002</v>
      </c>
      <c r="M45" s="1623">
        <f>87052849.02</f>
        <v>87052849.019999996</v>
      </c>
      <c r="N45" s="1623">
        <f>4982530.5</f>
        <v>4982530.5</v>
      </c>
      <c r="O45" s="1623">
        <f>72755.79</f>
        <v>72755.789999999994</v>
      </c>
      <c r="P45" s="1623">
        <f>70739.4</f>
        <v>70739.399999999994</v>
      </c>
      <c r="Q45" s="1623">
        <f>2016.39</f>
        <v>2016.39</v>
      </c>
    </row>
    <row r="46" spans="1:17" ht="27">
      <c r="A46" s="1625" t="s">
        <v>369</v>
      </c>
      <c r="B46" s="1623">
        <f>152442484.91</f>
        <v>152442484.91</v>
      </c>
      <c r="C46" s="1623">
        <f>152442205.91</f>
        <v>152442205.91</v>
      </c>
      <c r="D46" s="1623">
        <f>69164529.51</f>
        <v>69164529.510000005</v>
      </c>
      <c r="E46" s="1623">
        <f>66718718.59</f>
        <v>66718718.590000004</v>
      </c>
      <c r="F46" s="1623">
        <f>706330.42</f>
        <v>706330.42</v>
      </c>
      <c r="G46" s="1623">
        <f>1524822.54</f>
        <v>1524822.54</v>
      </c>
      <c r="H46" s="1623">
        <f>214657.96</f>
        <v>214657.96</v>
      </c>
      <c r="I46" s="1623">
        <f>0</f>
        <v>0</v>
      </c>
      <c r="J46" s="1623">
        <f>16973.82</f>
        <v>16973.82</v>
      </c>
      <c r="K46" s="1623">
        <f>951.62</f>
        <v>951.62</v>
      </c>
      <c r="L46" s="1623">
        <f>51921225.72</f>
        <v>51921225.719999999</v>
      </c>
      <c r="M46" s="1623">
        <f>31036471.95</f>
        <v>31036471.949999999</v>
      </c>
      <c r="N46" s="1623">
        <f>302053.29</f>
        <v>302053.28999999998</v>
      </c>
      <c r="O46" s="1623">
        <f>279</f>
        <v>279</v>
      </c>
      <c r="P46" s="1623">
        <f>279</f>
        <v>279</v>
      </c>
      <c r="Q46" s="1623">
        <f>0</f>
        <v>0</v>
      </c>
    </row>
    <row r="47" spans="1:17" ht="27">
      <c r="A47" s="1625" t="s">
        <v>333</v>
      </c>
      <c r="B47" s="1623">
        <f>383903314.01</f>
        <v>383903314.00999999</v>
      </c>
      <c r="C47" s="1623">
        <f>383903020.57</f>
        <v>383903020.56999999</v>
      </c>
      <c r="D47" s="1623">
        <f>57531682.16</f>
        <v>57531682.159999996</v>
      </c>
      <c r="E47" s="1623">
        <f>29683303.13</f>
        <v>29683303.129999999</v>
      </c>
      <c r="F47" s="1623">
        <f>1057513.6</f>
        <v>1057513.6000000001</v>
      </c>
      <c r="G47" s="1623">
        <f>26228496.69</f>
        <v>26228496.690000001</v>
      </c>
      <c r="H47" s="1623">
        <f>562368.74</f>
        <v>562368.74</v>
      </c>
      <c r="I47" s="1623">
        <f>0</f>
        <v>0</v>
      </c>
      <c r="J47" s="1623">
        <f>32515.91</f>
        <v>32515.91</v>
      </c>
      <c r="K47" s="1623">
        <f>980083.29</f>
        <v>980083.29</v>
      </c>
      <c r="L47" s="1623">
        <f>190312386.82</f>
        <v>190312386.81999999</v>
      </c>
      <c r="M47" s="1623">
        <f>130241346.85</f>
        <v>130241346.84999999</v>
      </c>
      <c r="N47" s="1623">
        <f>4805005.54</f>
        <v>4805005.54</v>
      </c>
      <c r="O47" s="1623">
        <f>293.44</f>
        <v>293.44</v>
      </c>
      <c r="P47" s="1623">
        <f>0.6</f>
        <v>0.6</v>
      </c>
      <c r="Q47" s="1623">
        <f>292.84</f>
        <v>292.83999999999997</v>
      </c>
    </row>
    <row r="48" spans="1:17">
      <c r="A48" s="1522"/>
      <c r="B48" s="1521"/>
      <c r="C48" s="1521"/>
      <c r="D48" s="1521"/>
      <c r="E48" s="1521"/>
      <c r="F48" s="1521"/>
      <c r="G48" s="1521"/>
      <c r="H48" s="1521"/>
      <c r="I48" s="1521"/>
      <c r="J48" s="1521"/>
      <c r="K48" s="1521"/>
      <c r="L48" s="1521"/>
      <c r="M48" s="1521"/>
      <c r="N48" s="1521"/>
      <c r="O48" s="1521"/>
      <c r="P48" s="1521"/>
      <c r="Q48" s="1521"/>
    </row>
    <row r="49" spans="1:18">
      <c r="A49" s="1522"/>
      <c r="B49" s="1521"/>
      <c r="C49" s="1521"/>
      <c r="D49" s="1521"/>
      <c r="E49" s="1521"/>
      <c r="F49" s="1521"/>
      <c r="G49" s="1521"/>
      <c r="H49" s="1521"/>
      <c r="I49" s="1521"/>
      <c r="J49" s="1521"/>
      <c r="K49" s="1521"/>
      <c r="L49" s="1521"/>
      <c r="M49" s="1521"/>
      <c r="N49" s="1521"/>
      <c r="O49" s="1521"/>
      <c r="P49" s="1521"/>
      <c r="Q49" s="1521"/>
    </row>
    <row r="50" spans="1:18">
      <c r="A50" s="1522"/>
      <c r="B50" s="1521"/>
      <c r="C50" s="1521"/>
      <c r="D50" s="1521"/>
      <c r="E50" s="1521"/>
      <c r="F50" s="1521"/>
      <c r="G50" s="1521"/>
      <c r="H50" s="1521"/>
      <c r="I50" s="1521"/>
      <c r="J50" s="1521"/>
      <c r="K50" s="1521"/>
      <c r="L50" s="1521"/>
      <c r="M50" s="1521"/>
      <c r="N50" s="1521"/>
      <c r="O50" s="1521"/>
      <c r="P50" s="1521"/>
      <c r="Q50" s="1521"/>
    </row>
    <row r="51" spans="1:18">
      <c r="A51" s="1522"/>
      <c r="B51" s="1521"/>
      <c r="C51" s="1521"/>
      <c r="D51" s="1521"/>
      <c r="E51" s="1521"/>
      <c r="F51" s="1521"/>
      <c r="G51" s="1521"/>
      <c r="H51" s="1521"/>
      <c r="I51" s="1521"/>
      <c r="J51" s="1521"/>
      <c r="K51" s="1521"/>
      <c r="L51" s="1521"/>
      <c r="M51" s="1521"/>
      <c r="N51" s="1521"/>
      <c r="O51" s="1521"/>
      <c r="P51" s="1521"/>
      <c r="Q51" s="1521"/>
    </row>
    <row r="52" spans="1:18">
      <c r="A52" s="1522"/>
      <c r="B52" s="1521"/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</row>
    <row r="53" spans="1:18">
      <c r="A53" s="1522"/>
      <c r="B53" s="1521"/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</row>
    <row r="55" spans="1:18">
      <c r="A55" s="1978" t="s">
        <v>334</v>
      </c>
      <c r="B55" s="1978"/>
      <c r="C55" s="1978"/>
      <c r="D55" s="1978"/>
      <c r="E55" s="1978"/>
      <c r="F55" s="1978"/>
      <c r="G55" s="1978"/>
      <c r="H55" s="1978"/>
      <c r="I55" s="1978"/>
      <c r="J55" s="1978"/>
      <c r="K55" s="1978"/>
      <c r="L55" s="1978"/>
      <c r="R55" s="1511"/>
    </row>
    <row r="56" spans="1:18">
      <c r="R56" s="1511"/>
    </row>
    <row r="57" spans="1:18">
      <c r="A57" s="2006" t="s">
        <v>68</v>
      </c>
      <c r="B57" s="2006"/>
      <c r="C57" s="2006"/>
      <c r="D57" s="2006"/>
      <c r="E57" s="2006" t="s">
        <v>335</v>
      </c>
      <c r="F57" s="2006" t="s">
        <v>336</v>
      </c>
      <c r="G57" s="2006"/>
      <c r="H57" s="2006"/>
      <c r="I57" s="2006"/>
      <c r="J57" s="2006"/>
      <c r="K57" s="2006"/>
      <c r="R57" s="1511"/>
    </row>
    <row r="58" spans="1:18">
      <c r="A58" s="2006"/>
      <c r="B58" s="2006"/>
      <c r="C58" s="2006"/>
      <c r="D58" s="2006"/>
      <c r="E58" s="2006"/>
      <c r="F58" s="2006" t="s">
        <v>337</v>
      </c>
      <c r="G58" s="2006" t="s">
        <v>287</v>
      </c>
      <c r="H58" s="2006" t="s">
        <v>288</v>
      </c>
      <c r="I58" s="2006" t="s">
        <v>317</v>
      </c>
      <c r="J58" s="2006" t="s">
        <v>338</v>
      </c>
      <c r="K58" s="2010" t="s">
        <v>339</v>
      </c>
      <c r="R58" s="1511"/>
    </row>
    <row r="59" spans="1:18">
      <c r="A59" s="2006"/>
      <c r="B59" s="2006"/>
      <c r="C59" s="2006"/>
      <c r="D59" s="2006"/>
      <c r="E59" s="2006"/>
      <c r="F59" s="2006"/>
      <c r="G59" s="2006"/>
      <c r="H59" s="2006"/>
      <c r="I59" s="2006"/>
      <c r="J59" s="2006"/>
      <c r="K59" s="2010"/>
      <c r="R59" s="1511"/>
    </row>
    <row r="60" spans="1:18">
      <c r="A60" s="2006"/>
      <c r="B60" s="2006"/>
      <c r="C60" s="2006"/>
      <c r="D60" s="2006"/>
      <c r="E60" s="2006"/>
      <c r="F60" s="2006"/>
      <c r="G60" s="2006"/>
      <c r="H60" s="2006"/>
      <c r="I60" s="2006"/>
      <c r="J60" s="2006"/>
      <c r="K60" s="2010"/>
      <c r="R60" s="1511"/>
    </row>
    <row r="61" spans="1:18" ht="25.9" customHeight="1">
      <c r="A61" s="2006"/>
      <c r="B61" s="2006"/>
      <c r="C61" s="2006"/>
      <c r="D61" s="2006"/>
      <c r="E61" s="2006"/>
      <c r="F61" s="2006"/>
      <c r="G61" s="2006"/>
      <c r="H61" s="2006"/>
      <c r="I61" s="2006"/>
      <c r="J61" s="2006"/>
      <c r="K61" s="2010"/>
      <c r="R61" s="1511"/>
    </row>
    <row r="62" spans="1:18">
      <c r="A62" s="2006"/>
      <c r="B62" s="2006"/>
      <c r="C62" s="2006"/>
      <c r="D62" s="2006"/>
      <c r="E62" s="2008" t="s">
        <v>4</v>
      </c>
      <c r="F62" s="1999"/>
      <c r="G62" s="1999"/>
      <c r="H62" s="1999"/>
      <c r="I62" s="1999"/>
      <c r="J62" s="1999"/>
      <c r="K62" s="1999"/>
      <c r="R62" s="1511"/>
    </row>
    <row r="63" spans="1:18">
      <c r="A63" s="2007" t="s">
        <v>887</v>
      </c>
      <c r="B63" s="2007"/>
      <c r="C63" s="2007"/>
      <c r="D63" s="2007"/>
      <c r="E63" s="1287" t="s">
        <v>888</v>
      </c>
      <c r="F63" s="1287" t="s">
        <v>889</v>
      </c>
      <c r="G63" s="1287" t="s">
        <v>890</v>
      </c>
      <c r="H63" s="1287" t="s">
        <v>891</v>
      </c>
      <c r="I63" s="1287" t="s">
        <v>892</v>
      </c>
      <c r="J63" s="1287" t="s">
        <v>893</v>
      </c>
      <c r="K63" s="1287" t="s">
        <v>894</v>
      </c>
      <c r="R63" s="1511"/>
    </row>
    <row r="64" spans="1:18" ht="27" customHeight="1">
      <c r="A64" s="2011" t="s">
        <v>340</v>
      </c>
      <c r="B64" s="2011"/>
      <c r="C64" s="2011"/>
      <c r="D64" s="2011"/>
      <c r="E64" s="1616">
        <f>416372250.62</f>
        <v>416372250.62</v>
      </c>
      <c r="F64" s="1616">
        <f>201371820.77</f>
        <v>201371820.77000001</v>
      </c>
      <c r="G64" s="1616">
        <f>11531550.83</f>
        <v>11531550.83</v>
      </c>
      <c r="H64" s="1616">
        <f>100457329.48</f>
        <v>100457329.48</v>
      </c>
      <c r="I64" s="1616">
        <f>88125012.85</f>
        <v>88125012.849999994</v>
      </c>
      <c r="J64" s="1616">
        <f>1257927.61</f>
        <v>1257927.6100000001</v>
      </c>
      <c r="K64" s="1616">
        <f>215000429.85</f>
        <v>215000429.84999999</v>
      </c>
      <c r="R64" s="1511"/>
    </row>
    <row r="65" spans="1:18" ht="26.45" customHeight="1">
      <c r="A65" s="2011" t="s">
        <v>341</v>
      </c>
      <c r="B65" s="2011"/>
      <c r="C65" s="2011"/>
      <c r="D65" s="2011"/>
      <c r="E65" s="1616">
        <f>1358517.03</f>
        <v>1358517.03</v>
      </c>
      <c r="F65" s="1616">
        <f>1170883</f>
        <v>1170883</v>
      </c>
      <c r="G65" s="1616">
        <f>0</f>
        <v>0</v>
      </c>
      <c r="H65" s="1616">
        <f>0</f>
        <v>0</v>
      </c>
      <c r="I65" s="1616">
        <f>1170883</f>
        <v>1170883</v>
      </c>
      <c r="J65" s="1616">
        <f>0</f>
        <v>0</v>
      </c>
      <c r="K65" s="1616">
        <f>187634.03</f>
        <v>187634.03</v>
      </c>
      <c r="R65" s="1511"/>
    </row>
    <row r="66" spans="1:18">
      <c r="A66" s="2011" t="s">
        <v>342</v>
      </c>
      <c r="B66" s="2011"/>
      <c r="C66" s="2011"/>
      <c r="D66" s="2011"/>
      <c r="E66" s="1616">
        <f>40423593.08</f>
        <v>40423593.079999998</v>
      </c>
      <c r="F66" s="1616">
        <f>12247935.24</f>
        <v>12247935.24</v>
      </c>
      <c r="G66" s="1616">
        <f>200000</f>
        <v>200000</v>
      </c>
      <c r="H66" s="1616">
        <f>0</f>
        <v>0</v>
      </c>
      <c r="I66" s="1616">
        <f>12047935.24</f>
        <v>12047935.24</v>
      </c>
      <c r="J66" s="1616">
        <f>0</f>
        <v>0</v>
      </c>
      <c r="K66" s="1616">
        <f>28175657.84</f>
        <v>28175657.84</v>
      </c>
      <c r="R66" s="1511"/>
    </row>
    <row r="67" spans="1:18">
      <c r="A67" s="2011" t="s">
        <v>343</v>
      </c>
      <c r="B67" s="2011"/>
      <c r="C67" s="2011"/>
      <c r="D67" s="2011"/>
      <c r="E67" s="1616">
        <f>10588864.02</f>
        <v>10588864.02</v>
      </c>
      <c r="F67" s="1616">
        <f>0</f>
        <v>0</v>
      </c>
      <c r="G67" s="1616">
        <f>0</f>
        <v>0</v>
      </c>
      <c r="H67" s="1616">
        <f>0</f>
        <v>0</v>
      </c>
      <c r="I67" s="1616">
        <f>0</f>
        <v>0</v>
      </c>
      <c r="J67" s="1616">
        <f>0</f>
        <v>0</v>
      </c>
      <c r="K67" s="1616">
        <f>10588864.02</f>
        <v>10588864.02</v>
      </c>
      <c r="R67" s="1511"/>
    </row>
    <row r="68" spans="1:18">
      <c r="A68" s="2011" t="s">
        <v>344</v>
      </c>
      <c r="B68" s="2011"/>
      <c r="C68" s="2011"/>
      <c r="D68" s="2011"/>
      <c r="E68" s="1616">
        <f>17935.42</f>
        <v>17935.419999999998</v>
      </c>
      <c r="F68" s="1616">
        <f>0</f>
        <v>0</v>
      </c>
      <c r="G68" s="1616">
        <f>0</f>
        <v>0</v>
      </c>
      <c r="H68" s="1616">
        <f>0</f>
        <v>0</v>
      </c>
      <c r="I68" s="1616">
        <f>0</f>
        <v>0</v>
      </c>
      <c r="J68" s="1616">
        <f>0</f>
        <v>0</v>
      </c>
      <c r="K68" s="1616">
        <f>17935.42</f>
        <v>17935.419999999998</v>
      </c>
      <c r="R68" s="1511"/>
    </row>
    <row r="69" spans="1:18" ht="29.45" customHeight="1">
      <c r="A69" s="2011" t="s">
        <v>345</v>
      </c>
      <c r="B69" s="2011"/>
      <c r="C69" s="2011"/>
      <c r="D69" s="2011"/>
      <c r="E69" s="1616">
        <f>39687.39</f>
        <v>39687.39</v>
      </c>
      <c r="F69" s="1616">
        <f>0</f>
        <v>0</v>
      </c>
      <c r="G69" s="1616">
        <f>0</f>
        <v>0</v>
      </c>
      <c r="H69" s="1616">
        <f>0</f>
        <v>0</v>
      </c>
      <c r="I69" s="1616">
        <f>0</f>
        <v>0</v>
      </c>
      <c r="J69" s="1616">
        <f>0</f>
        <v>0</v>
      </c>
      <c r="K69" s="1616">
        <f>39687.39</f>
        <v>39687.39</v>
      </c>
      <c r="R69" s="1511"/>
    </row>
    <row r="70" spans="1:18" ht="28.15" customHeight="1">
      <c r="A70" s="2011" t="s">
        <v>346</v>
      </c>
      <c r="B70" s="2011"/>
      <c r="C70" s="2011"/>
      <c r="D70" s="2011"/>
      <c r="E70" s="1616">
        <f>0</f>
        <v>0</v>
      </c>
      <c r="F70" s="1616">
        <f>0</f>
        <v>0</v>
      </c>
      <c r="G70" s="1616">
        <f>0</f>
        <v>0</v>
      </c>
      <c r="H70" s="1616">
        <f>0</f>
        <v>0</v>
      </c>
      <c r="I70" s="1616">
        <f>0</f>
        <v>0</v>
      </c>
      <c r="J70" s="1616">
        <f>0</f>
        <v>0</v>
      </c>
      <c r="K70" s="1616">
        <f>0</f>
        <v>0</v>
      </c>
      <c r="R70" s="1511"/>
    </row>
  </sheetData>
  <mergeCells count="62">
    <mergeCell ref="K58:K61"/>
    <mergeCell ref="A67:D67"/>
    <mergeCell ref="A68:D68"/>
    <mergeCell ref="A69:D69"/>
    <mergeCell ref="A70:D70"/>
    <mergeCell ref="A63:D63"/>
    <mergeCell ref="A64:D64"/>
    <mergeCell ref="A65:D65"/>
    <mergeCell ref="A66:D66"/>
    <mergeCell ref="A57:D62"/>
    <mergeCell ref="G58:G61"/>
    <mergeCell ref="H58:H61"/>
    <mergeCell ref="I58:I61"/>
    <mergeCell ref="J58:J61"/>
    <mergeCell ref="O25:Q25"/>
    <mergeCell ref="C26:C28"/>
    <mergeCell ref="D26:D28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O4:Q4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A2:M2"/>
    <mergeCell ref="C3:M3"/>
    <mergeCell ref="B4:B8"/>
    <mergeCell ref="C4:N4"/>
    <mergeCell ref="E62:K62"/>
    <mergeCell ref="A23:M23"/>
    <mergeCell ref="B25:B28"/>
    <mergeCell ref="C25:N25"/>
    <mergeCell ref="B9:Q9"/>
    <mergeCell ref="A4:A9"/>
    <mergeCell ref="A25:A29"/>
    <mergeCell ref="B29:Q29"/>
    <mergeCell ref="A55:L55"/>
    <mergeCell ref="E57:E61"/>
    <mergeCell ref="F57:K57"/>
    <mergeCell ref="F58:F61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61" firstPageNumber="5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7"/>
  <sheetViews>
    <sheetView showGridLines="0" zoomScaleNormal="100" workbookViewId="0">
      <selection activeCell="O3" sqref="O3"/>
    </sheetView>
  </sheetViews>
  <sheetFormatPr defaultRowHeight="12.75"/>
  <cols>
    <col min="1" max="1" width="5.140625" customWidth="1"/>
    <col min="2" max="2" width="17.140625" customWidth="1"/>
    <col min="3" max="3" width="12.7109375" customWidth="1"/>
    <col min="4" max="6" width="9.7109375" customWidth="1"/>
    <col min="7" max="7" width="11.42578125" customWidth="1"/>
  </cols>
  <sheetData>
    <row r="2" spans="1:7">
      <c r="A2" s="1797" t="s">
        <v>963</v>
      </c>
      <c r="B2" s="1797"/>
      <c r="C2" s="1797"/>
      <c r="D2" s="1797"/>
      <c r="E2" s="1797"/>
      <c r="F2" s="1797"/>
      <c r="G2" s="1797"/>
    </row>
    <row r="4" spans="1:7" ht="13.5" customHeight="1">
      <c r="A4" s="1798" t="s">
        <v>41</v>
      </c>
      <c r="B4" s="1801" t="s">
        <v>68</v>
      </c>
      <c r="C4" s="1808" t="s">
        <v>959</v>
      </c>
      <c r="D4" s="243" t="s">
        <v>960</v>
      </c>
      <c r="E4" s="229" t="s">
        <v>348</v>
      </c>
      <c r="F4" s="229" t="s">
        <v>349</v>
      </c>
      <c r="G4" s="230" t="s">
        <v>371</v>
      </c>
    </row>
    <row r="5" spans="1:7" ht="13.5">
      <c r="A5" s="1799"/>
      <c r="B5" s="1802"/>
      <c r="C5" s="1809"/>
      <c r="D5" s="2012" t="s">
        <v>961</v>
      </c>
      <c r="E5" s="1804"/>
      <c r="F5" s="1804"/>
      <c r="G5" s="1805"/>
    </row>
    <row r="6" spans="1:7" ht="13.5">
      <c r="A6" s="1800"/>
      <c r="B6" s="1803"/>
      <c r="C6" s="1810"/>
      <c r="D6" s="1806" t="s">
        <v>4</v>
      </c>
      <c r="E6" s="1806"/>
      <c r="F6" s="1806"/>
      <c r="G6" s="1807"/>
    </row>
    <row r="7" spans="1:7">
      <c r="A7" s="239" t="s">
        <v>887</v>
      </c>
      <c r="B7" s="244" t="s">
        <v>888</v>
      </c>
      <c r="C7" s="249" t="s">
        <v>889</v>
      </c>
      <c r="D7" s="240" t="s">
        <v>890</v>
      </c>
      <c r="E7" s="241" t="s">
        <v>891</v>
      </c>
      <c r="F7" s="241" t="s">
        <v>892</v>
      </c>
      <c r="G7" s="242" t="s">
        <v>893</v>
      </c>
    </row>
    <row r="8" spans="1:7" s="34" customFormat="1" ht="20.25" customHeight="1">
      <c r="A8" s="231"/>
      <c r="B8" s="1563" t="s">
        <v>933</v>
      </c>
      <c r="C8" s="250">
        <v>25754378</v>
      </c>
      <c r="D8" s="111">
        <v>6347.8</v>
      </c>
      <c r="E8" s="173">
        <v>5932.54</v>
      </c>
      <c r="F8" s="173">
        <v>415.26</v>
      </c>
      <c r="G8" s="232">
        <v>1326.99</v>
      </c>
    </row>
    <row r="9" spans="1:7" s="34" customFormat="1" ht="20.100000000000001" customHeight="1">
      <c r="A9" s="233" t="s">
        <v>6</v>
      </c>
      <c r="B9" s="246" t="s">
        <v>26</v>
      </c>
      <c r="C9" s="251">
        <v>1962651</v>
      </c>
      <c r="D9" s="112">
        <v>6551.45</v>
      </c>
      <c r="E9" s="174">
        <v>6092.94</v>
      </c>
      <c r="F9" s="174">
        <v>458.51</v>
      </c>
      <c r="G9" s="234">
        <v>1770.38</v>
      </c>
    </row>
    <row r="10" spans="1:7" s="34" customFormat="1" ht="20.100000000000001" customHeight="1">
      <c r="A10" s="233" t="s">
        <v>7</v>
      </c>
      <c r="B10" s="246" t="s">
        <v>42</v>
      </c>
      <c r="C10" s="251">
        <v>1317113</v>
      </c>
      <c r="D10" s="112">
        <v>6420.91</v>
      </c>
      <c r="E10" s="174">
        <v>6125.09</v>
      </c>
      <c r="F10" s="174">
        <v>295.82</v>
      </c>
      <c r="G10" s="234">
        <v>1338.01</v>
      </c>
    </row>
    <row r="11" spans="1:7" s="34" customFormat="1" ht="20.100000000000001" customHeight="1">
      <c r="A11" s="233" t="s">
        <v>8</v>
      </c>
      <c r="B11" s="246" t="s">
        <v>27</v>
      </c>
      <c r="C11" s="251">
        <v>1575810</v>
      </c>
      <c r="D11" s="112">
        <v>5983.36</v>
      </c>
      <c r="E11" s="174">
        <v>5494.08</v>
      </c>
      <c r="F11" s="174">
        <v>489.28</v>
      </c>
      <c r="G11" s="234">
        <v>1119.95</v>
      </c>
    </row>
    <row r="12" spans="1:7" s="34" customFormat="1" ht="20.100000000000001" customHeight="1">
      <c r="A12" s="233" t="s">
        <v>9</v>
      </c>
      <c r="B12" s="246" t="s">
        <v>28</v>
      </c>
      <c r="C12" s="251">
        <v>743664</v>
      </c>
      <c r="D12" s="112">
        <v>6198.68</v>
      </c>
      <c r="E12" s="174">
        <v>5819.16</v>
      </c>
      <c r="F12" s="174">
        <v>379.52</v>
      </c>
      <c r="G12" s="234">
        <v>1260.21</v>
      </c>
    </row>
    <row r="13" spans="1:7" s="34" customFormat="1" ht="20.100000000000001" customHeight="1">
      <c r="A13" s="233" t="s">
        <v>1</v>
      </c>
      <c r="B13" s="246" t="s">
        <v>29</v>
      </c>
      <c r="C13" s="251">
        <v>1645880</v>
      </c>
      <c r="D13" s="112">
        <v>6403.03</v>
      </c>
      <c r="E13" s="174">
        <v>5950.29</v>
      </c>
      <c r="F13" s="174">
        <v>452.74</v>
      </c>
      <c r="G13" s="234">
        <v>1257.48</v>
      </c>
    </row>
    <row r="14" spans="1:7" s="34" customFormat="1" ht="20.100000000000001" customHeight="1">
      <c r="A14" s="233" t="s">
        <v>2</v>
      </c>
      <c r="B14" s="246" t="s">
        <v>30</v>
      </c>
      <c r="C14" s="251">
        <v>2439419</v>
      </c>
      <c r="D14" s="112">
        <v>6474.6</v>
      </c>
      <c r="E14" s="174">
        <v>5950.86</v>
      </c>
      <c r="F14" s="174">
        <v>523.74</v>
      </c>
      <c r="G14" s="234">
        <v>1441.56</v>
      </c>
    </row>
    <row r="15" spans="1:7" s="34" customFormat="1" ht="20.100000000000001" customHeight="1">
      <c r="A15" s="233" t="s">
        <v>10</v>
      </c>
      <c r="B15" s="246" t="s">
        <v>31</v>
      </c>
      <c r="C15" s="251">
        <v>3173829</v>
      </c>
      <c r="D15" s="112">
        <v>6804.52</v>
      </c>
      <c r="E15" s="174">
        <v>6365.05</v>
      </c>
      <c r="F15" s="174">
        <v>439.48</v>
      </c>
      <c r="G15" s="234">
        <v>1350.9</v>
      </c>
    </row>
    <row r="16" spans="1:7" s="34" customFormat="1" ht="20.100000000000001" customHeight="1">
      <c r="A16" s="233" t="s">
        <v>11</v>
      </c>
      <c r="B16" s="246" t="s">
        <v>32</v>
      </c>
      <c r="C16" s="251">
        <v>848935</v>
      </c>
      <c r="D16" s="112">
        <v>5618.23</v>
      </c>
      <c r="E16" s="174">
        <v>5273.83</v>
      </c>
      <c r="F16" s="174">
        <v>344.4</v>
      </c>
      <c r="G16" s="234">
        <v>1180.3800000000001</v>
      </c>
    </row>
    <row r="17" spans="1:7" s="34" customFormat="1" ht="20.100000000000001" customHeight="1">
      <c r="A17" s="233" t="s">
        <v>12</v>
      </c>
      <c r="B17" s="246" t="s">
        <v>33</v>
      </c>
      <c r="C17" s="251">
        <v>1772508</v>
      </c>
      <c r="D17" s="112">
        <v>6055.5</v>
      </c>
      <c r="E17" s="174">
        <v>5681.02</v>
      </c>
      <c r="F17" s="174">
        <v>374.48</v>
      </c>
      <c r="G17" s="234">
        <v>1202.3599999999999</v>
      </c>
    </row>
    <row r="18" spans="1:7" s="34" customFormat="1" ht="20.100000000000001" customHeight="1">
      <c r="A18" s="233" t="s">
        <v>13</v>
      </c>
      <c r="B18" s="246" t="s">
        <v>34</v>
      </c>
      <c r="C18" s="251">
        <v>744116</v>
      </c>
      <c r="D18" s="112">
        <v>6192.54</v>
      </c>
      <c r="E18" s="174">
        <v>5705.33</v>
      </c>
      <c r="F18" s="174">
        <v>487.21</v>
      </c>
      <c r="G18" s="234">
        <v>1062.44</v>
      </c>
    </row>
    <row r="19" spans="1:7" s="34" customFormat="1" ht="20.100000000000001" customHeight="1">
      <c r="A19" s="233" t="s">
        <v>14</v>
      </c>
      <c r="B19" s="246" t="s">
        <v>35</v>
      </c>
      <c r="C19" s="251">
        <v>1505831</v>
      </c>
      <c r="D19" s="112">
        <v>6766.63</v>
      </c>
      <c r="E19" s="174">
        <v>6520.3</v>
      </c>
      <c r="F19" s="174">
        <v>246.33</v>
      </c>
      <c r="G19" s="234">
        <v>1599.35</v>
      </c>
    </row>
    <row r="20" spans="1:7" s="34" customFormat="1" ht="20.100000000000001" customHeight="1">
      <c r="A20" s="233" t="s">
        <v>15</v>
      </c>
      <c r="B20" s="246" t="s">
        <v>36</v>
      </c>
      <c r="C20" s="251">
        <v>1994235</v>
      </c>
      <c r="D20" s="112">
        <v>6214.67</v>
      </c>
      <c r="E20" s="174">
        <v>5776.82</v>
      </c>
      <c r="F20" s="174">
        <v>437.85</v>
      </c>
      <c r="G20" s="234">
        <v>1016.11</v>
      </c>
    </row>
    <row r="21" spans="1:7" s="34" customFormat="1" ht="20.100000000000001" customHeight="1">
      <c r="A21" s="233" t="s">
        <v>16</v>
      </c>
      <c r="B21" s="246" t="s">
        <v>37</v>
      </c>
      <c r="C21" s="251">
        <v>1031211</v>
      </c>
      <c r="D21" s="112">
        <v>5824.12</v>
      </c>
      <c r="E21" s="174">
        <v>5468.59</v>
      </c>
      <c r="F21" s="174">
        <v>355.53</v>
      </c>
      <c r="G21" s="234">
        <v>1435.04</v>
      </c>
    </row>
    <row r="22" spans="1:7" s="34" customFormat="1" ht="20.100000000000001" customHeight="1">
      <c r="A22" s="233" t="s">
        <v>17</v>
      </c>
      <c r="B22" s="246" t="s">
        <v>43</v>
      </c>
      <c r="C22" s="251">
        <v>1126664</v>
      </c>
      <c r="D22" s="112">
        <v>6164.42</v>
      </c>
      <c r="E22" s="174">
        <v>5795.05</v>
      </c>
      <c r="F22" s="174">
        <v>369.37</v>
      </c>
      <c r="G22" s="234">
        <v>1450.01</v>
      </c>
    </row>
    <row r="23" spans="1:7" s="34" customFormat="1" ht="20.100000000000001" customHeight="1">
      <c r="A23" s="233" t="s">
        <v>18</v>
      </c>
      <c r="B23" s="246" t="s">
        <v>38</v>
      </c>
      <c r="C23" s="251">
        <v>2729903</v>
      </c>
      <c r="D23" s="112">
        <v>6296.64</v>
      </c>
      <c r="E23" s="174">
        <v>5908.61</v>
      </c>
      <c r="F23" s="174">
        <v>388.03</v>
      </c>
      <c r="G23" s="234">
        <v>1268.92</v>
      </c>
    </row>
    <row r="24" spans="1:7" ht="20.100000000000001" customHeight="1">
      <c r="A24" s="235" t="s">
        <v>19</v>
      </c>
      <c r="B24" s="247" t="s">
        <v>39</v>
      </c>
      <c r="C24" s="252">
        <v>1142609</v>
      </c>
      <c r="D24" s="236">
        <v>6447.21</v>
      </c>
      <c r="E24" s="237">
        <v>5983.8</v>
      </c>
      <c r="F24" s="237">
        <v>463.41</v>
      </c>
      <c r="G24" s="238">
        <v>1248.83</v>
      </c>
    </row>
    <row r="26" spans="1:7" ht="13.5">
      <c r="A26" s="165" t="s">
        <v>934</v>
      </c>
      <c r="B26" s="166" t="s">
        <v>935</v>
      </c>
      <c r="C26" s="165"/>
      <c r="D26" s="165"/>
      <c r="E26" s="165"/>
      <c r="F26" s="165"/>
      <c r="G26" s="165"/>
    </row>
    <row r="27" spans="1:7" ht="13.5">
      <c r="A27" s="165"/>
      <c r="B27" s="166" t="s">
        <v>936</v>
      </c>
      <c r="C27" s="165"/>
      <c r="D27" s="165"/>
      <c r="E27" s="165"/>
      <c r="F27" s="165"/>
      <c r="G27" s="165"/>
    </row>
  </sheetData>
  <mergeCells count="6">
    <mergeCell ref="A2:G2"/>
    <mergeCell ref="A4:A6"/>
    <mergeCell ref="B4:B6"/>
    <mergeCell ref="D5:G5"/>
    <mergeCell ref="D6:G6"/>
    <mergeCell ref="C4:C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showGridLines="0" zoomScaleNormal="100" workbookViewId="0">
      <selection activeCell="O3" sqref="O3"/>
    </sheetView>
  </sheetViews>
  <sheetFormatPr defaultColWidth="9.140625" defaultRowHeight="12.75"/>
  <cols>
    <col min="1" max="1" width="5" style="35" customWidth="1"/>
    <col min="2" max="2" width="19.7109375" style="36" bestFit="1" customWidth="1"/>
    <col min="3" max="3" width="13.28515625" style="36" bestFit="1" customWidth="1"/>
    <col min="4" max="4" width="13.28515625" style="35" bestFit="1" customWidth="1"/>
    <col min="5" max="5" width="7.85546875" style="35" customWidth="1"/>
    <col min="6" max="7" width="13.28515625" style="35" bestFit="1" customWidth="1"/>
    <col min="8" max="8" width="9.140625" style="35"/>
    <col min="9" max="10" width="12.42578125" style="35" bestFit="1" customWidth="1"/>
    <col min="11" max="11" width="12.140625" style="35" customWidth="1"/>
    <col min="12" max="16384" width="9.140625" style="35"/>
  </cols>
  <sheetData>
    <row r="1" spans="1:11" ht="12.75" customHeight="1">
      <c r="A1" s="1797" t="s">
        <v>373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</row>
    <row r="2" spans="1:11" ht="11.25" customHeight="1"/>
    <row r="3" spans="1:11" ht="15" customHeight="1">
      <c r="A3" s="1798" t="s">
        <v>41</v>
      </c>
      <c r="B3" s="1801" t="s">
        <v>68</v>
      </c>
      <c r="C3" s="2013" t="s">
        <v>372</v>
      </c>
      <c r="D3" s="2014"/>
      <c r="E3" s="2015" t="s">
        <v>687</v>
      </c>
      <c r="F3" s="2017" t="s">
        <v>0</v>
      </c>
      <c r="G3" s="2014"/>
      <c r="H3" s="2026" t="s">
        <v>686</v>
      </c>
      <c r="I3" s="2018" t="s">
        <v>685</v>
      </c>
      <c r="J3" s="2015" t="s">
        <v>371</v>
      </c>
      <c r="K3" s="2020" t="s">
        <v>684</v>
      </c>
    </row>
    <row r="4" spans="1:11" ht="42.75" customHeight="1">
      <c r="A4" s="1799"/>
      <c r="B4" s="1802"/>
      <c r="C4" s="506" t="s">
        <v>70</v>
      </c>
      <c r="D4" s="503" t="s">
        <v>71</v>
      </c>
      <c r="E4" s="2016"/>
      <c r="F4" s="505" t="s">
        <v>70</v>
      </c>
      <c r="G4" s="503" t="s">
        <v>71</v>
      </c>
      <c r="H4" s="2027"/>
      <c r="I4" s="2019"/>
      <c r="J4" s="2016"/>
      <c r="K4" s="2021"/>
    </row>
    <row r="5" spans="1:11" ht="13.5">
      <c r="A5" s="1800"/>
      <c r="B5" s="1803"/>
      <c r="C5" s="2022" t="s">
        <v>885</v>
      </c>
      <c r="D5" s="2023"/>
      <c r="E5" s="507" t="s">
        <v>5</v>
      </c>
      <c r="F5" s="2024" t="s">
        <v>885</v>
      </c>
      <c r="G5" s="2023"/>
      <c r="H5" s="504" t="s">
        <v>5</v>
      </c>
      <c r="I5" s="2022" t="s">
        <v>885</v>
      </c>
      <c r="J5" s="2025"/>
      <c r="K5" s="516" t="s">
        <v>5</v>
      </c>
    </row>
    <row r="6" spans="1:11">
      <c r="A6" s="239" t="s">
        <v>887</v>
      </c>
      <c r="B6" s="244" t="s">
        <v>888</v>
      </c>
      <c r="C6" s="508" t="s">
        <v>889</v>
      </c>
      <c r="D6" s="501" t="s">
        <v>890</v>
      </c>
      <c r="E6" s="509" t="s">
        <v>891</v>
      </c>
      <c r="F6" s="500" t="s">
        <v>892</v>
      </c>
      <c r="G6" s="501" t="s">
        <v>893</v>
      </c>
      <c r="H6" s="502" t="s">
        <v>894</v>
      </c>
      <c r="I6" s="508" t="s">
        <v>932</v>
      </c>
      <c r="J6" s="509" t="s">
        <v>966</v>
      </c>
      <c r="K6" s="517" t="s">
        <v>967</v>
      </c>
    </row>
    <row r="7" spans="1:11" ht="19.899999999999999" customHeight="1">
      <c r="A7" s="231"/>
      <c r="B7" s="1563" t="s">
        <v>933</v>
      </c>
      <c r="C7" s="510">
        <v>159266998771.89999</v>
      </c>
      <c r="D7" s="178">
        <v>163483714832.92999</v>
      </c>
      <c r="E7" s="511">
        <v>102.6</v>
      </c>
      <c r="F7" s="163">
        <v>168209291084.25</v>
      </c>
      <c r="G7" s="178">
        <v>152788989425.54001</v>
      </c>
      <c r="H7" s="126">
        <v>90.8</v>
      </c>
      <c r="I7" s="510">
        <v>10694725407.389984</v>
      </c>
      <c r="J7" s="521">
        <v>34175694154.25</v>
      </c>
      <c r="K7" s="518">
        <v>20.9</v>
      </c>
    </row>
    <row r="8" spans="1:11" ht="19.899999999999999" customHeight="1">
      <c r="A8" s="233" t="s">
        <v>6</v>
      </c>
      <c r="B8" s="246" t="s">
        <v>26</v>
      </c>
      <c r="C8" s="512">
        <v>12491265426.98</v>
      </c>
      <c r="D8" s="175">
        <v>12858210342.559999</v>
      </c>
      <c r="E8" s="513">
        <v>102.9</v>
      </c>
      <c r="F8" s="176">
        <v>13412043766.67</v>
      </c>
      <c r="G8" s="175">
        <v>11958317974.01</v>
      </c>
      <c r="H8" s="113">
        <v>89.2</v>
      </c>
      <c r="I8" s="512">
        <v>899892368.54999924</v>
      </c>
      <c r="J8" s="522">
        <v>3474634510.9899998</v>
      </c>
      <c r="K8" s="519">
        <v>27</v>
      </c>
    </row>
    <row r="9" spans="1:11" ht="19.899999999999999" customHeight="1">
      <c r="A9" s="233" t="s">
        <v>7</v>
      </c>
      <c r="B9" s="246" t="s">
        <v>42</v>
      </c>
      <c r="C9" s="512">
        <v>8399972552.7799997</v>
      </c>
      <c r="D9" s="175">
        <v>8457063718.2200003</v>
      </c>
      <c r="E9" s="513">
        <v>100.7</v>
      </c>
      <c r="F9" s="176">
        <v>8805564836.9899998</v>
      </c>
      <c r="G9" s="175">
        <v>8067437420.8199997</v>
      </c>
      <c r="H9" s="113">
        <v>91.6</v>
      </c>
      <c r="I9" s="512">
        <v>389626297.40000057</v>
      </c>
      <c r="J9" s="522">
        <v>1762305101.3499999</v>
      </c>
      <c r="K9" s="519">
        <v>20.8</v>
      </c>
    </row>
    <row r="10" spans="1:11" ht="19.899999999999999" customHeight="1">
      <c r="A10" s="233" t="s">
        <v>8</v>
      </c>
      <c r="B10" s="246" t="s">
        <v>27</v>
      </c>
      <c r="C10" s="512">
        <v>9331146289.0300007</v>
      </c>
      <c r="D10" s="175">
        <v>9428635785.0400009</v>
      </c>
      <c r="E10" s="513">
        <v>101</v>
      </c>
      <c r="F10" s="176">
        <v>9660675798.4500008</v>
      </c>
      <c r="G10" s="175">
        <v>8657620850.3500004</v>
      </c>
      <c r="H10" s="113">
        <v>89.6</v>
      </c>
      <c r="I10" s="512">
        <v>771014934.69000053</v>
      </c>
      <c r="J10" s="522">
        <v>1764821829.76</v>
      </c>
      <c r="K10" s="519">
        <v>18.7</v>
      </c>
    </row>
    <row r="11" spans="1:11" ht="19.899999999999999" customHeight="1">
      <c r="A11" s="233" t="s">
        <v>9</v>
      </c>
      <c r="B11" s="246" t="s">
        <v>28</v>
      </c>
      <c r="C11" s="512">
        <v>4440975774.6800003</v>
      </c>
      <c r="D11" s="175">
        <v>4609732688.7799997</v>
      </c>
      <c r="E11" s="513">
        <v>103.8</v>
      </c>
      <c r="F11" s="176">
        <v>4721380085.9700003</v>
      </c>
      <c r="G11" s="175">
        <v>4327497747.5299997</v>
      </c>
      <c r="H11" s="113">
        <v>91.7</v>
      </c>
      <c r="I11" s="512">
        <v>282234941.25</v>
      </c>
      <c r="J11" s="522">
        <v>937174631.74000001</v>
      </c>
      <c r="K11" s="519">
        <v>20.3</v>
      </c>
    </row>
    <row r="12" spans="1:11" ht="19.899999999999999" customHeight="1">
      <c r="A12" s="233" t="s">
        <v>1</v>
      </c>
      <c r="B12" s="246" t="s">
        <v>29</v>
      </c>
      <c r="C12" s="512">
        <v>10240102066.26</v>
      </c>
      <c r="D12" s="175">
        <v>10538612481.1</v>
      </c>
      <c r="E12" s="513">
        <v>102.9</v>
      </c>
      <c r="F12" s="176">
        <v>10697569441.1</v>
      </c>
      <c r="G12" s="175">
        <v>9793463368.75</v>
      </c>
      <c r="H12" s="113">
        <v>91.5</v>
      </c>
      <c r="I12" s="512">
        <v>745149112.35000038</v>
      </c>
      <c r="J12" s="522">
        <v>2069659420</v>
      </c>
      <c r="K12" s="519">
        <v>19.600000000000001</v>
      </c>
    </row>
    <row r="13" spans="1:11" ht="19.899999999999999" customHeight="1">
      <c r="A13" s="233" t="s">
        <v>2</v>
      </c>
      <c r="B13" s="246" t="s">
        <v>30</v>
      </c>
      <c r="C13" s="512">
        <v>14644248897.02</v>
      </c>
      <c r="D13" s="175">
        <v>15794259903.040001</v>
      </c>
      <c r="E13" s="513">
        <v>107.9</v>
      </c>
      <c r="F13" s="176">
        <v>15672586097.629999</v>
      </c>
      <c r="G13" s="175">
        <v>14516630603.639999</v>
      </c>
      <c r="H13" s="113">
        <v>92.6</v>
      </c>
      <c r="I13" s="512">
        <v>1277629299.4000015</v>
      </c>
      <c r="J13" s="522">
        <v>3516565690.1799998</v>
      </c>
      <c r="K13" s="519">
        <v>22.3</v>
      </c>
    </row>
    <row r="14" spans="1:11" ht="19.899999999999999" customHeight="1">
      <c r="A14" s="233" t="s">
        <v>10</v>
      </c>
      <c r="B14" s="246" t="s">
        <v>31</v>
      </c>
      <c r="C14" s="512">
        <v>21132187953.240002</v>
      </c>
      <c r="D14" s="175">
        <v>21596395632.939999</v>
      </c>
      <c r="E14" s="513">
        <v>102.2</v>
      </c>
      <c r="F14" s="176">
        <v>21981193525.84</v>
      </c>
      <c r="G14" s="175">
        <v>20201569720.709999</v>
      </c>
      <c r="H14" s="113">
        <v>91.9</v>
      </c>
      <c r="I14" s="512">
        <v>1394825912.2299995</v>
      </c>
      <c r="J14" s="522">
        <v>4287513625.6700001</v>
      </c>
      <c r="K14" s="519">
        <v>19.899999999999999</v>
      </c>
    </row>
    <row r="15" spans="1:11" ht="19.899999999999999" customHeight="1">
      <c r="A15" s="233" t="s">
        <v>11</v>
      </c>
      <c r="B15" s="246" t="s">
        <v>32</v>
      </c>
      <c r="C15" s="512">
        <v>4573710415.6499996</v>
      </c>
      <c r="D15" s="175">
        <v>4769511174.4399996</v>
      </c>
      <c r="E15" s="513">
        <v>104.3</v>
      </c>
      <c r="F15" s="176">
        <v>4922307066.8100004</v>
      </c>
      <c r="G15" s="175">
        <v>4477135198.3199997</v>
      </c>
      <c r="H15" s="113">
        <v>91</v>
      </c>
      <c r="I15" s="512">
        <v>292375976.11999989</v>
      </c>
      <c r="J15" s="522">
        <v>1002067286.65</v>
      </c>
      <c r="K15" s="519">
        <v>21</v>
      </c>
    </row>
    <row r="16" spans="1:11" ht="19.899999999999999" customHeight="1">
      <c r="A16" s="233" t="s">
        <v>12</v>
      </c>
      <c r="B16" s="246" t="s">
        <v>33</v>
      </c>
      <c r="C16" s="512">
        <v>10437308342.540001</v>
      </c>
      <c r="D16" s="175">
        <v>10733428679.129999</v>
      </c>
      <c r="E16" s="513">
        <v>102.8</v>
      </c>
      <c r="F16" s="176">
        <v>11309734688.84</v>
      </c>
      <c r="G16" s="175">
        <v>10069661049.35</v>
      </c>
      <c r="H16" s="113">
        <v>89</v>
      </c>
      <c r="I16" s="512">
        <v>663767629.77999878</v>
      </c>
      <c r="J16" s="522">
        <v>2131199479.5799999</v>
      </c>
      <c r="K16" s="519">
        <v>19.899999999999999</v>
      </c>
    </row>
    <row r="17" spans="1:11" ht="19.899999999999999" customHeight="1">
      <c r="A17" s="233" t="s">
        <v>13</v>
      </c>
      <c r="B17" s="246" t="s">
        <v>34</v>
      </c>
      <c r="C17" s="512">
        <v>4399146398.21</v>
      </c>
      <c r="D17" s="175">
        <v>4607966854.3500004</v>
      </c>
      <c r="E17" s="513">
        <v>104.7</v>
      </c>
      <c r="F17" s="176">
        <v>4753124768.9200001</v>
      </c>
      <c r="G17" s="175">
        <v>4245427801.9400001</v>
      </c>
      <c r="H17" s="113">
        <v>89.3</v>
      </c>
      <c r="I17" s="512">
        <v>362539052.41000032</v>
      </c>
      <c r="J17" s="522">
        <v>790578839.59000003</v>
      </c>
      <c r="K17" s="519">
        <v>17.2</v>
      </c>
    </row>
    <row r="18" spans="1:11" ht="19.899999999999999" customHeight="1">
      <c r="A18" s="233" t="s">
        <v>14</v>
      </c>
      <c r="B18" s="246" t="s">
        <v>35</v>
      </c>
      <c r="C18" s="512">
        <v>9987039810.3999996</v>
      </c>
      <c r="D18" s="175">
        <v>10189395373.379999</v>
      </c>
      <c r="E18" s="513">
        <v>102</v>
      </c>
      <c r="F18" s="176">
        <v>10808358185.299999</v>
      </c>
      <c r="G18" s="175">
        <v>9818463975.8299999</v>
      </c>
      <c r="H18" s="113">
        <v>90.8</v>
      </c>
      <c r="I18" s="512">
        <v>370931397.54999924</v>
      </c>
      <c r="J18" s="522">
        <v>2408357141.0700002</v>
      </c>
      <c r="K18" s="519">
        <v>23.6</v>
      </c>
    </row>
    <row r="19" spans="1:11" ht="19.899999999999999" customHeight="1">
      <c r="A19" s="233" t="s">
        <v>15</v>
      </c>
      <c r="B19" s="246" t="s">
        <v>36</v>
      </c>
      <c r="C19" s="512">
        <v>12331691299.93</v>
      </c>
      <c r="D19" s="175">
        <v>12393512647.15</v>
      </c>
      <c r="E19" s="513">
        <v>100.5</v>
      </c>
      <c r="F19" s="176">
        <v>12704155088.809999</v>
      </c>
      <c r="G19" s="175">
        <v>11520331430.51</v>
      </c>
      <c r="H19" s="113">
        <v>90.7</v>
      </c>
      <c r="I19" s="512">
        <v>873181216.63999939</v>
      </c>
      <c r="J19" s="522">
        <v>2026355756.8599999</v>
      </c>
      <c r="K19" s="519">
        <v>16.399999999999999</v>
      </c>
    </row>
    <row r="20" spans="1:11" ht="19.899999999999999" customHeight="1">
      <c r="A20" s="233" t="s">
        <v>16</v>
      </c>
      <c r="B20" s="246" t="s">
        <v>37</v>
      </c>
      <c r="C20" s="512">
        <v>5996065645.04</v>
      </c>
      <c r="D20" s="175">
        <v>6005899298.1199999</v>
      </c>
      <c r="E20" s="513">
        <v>100.2</v>
      </c>
      <c r="F20" s="176">
        <v>6588533258.3500004</v>
      </c>
      <c r="G20" s="175">
        <v>5639269146.6000004</v>
      </c>
      <c r="H20" s="113">
        <v>85.6</v>
      </c>
      <c r="I20" s="512">
        <v>366630151.5199995</v>
      </c>
      <c r="J20" s="522">
        <v>1479825107.96</v>
      </c>
      <c r="K20" s="519">
        <v>24.6</v>
      </c>
    </row>
    <row r="21" spans="1:11" ht="19.899999999999999" customHeight="1">
      <c r="A21" s="233" t="s">
        <v>17</v>
      </c>
      <c r="B21" s="246" t="s">
        <v>43</v>
      </c>
      <c r="C21" s="512">
        <v>6931381118.9399996</v>
      </c>
      <c r="D21" s="175">
        <v>6945234667.4899998</v>
      </c>
      <c r="E21" s="513">
        <v>100.2</v>
      </c>
      <c r="F21" s="176">
        <v>7297331106.71</v>
      </c>
      <c r="G21" s="175">
        <v>6529074803.6199999</v>
      </c>
      <c r="H21" s="113">
        <v>89.5</v>
      </c>
      <c r="I21" s="512">
        <v>416159863.86999989</v>
      </c>
      <c r="J21" s="522">
        <v>1633674964.3299999</v>
      </c>
      <c r="K21" s="519">
        <v>23.5</v>
      </c>
    </row>
    <row r="22" spans="1:11" ht="19.899999999999999" customHeight="1">
      <c r="A22" s="233" t="s">
        <v>18</v>
      </c>
      <c r="B22" s="246" t="s">
        <v>38</v>
      </c>
      <c r="C22" s="512">
        <v>16853102258.93</v>
      </c>
      <c r="D22" s="175">
        <v>17189216399.139999</v>
      </c>
      <c r="E22" s="513">
        <v>102</v>
      </c>
      <c r="F22" s="176">
        <v>17365355395.419998</v>
      </c>
      <c r="G22" s="175">
        <v>16129944243.889999</v>
      </c>
      <c r="H22" s="113">
        <v>92.9</v>
      </c>
      <c r="I22" s="512">
        <v>1059272155.25</v>
      </c>
      <c r="J22" s="522">
        <v>3464039177.1799998</v>
      </c>
      <c r="K22" s="519">
        <v>20.2</v>
      </c>
    </row>
    <row r="23" spans="1:11" ht="19.899999999999999" customHeight="1">
      <c r="A23" s="235" t="s">
        <v>19</v>
      </c>
      <c r="B23" s="247" t="s">
        <v>39</v>
      </c>
      <c r="C23" s="514">
        <v>7077654522.2700005</v>
      </c>
      <c r="D23" s="498">
        <v>7366639188.0500002</v>
      </c>
      <c r="E23" s="515">
        <v>104.1</v>
      </c>
      <c r="F23" s="497">
        <v>7509377972.4399996</v>
      </c>
      <c r="G23" s="498">
        <v>6837144089.6700001</v>
      </c>
      <c r="H23" s="499">
        <v>91</v>
      </c>
      <c r="I23" s="514">
        <v>529495098.38000011</v>
      </c>
      <c r="J23" s="523">
        <v>1426921591.3399999</v>
      </c>
      <c r="K23" s="520">
        <v>19.399999999999999</v>
      </c>
    </row>
    <row r="25" spans="1:11" ht="13.5">
      <c r="A25" s="164" t="s">
        <v>968</v>
      </c>
    </row>
  </sheetData>
  <mergeCells count="13">
    <mergeCell ref="A1:K1"/>
    <mergeCell ref="A3:A5"/>
    <mergeCell ref="B3:B5"/>
    <mergeCell ref="C3:D3"/>
    <mergeCell ref="E3:E4"/>
    <mergeCell ref="F3:G3"/>
    <mergeCell ref="I3:I4"/>
    <mergeCell ref="J3:J4"/>
    <mergeCell ref="K3:K4"/>
    <mergeCell ref="C5:D5"/>
    <mergeCell ref="F5:G5"/>
    <mergeCell ref="I5:J5"/>
    <mergeCell ref="H3:H4"/>
  </mergeCells>
  <printOptions horizontalCentered="1"/>
  <pageMargins left="0.38" right="0.42" top="0.86614173228346458" bottom="0.74803149606299213" header="0.43307086614173229" footer="0.5905511811023622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4"/>
  <sheetViews>
    <sheetView showGridLines="0" zoomScaleNormal="100" workbookViewId="0">
      <selection activeCell="O3" sqref="O3"/>
    </sheetView>
  </sheetViews>
  <sheetFormatPr defaultColWidth="9.140625" defaultRowHeight="13.5"/>
  <cols>
    <col min="1" max="1" width="39.28515625" style="225" customWidth="1"/>
    <col min="2" max="2" width="17" style="225" customWidth="1"/>
    <col min="3" max="3" width="17.140625" style="225" customWidth="1"/>
    <col min="4" max="4" width="16.28515625" style="225" customWidth="1"/>
    <col min="5" max="5" width="9.28515625" style="225" customWidth="1"/>
    <col min="6" max="6" width="8.7109375" style="225" bestFit="1" customWidth="1"/>
    <col min="7" max="7" width="9.28515625" style="225" customWidth="1"/>
    <col min="8" max="16384" width="9.140625" style="225"/>
  </cols>
  <sheetData>
    <row r="1" spans="1:7">
      <c r="A1" s="2028" t="s">
        <v>95</v>
      </c>
      <c r="B1" s="2028"/>
      <c r="C1" s="2028"/>
      <c r="D1" s="2028"/>
      <c r="E1" s="2028"/>
      <c r="F1" s="2029"/>
      <c r="G1" s="2030"/>
    </row>
    <row r="2" spans="1:7" ht="13.5" customHeight="1"/>
    <row r="3" spans="1:7" ht="24" customHeight="1">
      <c r="A3" s="2031" t="s">
        <v>68</v>
      </c>
      <c r="B3" s="2034" t="s">
        <v>1152</v>
      </c>
      <c r="C3" s="2035" t="s">
        <v>1153</v>
      </c>
      <c r="D3" s="2036" t="s">
        <v>1028</v>
      </c>
      <c r="E3" s="2035" t="s">
        <v>1029</v>
      </c>
      <c r="F3" s="2037" t="s">
        <v>22</v>
      </c>
      <c r="G3" s="2038" t="s">
        <v>1025</v>
      </c>
    </row>
    <row r="4" spans="1:7">
      <c r="A4" s="2032"/>
      <c r="B4" s="2034"/>
      <c r="C4" s="2035"/>
      <c r="D4" s="2036"/>
      <c r="E4" s="2035"/>
      <c r="F4" s="2037"/>
      <c r="G4" s="2038"/>
    </row>
    <row r="5" spans="1:7">
      <c r="A5" s="2032"/>
      <c r="B5" s="2034"/>
      <c r="C5" s="2035"/>
      <c r="D5" s="2036"/>
      <c r="E5" s="2035"/>
      <c r="F5" s="2037"/>
      <c r="G5" s="2038"/>
    </row>
    <row r="6" spans="1:7">
      <c r="A6" s="2033"/>
      <c r="B6" s="2039" t="s">
        <v>4</v>
      </c>
      <c r="C6" s="2039"/>
      <c r="D6" s="2039"/>
      <c r="E6" s="2040" t="s">
        <v>72</v>
      </c>
      <c r="F6" s="2040"/>
      <c r="G6" s="2040"/>
    </row>
    <row r="7" spans="1:7">
      <c r="A7" s="532" t="s">
        <v>887</v>
      </c>
      <c r="B7" s="275" t="s">
        <v>888</v>
      </c>
      <c r="C7" s="285" t="s">
        <v>889</v>
      </c>
      <c r="D7" s="556" t="s">
        <v>890</v>
      </c>
      <c r="E7" s="285" t="s">
        <v>891</v>
      </c>
      <c r="F7" s="277" t="s">
        <v>892</v>
      </c>
      <c r="G7" s="278" t="s">
        <v>893</v>
      </c>
    </row>
    <row r="8" spans="1:7" ht="27">
      <c r="A8" s="547" t="s">
        <v>1146</v>
      </c>
      <c r="B8" s="552">
        <v>149090469522.94</v>
      </c>
      <c r="C8" s="538">
        <v>159266998771.89999</v>
      </c>
      <c r="D8" s="539">
        <v>163483714832.92999</v>
      </c>
      <c r="E8" s="534">
        <v>102.64757676954102</v>
      </c>
      <c r="F8" s="524">
        <v>100</v>
      </c>
      <c r="G8" s="525">
        <v>109.65403446380277</v>
      </c>
    </row>
    <row r="9" spans="1:7" ht="27">
      <c r="A9" s="548" t="s">
        <v>1147</v>
      </c>
      <c r="B9" s="553">
        <v>65617629243.380005</v>
      </c>
      <c r="C9" s="540">
        <v>66348561347.469986</v>
      </c>
      <c r="D9" s="541">
        <v>69231325392.569992</v>
      </c>
      <c r="E9" s="535">
        <v>104.34487799969445</v>
      </c>
      <c r="F9" s="526">
        <v>42.4</v>
      </c>
      <c r="G9" s="527">
        <v>105.50720315692381</v>
      </c>
    </row>
    <row r="10" spans="1:7" ht="20.100000000000001" customHeight="1">
      <c r="A10" s="549" t="s">
        <v>78</v>
      </c>
      <c r="B10" s="554">
        <v>1187080872.1099999</v>
      </c>
      <c r="C10" s="542">
        <v>1331117352.8399999</v>
      </c>
      <c r="D10" s="543">
        <v>1603817988</v>
      </c>
      <c r="E10" s="536">
        <v>120.48659605993271</v>
      </c>
      <c r="F10" s="528">
        <v>0.98102614663423837</v>
      </c>
      <c r="G10" s="529">
        <v>135.10604253518656</v>
      </c>
    </row>
    <row r="11" spans="1:7" ht="20.100000000000001" customHeight="1">
      <c r="A11" s="549" t="s">
        <v>79</v>
      </c>
      <c r="B11" s="554">
        <v>22980318967</v>
      </c>
      <c r="C11" s="542">
        <v>24012093970.169998</v>
      </c>
      <c r="D11" s="543">
        <v>25885024490</v>
      </c>
      <c r="E11" s="536">
        <v>107.7999466525357</v>
      </c>
      <c r="F11" s="528">
        <v>15.9</v>
      </c>
      <c r="G11" s="529">
        <v>112.63997043370541</v>
      </c>
    </row>
    <row r="12" spans="1:7" ht="20.100000000000001" customHeight="1">
      <c r="A12" s="549" t="s">
        <v>80</v>
      </c>
      <c r="B12" s="554">
        <v>1597553021.01</v>
      </c>
      <c r="C12" s="542">
        <v>1651696790.3199999</v>
      </c>
      <c r="D12" s="543">
        <v>1626332428.53</v>
      </c>
      <c r="E12" s="536">
        <v>98.464345154712944</v>
      </c>
      <c r="F12" s="528">
        <v>0.99479781835885539</v>
      </c>
      <c r="G12" s="529">
        <v>101.80146806656877</v>
      </c>
    </row>
    <row r="13" spans="1:7" ht="20.100000000000001" customHeight="1">
      <c r="A13" s="549" t="s">
        <v>81</v>
      </c>
      <c r="B13" s="554">
        <v>14989196300.59</v>
      </c>
      <c r="C13" s="542">
        <v>15821263548.809999</v>
      </c>
      <c r="D13" s="544">
        <v>16127216441.049999</v>
      </c>
      <c r="E13" s="536">
        <v>101.93380820246188</v>
      </c>
      <c r="F13" s="528">
        <v>9.8647235032131455</v>
      </c>
      <c r="G13" s="529">
        <v>107.59226924271587</v>
      </c>
    </row>
    <row r="14" spans="1:7" ht="20.100000000000001" customHeight="1">
      <c r="A14" s="549" t="s">
        <v>82</v>
      </c>
      <c r="B14" s="554">
        <v>296716032.19999999</v>
      </c>
      <c r="C14" s="542">
        <v>302455080.56999999</v>
      </c>
      <c r="D14" s="544">
        <v>301843496.86000001</v>
      </c>
      <c r="E14" s="536">
        <v>99.797793540499498</v>
      </c>
      <c r="F14" s="528">
        <v>0.18463214954985879</v>
      </c>
      <c r="G14" s="529">
        <v>101.72807132192436</v>
      </c>
    </row>
    <row r="15" spans="1:7" ht="20.100000000000001" customHeight="1">
      <c r="A15" s="549" t="s">
        <v>83</v>
      </c>
      <c r="B15" s="554">
        <v>821634291.05999994</v>
      </c>
      <c r="C15" s="542">
        <v>881104610.45000005</v>
      </c>
      <c r="D15" s="544">
        <v>894745884.26999998</v>
      </c>
      <c r="E15" s="536">
        <v>101.54820138928034</v>
      </c>
      <c r="F15" s="528">
        <v>0.54729970210450241</v>
      </c>
      <c r="G15" s="529">
        <v>108.89831327702717</v>
      </c>
    </row>
    <row r="16" spans="1:7" ht="27">
      <c r="A16" s="549" t="s">
        <v>84</v>
      </c>
      <c r="B16" s="554">
        <v>36078582.109999999</v>
      </c>
      <c r="C16" s="542">
        <v>67807384.890000001</v>
      </c>
      <c r="D16" s="544">
        <v>93170102.290000007</v>
      </c>
      <c r="E16" s="536">
        <v>137.40406364460816</v>
      </c>
      <c r="F16" s="528">
        <v>5.6990448489143981E-2</v>
      </c>
      <c r="G16" s="529">
        <v>258.24213935551472</v>
      </c>
    </row>
    <row r="17" spans="1:9" ht="20.100000000000001" customHeight="1">
      <c r="A17" s="549" t="s">
        <v>85</v>
      </c>
      <c r="B17" s="554">
        <v>133421620.84</v>
      </c>
      <c r="C17" s="542">
        <v>149192484.50999999</v>
      </c>
      <c r="D17" s="544">
        <v>187550960.22999999</v>
      </c>
      <c r="E17" s="536">
        <v>125.71072922740217</v>
      </c>
      <c r="F17" s="528">
        <v>0.114721494077661</v>
      </c>
      <c r="G17" s="529">
        <v>140.57014076819846</v>
      </c>
    </row>
    <row r="18" spans="1:9" ht="20.100000000000001" customHeight="1">
      <c r="A18" s="549" t="s">
        <v>86</v>
      </c>
      <c r="B18" s="554">
        <v>1414052924.4000001</v>
      </c>
      <c r="C18" s="542">
        <v>1609013450.8900001</v>
      </c>
      <c r="D18" s="544">
        <v>2022683577.3</v>
      </c>
      <c r="E18" s="536">
        <v>125.70955054360699</v>
      </c>
      <c r="F18" s="528">
        <v>1.2372385710509788</v>
      </c>
      <c r="G18" s="529">
        <v>143.04157520541528</v>
      </c>
    </row>
    <row r="19" spans="1:9" ht="20.100000000000001" customHeight="1">
      <c r="A19" s="549" t="s">
        <v>87</v>
      </c>
      <c r="B19" s="554">
        <v>173548810.09999999</v>
      </c>
      <c r="C19" s="542">
        <v>189560977.15000001</v>
      </c>
      <c r="D19" s="544">
        <v>209854329.03</v>
      </c>
      <c r="E19" s="536">
        <v>110.70544802263909</v>
      </c>
      <c r="F19" s="528">
        <v>0.12836405708327453</v>
      </c>
      <c r="G19" s="529">
        <v>120.91948594120612</v>
      </c>
    </row>
    <row r="20" spans="1:9" ht="20.100000000000001" customHeight="1">
      <c r="A20" s="549" t="s">
        <v>88</v>
      </c>
      <c r="B20" s="554">
        <v>370578369.24000001</v>
      </c>
      <c r="C20" s="542">
        <v>392629698.05000001</v>
      </c>
      <c r="D20" s="544">
        <v>378320275.88</v>
      </c>
      <c r="E20" s="536">
        <v>96.355491639815355</v>
      </c>
      <c r="F20" s="528">
        <v>0.23141159733654168</v>
      </c>
      <c r="G20" s="529">
        <v>102.08914153728873</v>
      </c>
    </row>
    <row r="21" spans="1:9" ht="20.100000000000001" customHeight="1">
      <c r="A21" s="549" t="s">
        <v>89</v>
      </c>
      <c r="B21" s="554">
        <v>97733339.489999995</v>
      </c>
      <c r="C21" s="542">
        <v>2348472.48</v>
      </c>
      <c r="D21" s="544">
        <v>1498051.19</v>
      </c>
      <c r="E21" s="536">
        <v>63.788322101181272</v>
      </c>
      <c r="F21" s="528">
        <v>9.1633052963771544E-4</v>
      </c>
      <c r="G21" s="529">
        <v>1.5327944361844708</v>
      </c>
    </row>
    <row r="22" spans="1:9" ht="20.100000000000001" customHeight="1">
      <c r="A22" s="549" t="s">
        <v>90</v>
      </c>
      <c r="B22" s="554">
        <v>3353516505.8200002</v>
      </c>
      <c r="C22" s="542">
        <v>4230747580.1999998</v>
      </c>
      <c r="D22" s="544">
        <v>4294968424.0100002</v>
      </c>
      <c r="E22" s="536">
        <v>101.51795498532117</v>
      </c>
      <c r="F22" s="528">
        <v>2.6271536760705407</v>
      </c>
      <c r="G22" s="529">
        <v>128.07357341334443</v>
      </c>
    </row>
    <row r="23" spans="1:9" ht="20.100000000000001" customHeight="1">
      <c r="A23" s="549" t="s">
        <v>91</v>
      </c>
      <c r="B23" s="554">
        <v>18166199607.409996</v>
      </c>
      <c r="C23" s="542">
        <v>15707529946.139996</v>
      </c>
      <c r="D23" s="543">
        <v>15604298943.929995</v>
      </c>
      <c r="E23" s="536">
        <v>99.3427928989219</v>
      </c>
      <c r="F23" s="528">
        <v>9.5448644287760409</v>
      </c>
      <c r="G23" s="529">
        <v>85.89743194038779</v>
      </c>
      <c r="I23" s="225" t="s">
        <v>3</v>
      </c>
    </row>
    <row r="24" spans="1:9" ht="27">
      <c r="A24" s="548" t="s">
        <v>1145</v>
      </c>
      <c r="B24" s="553">
        <v>51861104751.720001</v>
      </c>
      <c r="C24" s="540">
        <v>54707125587.659996</v>
      </c>
      <c r="D24" s="541">
        <v>53360405488.360001</v>
      </c>
      <c r="E24" s="535">
        <v>97.538309525800116</v>
      </c>
      <c r="F24" s="526">
        <v>32.639584647859856</v>
      </c>
      <c r="G24" s="527">
        <v>102.89099266939598</v>
      </c>
    </row>
    <row r="25" spans="1:9" ht="20.100000000000001" customHeight="1">
      <c r="A25" s="549" t="s">
        <v>92</v>
      </c>
      <c r="B25" s="554">
        <v>45932602843.690002</v>
      </c>
      <c r="C25" s="542">
        <v>48311934516.899994</v>
      </c>
      <c r="D25" s="543">
        <v>48890665067.690002</v>
      </c>
      <c r="E25" s="536">
        <v>101.19790390630614</v>
      </c>
      <c r="F25" s="528">
        <v>29.905526136137272</v>
      </c>
      <c r="G25" s="529">
        <v>106.44000566235354</v>
      </c>
    </row>
    <row r="26" spans="1:9" ht="54">
      <c r="A26" s="550" t="s">
        <v>93</v>
      </c>
      <c r="B26" s="554">
        <v>5928501908.0300007</v>
      </c>
      <c r="C26" s="542">
        <v>6395191070.7600002</v>
      </c>
      <c r="D26" s="543">
        <v>4469740420.6700001</v>
      </c>
      <c r="E26" s="536">
        <v>69.892210744202515</v>
      </c>
      <c r="F26" s="528">
        <v>2.7340585117225848</v>
      </c>
      <c r="G26" s="529">
        <v>75.394096012954876</v>
      </c>
    </row>
    <row r="27" spans="1:9" ht="20.100000000000001" customHeight="1">
      <c r="A27" s="551" t="s">
        <v>94</v>
      </c>
      <c r="B27" s="555">
        <v>31611735527.84</v>
      </c>
      <c r="C27" s="545">
        <v>38211311836.770004</v>
      </c>
      <c r="D27" s="546">
        <v>40891983952</v>
      </c>
      <c r="E27" s="537">
        <f>D27/C27*100</f>
        <v>107.01538886359414</v>
      </c>
      <c r="F27" s="530">
        <v>25.012879107738051</v>
      </c>
      <c r="G27" s="531">
        <f>D27/B27*100</f>
        <v>129.35697224211881</v>
      </c>
    </row>
    <row r="29" spans="1:9">
      <c r="A29" s="164" t="s">
        <v>1027</v>
      </c>
    </row>
    <row r="31" spans="1:9">
      <c r="C31" s="226"/>
      <c r="D31" s="226"/>
    </row>
    <row r="44" spans="5:6">
      <c r="E44" s="226"/>
      <c r="F44" s="226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8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showGridLines="0" zoomScaleNormal="100" workbookViewId="0">
      <selection activeCell="O3" sqref="O3"/>
    </sheetView>
  </sheetViews>
  <sheetFormatPr defaultRowHeight="12.75"/>
  <cols>
    <col min="1" max="1" width="6.28515625" customWidth="1"/>
    <col min="2" max="2" width="25.7109375" customWidth="1"/>
    <col min="3" max="5" width="13.28515625" bestFit="1" customWidth="1"/>
    <col min="6" max="6" width="9" customWidth="1"/>
    <col min="7" max="7" width="8.85546875" customWidth="1"/>
    <col min="8" max="8" width="9" customWidth="1"/>
  </cols>
  <sheetData>
    <row r="1" spans="1:8">
      <c r="A1" s="1797" t="s">
        <v>374</v>
      </c>
      <c r="B1" s="1797"/>
      <c r="C1" s="1797"/>
      <c r="D1" s="1797"/>
      <c r="E1" s="1797"/>
      <c r="F1" s="1797"/>
      <c r="G1" s="1797"/>
      <c r="H1" s="1797"/>
    </row>
    <row r="3" spans="1:8" ht="13.5">
      <c r="A3" s="2041" t="s">
        <v>881</v>
      </c>
      <c r="B3" s="2044" t="s">
        <v>68</v>
      </c>
      <c r="C3" s="565" t="s">
        <v>71</v>
      </c>
      <c r="D3" s="563" t="s">
        <v>70</v>
      </c>
      <c r="E3" s="561" t="s">
        <v>71</v>
      </c>
      <c r="F3" s="1432" t="s">
        <v>265</v>
      </c>
      <c r="G3" s="2050" t="s">
        <v>22</v>
      </c>
      <c r="H3" s="1438" t="s">
        <v>882</v>
      </c>
    </row>
    <row r="4" spans="1:8" ht="13.5">
      <c r="A4" s="2042"/>
      <c r="B4" s="2045"/>
      <c r="C4" s="566">
        <v>2020</v>
      </c>
      <c r="D4" s="564">
        <v>2021</v>
      </c>
      <c r="E4" s="562">
        <v>2021</v>
      </c>
      <c r="F4" s="1437" t="s">
        <v>883</v>
      </c>
      <c r="G4" s="2051"/>
      <c r="H4" s="559" t="s">
        <v>884</v>
      </c>
    </row>
    <row r="5" spans="1:8" ht="13.5">
      <c r="A5" s="2043"/>
      <c r="B5" s="2046"/>
      <c r="C5" s="2047" t="s">
        <v>885</v>
      </c>
      <c r="D5" s="2048"/>
      <c r="E5" s="2049"/>
      <c r="F5" s="2047" t="s">
        <v>886</v>
      </c>
      <c r="G5" s="2048"/>
      <c r="H5" s="2049"/>
    </row>
    <row r="6" spans="1:8">
      <c r="A6" s="239" t="s">
        <v>887</v>
      </c>
      <c r="B6" s="244" t="s">
        <v>888</v>
      </c>
      <c r="C6" s="249" t="s">
        <v>889</v>
      </c>
      <c r="D6" s="240" t="s">
        <v>890</v>
      </c>
      <c r="E6" s="242" t="s">
        <v>891</v>
      </c>
      <c r="F6" s="239" t="s">
        <v>892</v>
      </c>
      <c r="G6" s="241" t="s">
        <v>893</v>
      </c>
      <c r="H6" s="242" t="s">
        <v>894</v>
      </c>
    </row>
    <row r="7" spans="1:8" ht="19.899999999999999" customHeight="1">
      <c r="A7" s="1078"/>
      <c r="B7" s="76" t="s">
        <v>933</v>
      </c>
      <c r="C7" s="567">
        <v>149090469522.94</v>
      </c>
      <c r="D7" s="1080">
        <v>159266998771.89999</v>
      </c>
      <c r="E7" s="1085">
        <v>163483714832.92999</v>
      </c>
      <c r="F7" s="560">
        <v>102.6</v>
      </c>
      <c r="G7" s="150">
        <v>100</v>
      </c>
      <c r="H7" s="343">
        <v>109.7</v>
      </c>
    </row>
    <row r="8" spans="1:8" ht="19.899999999999999" customHeight="1">
      <c r="A8" s="1075" t="s">
        <v>895</v>
      </c>
      <c r="B8" s="63" t="s">
        <v>99</v>
      </c>
      <c r="C8" s="568">
        <v>2155524981.8400002</v>
      </c>
      <c r="D8" s="1081">
        <v>2192184974.0900002</v>
      </c>
      <c r="E8" s="1086">
        <v>2001412078.1099999</v>
      </c>
      <c r="F8" s="369">
        <v>91.3</v>
      </c>
      <c r="G8" s="157">
        <v>1.2</v>
      </c>
      <c r="H8" s="344">
        <v>92.9</v>
      </c>
    </row>
    <row r="9" spans="1:8" ht="19.899999999999999" customHeight="1">
      <c r="A9" s="1075" t="s">
        <v>896</v>
      </c>
      <c r="B9" s="63" t="s">
        <v>100</v>
      </c>
      <c r="C9" s="568">
        <v>21533856.77</v>
      </c>
      <c r="D9" s="1081">
        <v>33974314.329999998</v>
      </c>
      <c r="E9" s="1086">
        <v>35533810.630000003</v>
      </c>
      <c r="F9" s="369">
        <v>104.6</v>
      </c>
      <c r="G9" s="157">
        <v>0</v>
      </c>
      <c r="H9" s="344">
        <v>165</v>
      </c>
    </row>
    <row r="10" spans="1:8" ht="19.899999999999999" customHeight="1">
      <c r="A10" s="1075" t="s">
        <v>897</v>
      </c>
      <c r="B10" s="63" t="s">
        <v>101</v>
      </c>
      <c r="C10" s="568">
        <v>1500661.2</v>
      </c>
      <c r="D10" s="1081">
        <v>1023123.83</v>
      </c>
      <c r="E10" s="1086">
        <v>596474.32999999996</v>
      </c>
      <c r="F10" s="369">
        <v>58.3</v>
      </c>
      <c r="G10" s="157">
        <v>0</v>
      </c>
      <c r="H10" s="344">
        <v>39.700000000000003</v>
      </c>
    </row>
    <row r="11" spans="1:8" ht="19.899999999999999" customHeight="1">
      <c r="A11" s="1075" t="s">
        <v>898</v>
      </c>
      <c r="B11" s="63" t="s">
        <v>126</v>
      </c>
      <c r="C11" s="568">
        <v>5682031.9800000004</v>
      </c>
      <c r="D11" s="1081">
        <v>5931212.8799999999</v>
      </c>
      <c r="E11" s="1086">
        <v>5612432.8200000003</v>
      </c>
      <c r="F11" s="369">
        <v>94.6</v>
      </c>
      <c r="G11" s="157">
        <v>0</v>
      </c>
      <c r="H11" s="344">
        <v>98.8</v>
      </c>
    </row>
    <row r="12" spans="1:8" ht="19.899999999999999" customHeight="1">
      <c r="A12" s="1075" t="s">
        <v>899</v>
      </c>
      <c r="B12" s="63" t="s">
        <v>102</v>
      </c>
      <c r="C12" s="568">
        <v>6818585.54</v>
      </c>
      <c r="D12" s="1081">
        <v>6741950.7800000003</v>
      </c>
      <c r="E12" s="1086">
        <v>2382609.54</v>
      </c>
      <c r="F12" s="369">
        <v>35.299999999999997</v>
      </c>
      <c r="G12" s="157">
        <v>0</v>
      </c>
      <c r="H12" s="344">
        <v>34.9</v>
      </c>
    </row>
    <row r="13" spans="1:8" ht="27">
      <c r="A13" s="1075" t="s">
        <v>900</v>
      </c>
      <c r="B13" s="63" t="s">
        <v>103</v>
      </c>
      <c r="C13" s="568">
        <v>504620660.76999998</v>
      </c>
      <c r="D13" s="1081">
        <v>572314593.46000004</v>
      </c>
      <c r="E13" s="1086">
        <v>544573565.09000003</v>
      </c>
      <c r="F13" s="369">
        <v>95.2</v>
      </c>
      <c r="G13" s="157">
        <v>0.3</v>
      </c>
      <c r="H13" s="344">
        <v>107.9</v>
      </c>
    </row>
    <row r="14" spans="1:8" ht="19.899999999999999" customHeight="1">
      <c r="A14" s="1075" t="s">
        <v>901</v>
      </c>
      <c r="B14" s="63" t="s">
        <v>216</v>
      </c>
      <c r="C14" s="568">
        <v>10375125.880000001</v>
      </c>
      <c r="D14" s="1081">
        <v>9815409.3100000005</v>
      </c>
      <c r="E14" s="1086">
        <v>9456746.2200000007</v>
      </c>
      <c r="F14" s="369">
        <v>96.3</v>
      </c>
      <c r="G14" s="157">
        <v>0</v>
      </c>
      <c r="H14" s="344">
        <v>91.1</v>
      </c>
    </row>
    <row r="15" spans="1:8" ht="19.899999999999999" customHeight="1">
      <c r="A15" s="1075" t="s">
        <v>902</v>
      </c>
      <c r="B15" s="63" t="s">
        <v>354</v>
      </c>
      <c r="C15" s="568">
        <v>688207.04</v>
      </c>
      <c r="D15" s="1081">
        <v>700000</v>
      </c>
      <c r="E15" s="1086">
        <v>754016.06</v>
      </c>
      <c r="F15" s="369">
        <v>107.7</v>
      </c>
      <c r="G15" s="157">
        <v>0</v>
      </c>
      <c r="H15" s="344">
        <v>109.6</v>
      </c>
    </row>
    <row r="16" spans="1:8" ht="19.899999999999999" customHeight="1">
      <c r="A16" s="1075" t="s">
        <v>903</v>
      </c>
      <c r="B16" s="63" t="s">
        <v>104</v>
      </c>
      <c r="C16" s="568">
        <v>2993358373.9899998</v>
      </c>
      <c r="D16" s="1081">
        <v>3286162232.1500001</v>
      </c>
      <c r="E16" s="1086">
        <v>3091548097.0900002</v>
      </c>
      <c r="F16" s="369">
        <v>94.1</v>
      </c>
      <c r="G16" s="157">
        <v>1.9</v>
      </c>
      <c r="H16" s="344">
        <v>103.3</v>
      </c>
    </row>
    <row r="17" spans="1:8" ht="19.899999999999999" customHeight="1">
      <c r="A17" s="1075" t="s">
        <v>904</v>
      </c>
      <c r="B17" s="63" t="s">
        <v>105</v>
      </c>
      <c r="C17" s="568">
        <v>280158721.54000002</v>
      </c>
      <c r="D17" s="1081">
        <v>290733642.79000002</v>
      </c>
      <c r="E17" s="1086">
        <v>206403606.88</v>
      </c>
      <c r="F17" s="369">
        <v>71</v>
      </c>
      <c r="G17" s="157">
        <v>0.1</v>
      </c>
      <c r="H17" s="344">
        <v>73.7</v>
      </c>
    </row>
    <row r="18" spans="1:8" ht="19.899999999999999" customHeight="1">
      <c r="A18" s="1075" t="s">
        <v>905</v>
      </c>
      <c r="B18" s="63" t="s">
        <v>106</v>
      </c>
      <c r="C18" s="568">
        <v>3851726411.7399998</v>
      </c>
      <c r="D18" s="1081">
        <v>5628087454.5500002</v>
      </c>
      <c r="E18" s="1086">
        <v>5674249557.1400003</v>
      </c>
      <c r="F18" s="369">
        <v>100.8</v>
      </c>
      <c r="G18" s="157">
        <v>3.5</v>
      </c>
      <c r="H18" s="344">
        <v>147.30000000000001</v>
      </c>
    </row>
    <row r="19" spans="1:8" ht="19.899999999999999" customHeight="1">
      <c r="A19" s="1075" t="s">
        <v>906</v>
      </c>
      <c r="B19" s="63" t="s">
        <v>107</v>
      </c>
      <c r="C19" s="568">
        <v>128654874.7</v>
      </c>
      <c r="D19" s="1081">
        <v>149206548.65000001</v>
      </c>
      <c r="E19" s="1086">
        <v>152131596.02000001</v>
      </c>
      <c r="F19" s="369">
        <v>102</v>
      </c>
      <c r="G19" s="157">
        <v>0.1</v>
      </c>
      <c r="H19" s="344">
        <v>118.2</v>
      </c>
    </row>
    <row r="20" spans="1:8" ht="19.899999999999999" customHeight="1">
      <c r="A20" s="1075" t="s">
        <v>907</v>
      </c>
      <c r="B20" s="63" t="s">
        <v>108</v>
      </c>
      <c r="C20" s="568">
        <v>31098623.91</v>
      </c>
      <c r="D20" s="1081">
        <v>22500213.609999999</v>
      </c>
      <c r="E20" s="1086">
        <v>8442353.8200000003</v>
      </c>
      <c r="F20" s="369">
        <v>37.5</v>
      </c>
      <c r="G20" s="157">
        <v>0</v>
      </c>
      <c r="H20" s="344">
        <v>27.1</v>
      </c>
    </row>
    <row r="21" spans="1:8" ht="19.899999999999999" customHeight="1">
      <c r="A21" s="1075" t="s">
        <v>908</v>
      </c>
      <c r="B21" s="63" t="s">
        <v>217</v>
      </c>
      <c r="C21" s="568">
        <v>808176.05</v>
      </c>
      <c r="D21" s="1081">
        <v>1348604.11</v>
      </c>
      <c r="E21" s="1086">
        <v>940322.31</v>
      </c>
      <c r="F21" s="369">
        <v>69.7</v>
      </c>
      <c r="G21" s="157">
        <v>0</v>
      </c>
      <c r="H21" s="344">
        <v>116.4</v>
      </c>
    </row>
    <row r="22" spans="1:8" ht="19.899999999999999" customHeight="1">
      <c r="A22" s="1075" t="s">
        <v>909</v>
      </c>
      <c r="B22" s="63" t="s">
        <v>109</v>
      </c>
      <c r="C22" s="568">
        <v>845927648.37</v>
      </c>
      <c r="D22" s="1081">
        <v>885806965.66999996</v>
      </c>
      <c r="E22" s="1086">
        <v>856340628.36000001</v>
      </c>
      <c r="F22" s="369">
        <v>96.7</v>
      </c>
      <c r="G22" s="157">
        <v>0.5</v>
      </c>
      <c r="H22" s="344">
        <v>101.2</v>
      </c>
    </row>
    <row r="23" spans="1:8" ht="40.5">
      <c r="A23" s="1075" t="s">
        <v>910</v>
      </c>
      <c r="B23" s="63" t="s">
        <v>110</v>
      </c>
      <c r="C23" s="568">
        <v>202087814.03</v>
      </c>
      <c r="D23" s="1081">
        <v>8799344.1999999993</v>
      </c>
      <c r="E23" s="1086">
        <v>8466835.3000000007</v>
      </c>
      <c r="F23" s="369">
        <v>96.2</v>
      </c>
      <c r="G23" s="157">
        <v>0</v>
      </c>
      <c r="H23" s="344">
        <v>4.2</v>
      </c>
    </row>
    <row r="24" spans="1:8" ht="19.899999999999999" customHeight="1">
      <c r="A24" s="1075" t="s">
        <v>911</v>
      </c>
      <c r="B24" s="63" t="s">
        <v>111</v>
      </c>
      <c r="C24" s="568">
        <v>888075.86</v>
      </c>
      <c r="D24" s="1081">
        <v>1126700.8700000001</v>
      </c>
      <c r="E24" s="1086">
        <v>937753.92</v>
      </c>
      <c r="F24" s="369">
        <v>83.2</v>
      </c>
      <c r="G24" s="157">
        <v>0</v>
      </c>
      <c r="H24" s="344">
        <v>105.6</v>
      </c>
    </row>
    <row r="25" spans="1:8" ht="27">
      <c r="A25" s="1075" t="s">
        <v>914</v>
      </c>
      <c r="B25" s="63" t="s">
        <v>112</v>
      </c>
      <c r="C25" s="568">
        <v>141187381.62</v>
      </c>
      <c r="D25" s="1081">
        <v>150251654.38</v>
      </c>
      <c r="E25" s="1086">
        <v>133405191.01000001</v>
      </c>
      <c r="F25" s="369">
        <v>88.8</v>
      </c>
      <c r="G25" s="157">
        <v>0.1</v>
      </c>
      <c r="H25" s="344">
        <v>94.5</v>
      </c>
    </row>
    <row r="26" spans="1:8" ht="19.899999999999999" customHeight="1">
      <c r="A26" s="1075" t="s">
        <v>915</v>
      </c>
      <c r="B26" s="63" t="s">
        <v>113</v>
      </c>
      <c r="C26" s="568">
        <v>1520456.56</v>
      </c>
      <c r="D26" s="1081">
        <v>508997.04</v>
      </c>
      <c r="E26" s="1086">
        <v>526170.53</v>
      </c>
      <c r="F26" s="369">
        <v>103.4</v>
      </c>
      <c r="G26" s="157">
        <v>0</v>
      </c>
      <c r="H26" s="344">
        <v>34.6</v>
      </c>
    </row>
    <row r="27" spans="1:8" ht="54">
      <c r="A27" s="1075" t="s">
        <v>916</v>
      </c>
      <c r="B27" s="63" t="s">
        <v>356</v>
      </c>
      <c r="C27" s="568">
        <v>45204368796.860001</v>
      </c>
      <c r="D27" s="1081">
        <v>47781371706.550003</v>
      </c>
      <c r="E27" s="1086">
        <v>50762885147.349998</v>
      </c>
      <c r="F27" s="369">
        <v>106.2</v>
      </c>
      <c r="G27" s="157">
        <v>31.1</v>
      </c>
      <c r="H27" s="344">
        <v>112.3</v>
      </c>
    </row>
    <row r="28" spans="1:8" ht="19.899999999999999" customHeight="1">
      <c r="A28" s="1075" t="s">
        <v>917</v>
      </c>
      <c r="B28" s="63" t="s">
        <v>357</v>
      </c>
      <c r="C28" s="568">
        <v>169231.27</v>
      </c>
      <c r="D28" s="1081">
        <v>4137996.81</v>
      </c>
      <c r="E28" s="1086">
        <v>4144177.26</v>
      </c>
      <c r="F28" s="369">
        <v>100.1</v>
      </c>
      <c r="G28" s="157">
        <v>0</v>
      </c>
      <c r="H28" s="344">
        <v>2448.8000000000002</v>
      </c>
    </row>
    <row r="29" spans="1:8" ht="19.899999999999999" customHeight="1">
      <c r="A29" s="1075" t="s">
        <v>918</v>
      </c>
      <c r="B29" s="63" t="s">
        <v>114</v>
      </c>
      <c r="C29" s="568">
        <v>37724121182.050003</v>
      </c>
      <c r="D29" s="1081">
        <v>40428267922.18</v>
      </c>
      <c r="E29" s="1086">
        <v>43862712665.790001</v>
      </c>
      <c r="F29" s="369">
        <v>108.5</v>
      </c>
      <c r="G29" s="157">
        <v>26.8</v>
      </c>
      <c r="H29" s="344">
        <v>116.3</v>
      </c>
    </row>
    <row r="30" spans="1:8" ht="19.899999999999999" customHeight="1">
      <c r="A30" s="1075" t="s">
        <v>919</v>
      </c>
      <c r="B30" s="63" t="s">
        <v>115</v>
      </c>
      <c r="C30" s="568">
        <v>3465292227.5599999</v>
      </c>
      <c r="D30" s="1081">
        <v>4251449078.75</v>
      </c>
      <c r="E30" s="1086">
        <v>4017138537.9099998</v>
      </c>
      <c r="F30" s="369">
        <v>94.5</v>
      </c>
      <c r="G30" s="157">
        <v>2.5</v>
      </c>
      <c r="H30" s="344">
        <v>115.9</v>
      </c>
    </row>
    <row r="31" spans="1:8" ht="19.899999999999999" customHeight="1">
      <c r="A31" s="1075" t="s">
        <v>921</v>
      </c>
      <c r="B31" s="63" t="s">
        <v>116</v>
      </c>
      <c r="C31" s="568">
        <v>107290321.53</v>
      </c>
      <c r="D31" s="1081">
        <v>227056112</v>
      </c>
      <c r="E31" s="1086">
        <v>502666408.06999999</v>
      </c>
      <c r="F31" s="369">
        <v>221.4</v>
      </c>
      <c r="G31" s="157">
        <v>0.3</v>
      </c>
      <c r="H31" s="344">
        <v>468.5</v>
      </c>
    </row>
    <row r="32" spans="1:8" ht="19.899999999999999" customHeight="1">
      <c r="A32" s="1075" t="s">
        <v>922</v>
      </c>
      <c r="B32" s="63" t="s">
        <v>117</v>
      </c>
      <c r="C32" s="568">
        <v>2775296671.5100002</v>
      </c>
      <c r="D32" s="1081">
        <v>2943424977.7800002</v>
      </c>
      <c r="E32" s="1086">
        <v>2834551909.77</v>
      </c>
      <c r="F32" s="369">
        <v>96.3</v>
      </c>
      <c r="G32" s="157">
        <v>1.7</v>
      </c>
      <c r="H32" s="344">
        <v>102.1</v>
      </c>
    </row>
    <row r="33" spans="1:8" ht="27">
      <c r="A33" s="1075" t="s">
        <v>923</v>
      </c>
      <c r="B33" s="63" t="s">
        <v>118</v>
      </c>
      <c r="C33" s="568">
        <v>245514938.83000001</v>
      </c>
      <c r="D33" s="1081">
        <v>316741957.37</v>
      </c>
      <c r="E33" s="1086">
        <v>277936505.75999999</v>
      </c>
      <c r="F33" s="369">
        <v>87.7</v>
      </c>
      <c r="G33" s="157">
        <v>0.2</v>
      </c>
      <c r="H33" s="344">
        <v>113.2</v>
      </c>
    </row>
    <row r="34" spans="1:8" ht="19.899999999999999" customHeight="1">
      <c r="A34" s="1075" t="s">
        <v>924</v>
      </c>
      <c r="B34" s="63" t="s">
        <v>119</v>
      </c>
      <c r="C34" s="568">
        <v>201645427.50999999</v>
      </c>
      <c r="D34" s="1081">
        <v>212557264.90000001</v>
      </c>
      <c r="E34" s="1086">
        <v>182908827.19</v>
      </c>
      <c r="F34" s="369">
        <v>86.1</v>
      </c>
      <c r="G34" s="157">
        <v>0.1</v>
      </c>
      <c r="H34" s="344">
        <v>90.7</v>
      </c>
    </row>
    <row r="35" spans="1:8" ht="19.899999999999999" customHeight="1">
      <c r="A35" s="1075" t="s">
        <v>925</v>
      </c>
      <c r="B35" s="63" t="s">
        <v>120</v>
      </c>
      <c r="C35" s="568">
        <v>39260092397.550003</v>
      </c>
      <c r="D35" s="1081">
        <v>38862544377.260002</v>
      </c>
      <c r="E35" s="1086">
        <v>38635605099.68</v>
      </c>
      <c r="F35" s="369">
        <v>99.4</v>
      </c>
      <c r="G35" s="157">
        <v>23.6</v>
      </c>
      <c r="H35" s="344">
        <v>98.4</v>
      </c>
    </row>
    <row r="36" spans="1:8" ht="27">
      <c r="A36" s="1075" t="s">
        <v>926</v>
      </c>
      <c r="B36" s="63" t="s">
        <v>121</v>
      </c>
      <c r="C36" s="568">
        <v>7820469001.8299999</v>
      </c>
      <c r="D36" s="1081">
        <v>9695423481.2600002</v>
      </c>
      <c r="E36" s="1086">
        <v>8602137667.7399998</v>
      </c>
      <c r="F36" s="369">
        <v>88.7</v>
      </c>
      <c r="G36" s="157">
        <v>5.3</v>
      </c>
      <c r="H36" s="344">
        <v>110</v>
      </c>
    </row>
    <row r="37" spans="1:8" ht="27">
      <c r="A37" s="1075" t="s">
        <v>927</v>
      </c>
      <c r="B37" s="63" t="s">
        <v>122</v>
      </c>
      <c r="C37" s="568">
        <v>517147588.52999997</v>
      </c>
      <c r="D37" s="1081">
        <v>623632148.32000005</v>
      </c>
      <c r="E37" s="1086">
        <v>473831301.48000002</v>
      </c>
      <c r="F37" s="369">
        <v>76</v>
      </c>
      <c r="G37" s="157">
        <v>0.3</v>
      </c>
      <c r="H37" s="344">
        <v>91.6</v>
      </c>
    </row>
    <row r="38" spans="1:8" ht="40.5">
      <c r="A38" s="1075" t="s">
        <v>928</v>
      </c>
      <c r="B38" s="63" t="s">
        <v>123</v>
      </c>
      <c r="C38" s="568">
        <v>4577317.3600000003</v>
      </c>
      <c r="D38" s="1081">
        <v>668168.99</v>
      </c>
      <c r="E38" s="1086">
        <v>708917.78</v>
      </c>
      <c r="F38" s="369">
        <v>106.1</v>
      </c>
      <c r="G38" s="157">
        <v>0</v>
      </c>
      <c r="H38" s="344">
        <v>15.5</v>
      </c>
    </row>
    <row r="39" spans="1:8" ht="19.899999999999999" customHeight="1">
      <c r="A39" s="1076" t="s">
        <v>929</v>
      </c>
      <c r="B39" s="295" t="s">
        <v>124</v>
      </c>
      <c r="C39" s="569">
        <v>580323751.15999997</v>
      </c>
      <c r="D39" s="1082">
        <v>672505643.02999997</v>
      </c>
      <c r="E39" s="1087">
        <v>592773821.97000003</v>
      </c>
      <c r="F39" s="371">
        <v>88.1</v>
      </c>
      <c r="G39" s="130">
        <v>0.4</v>
      </c>
      <c r="H39" s="345">
        <v>102.1</v>
      </c>
    </row>
    <row r="41" spans="1:8" ht="13.5">
      <c r="A41" s="54" t="s">
        <v>930</v>
      </c>
      <c r="B41" s="53"/>
      <c r="C41" s="53"/>
      <c r="D41" s="53"/>
      <c r="E41" s="53"/>
      <c r="F41" s="53"/>
      <c r="G41" s="53"/>
      <c r="H41" s="53"/>
    </row>
  </sheetData>
  <mergeCells count="6">
    <mergeCell ref="A1:H1"/>
    <mergeCell ref="A3:A5"/>
    <mergeCell ref="B3:B5"/>
    <mergeCell ref="C5:E5"/>
    <mergeCell ref="F5:H5"/>
    <mergeCell ref="G3:G4"/>
  </mergeCells>
  <pageMargins left="0.70866141732283472" right="0.70866141732283472" top="0.74803149606299213" bottom="0.5511811023622047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7"/>
  <sheetViews>
    <sheetView showGridLines="0" zoomScaleNormal="100" workbookViewId="0">
      <selection activeCell="O3" sqref="O3"/>
    </sheetView>
  </sheetViews>
  <sheetFormatPr defaultRowHeight="12.75"/>
  <cols>
    <col min="1" max="1" width="5.42578125" customWidth="1"/>
    <col min="2" max="2" width="16.7109375" customWidth="1"/>
    <col min="3" max="7" width="12" customWidth="1"/>
  </cols>
  <sheetData>
    <row r="2" spans="1:7">
      <c r="A2" s="1797" t="s">
        <v>962</v>
      </c>
      <c r="B2" s="1797"/>
      <c r="C2" s="1797"/>
      <c r="D2" s="1797"/>
      <c r="E2" s="1797"/>
      <c r="F2" s="1797"/>
      <c r="G2" s="1797"/>
    </row>
    <row r="4" spans="1:7" ht="13.5" customHeight="1">
      <c r="A4" s="1798" t="s">
        <v>41</v>
      </c>
      <c r="B4" s="1801" t="s">
        <v>68</v>
      </c>
      <c r="C4" s="1808" t="s">
        <v>959</v>
      </c>
      <c r="D4" s="248" t="s">
        <v>960</v>
      </c>
      <c r="E4" s="229" t="s">
        <v>348</v>
      </c>
      <c r="F4" s="229" t="s">
        <v>349</v>
      </c>
      <c r="G4" s="230" t="s">
        <v>371</v>
      </c>
    </row>
    <row r="5" spans="1:7" ht="14.25" customHeight="1">
      <c r="A5" s="1799"/>
      <c r="B5" s="1802"/>
      <c r="C5" s="1809"/>
      <c r="D5" s="1804" t="s">
        <v>961</v>
      </c>
      <c r="E5" s="1804"/>
      <c r="F5" s="1804"/>
      <c r="G5" s="1805"/>
    </row>
    <row r="6" spans="1:7" ht="14.25" customHeight="1">
      <c r="A6" s="1800"/>
      <c r="B6" s="1803"/>
      <c r="C6" s="1810"/>
      <c r="D6" s="1806" t="s">
        <v>4</v>
      </c>
      <c r="E6" s="1806"/>
      <c r="F6" s="1806"/>
      <c r="G6" s="1807"/>
    </row>
    <row r="7" spans="1:7">
      <c r="A7" s="239" t="s">
        <v>887</v>
      </c>
      <c r="B7" s="244" t="s">
        <v>888</v>
      </c>
      <c r="C7" s="249" t="s">
        <v>889</v>
      </c>
      <c r="D7" s="240" t="s">
        <v>890</v>
      </c>
      <c r="E7" s="241" t="s">
        <v>891</v>
      </c>
      <c r="F7" s="241" t="s">
        <v>892</v>
      </c>
      <c r="G7" s="242" t="s">
        <v>893</v>
      </c>
    </row>
    <row r="8" spans="1:7" s="34" customFormat="1" ht="21.95" customHeight="1">
      <c r="A8" s="231"/>
      <c r="B8" s="1563" t="s">
        <v>933</v>
      </c>
      <c r="C8" s="250">
        <v>38265013</v>
      </c>
      <c r="D8" s="111">
        <v>596.54</v>
      </c>
      <c r="E8" s="173">
        <v>543.63</v>
      </c>
      <c r="F8" s="173">
        <v>52.91</v>
      </c>
      <c r="G8" s="232">
        <v>148.6</v>
      </c>
    </row>
    <row r="9" spans="1:7" s="34" customFormat="1" ht="20.100000000000001" customHeight="1">
      <c r="A9" s="233" t="s">
        <v>6</v>
      </c>
      <c r="B9" s="246" t="s">
        <v>26</v>
      </c>
      <c r="C9" s="251">
        <v>2891321</v>
      </c>
      <c r="D9" s="112">
        <v>553.92999999999995</v>
      </c>
      <c r="E9" s="174">
        <v>456.57</v>
      </c>
      <c r="F9" s="174">
        <v>97.36</v>
      </c>
      <c r="G9" s="234">
        <v>92.84</v>
      </c>
    </row>
    <row r="10" spans="1:7" s="34" customFormat="1" ht="20.100000000000001" customHeight="1">
      <c r="A10" s="233" t="s">
        <v>7</v>
      </c>
      <c r="B10" s="246" t="s">
        <v>42</v>
      </c>
      <c r="C10" s="251">
        <v>2061942</v>
      </c>
      <c r="D10" s="112">
        <v>639.95000000000005</v>
      </c>
      <c r="E10" s="174">
        <v>589.47</v>
      </c>
      <c r="F10" s="174">
        <v>50.47</v>
      </c>
      <c r="G10" s="234">
        <v>117.7</v>
      </c>
    </row>
    <row r="11" spans="1:7" s="34" customFormat="1" ht="20.100000000000001" customHeight="1">
      <c r="A11" s="233" t="s">
        <v>8</v>
      </c>
      <c r="B11" s="246" t="s">
        <v>27</v>
      </c>
      <c r="C11" s="251">
        <v>2095258</v>
      </c>
      <c r="D11" s="112">
        <v>651.36</v>
      </c>
      <c r="E11" s="174">
        <v>564.03</v>
      </c>
      <c r="F11" s="174">
        <v>87.33</v>
      </c>
      <c r="G11" s="234">
        <v>288.89999999999998</v>
      </c>
    </row>
    <row r="12" spans="1:7" s="34" customFormat="1" ht="20.100000000000001" customHeight="1">
      <c r="A12" s="233" t="s">
        <v>9</v>
      </c>
      <c r="B12" s="246" t="s">
        <v>28</v>
      </c>
      <c r="C12" s="251">
        <v>1007145</v>
      </c>
      <c r="D12" s="112">
        <v>613.79</v>
      </c>
      <c r="E12" s="174">
        <v>544.54999999999995</v>
      </c>
      <c r="F12" s="174">
        <v>69.25</v>
      </c>
      <c r="G12" s="234">
        <v>206.75</v>
      </c>
    </row>
    <row r="13" spans="1:7" s="34" customFormat="1" ht="20.100000000000001" customHeight="1">
      <c r="A13" s="233" t="s">
        <v>1</v>
      </c>
      <c r="B13" s="246" t="s">
        <v>29</v>
      </c>
      <c r="C13" s="251">
        <v>2437970</v>
      </c>
      <c r="D13" s="112">
        <v>510.66</v>
      </c>
      <c r="E13" s="174">
        <v>437.57</v>
      </c>
      <c r="F13" s="174">
        <v>73.08</v>
      </c>
      <c r="G13" s="234">
        <v>199.05</v>
      </c>
    </row>
    <row r="14" spans="1:7" s="34" customFormat="1" ht="20.100000000000001" customHeight="1">
      <c r="A14" s="233" t="s">
        <v>2</v>
      </c>
      <c r="B14" s="246" t="s">
        <v>30</v>
      </c>
      <c r="C14" s="251">
        <v>3410441</v>
      </c>
      <c r="D14" s="112">
        <v>589.99</v>
      </c>
      <c r="E14" s="174">
        <v>571.73</v>
      </c>
      <c r="F14" s="174">
        <v>18.260000000000002</v>
      </c>
      <c r="G14" s="234">
        <v>144.91999999999999</v>
      </c>
    </row>
    <row r="15" spans="1:7" s="34" customFormat="1" ht="20.100000000000001" customHeight="1">
      <c r="A15" s="233" t="s">
        <v>10</v>
      </c>
      <c r="B15" s="246" t="s">
        <v>31</v>
      </c>
      <c r="C15" s="251">
        <v>5425028</v>
      </c>
      <c r="D15" s="112">
        <v>727.29</v>
      </c>
      <c r="E15" s="174">
        <v>693.17</v>
      </c>
      <c r="F15" s="174">
        <v>34.119999999999997</v>
      </c>
      <c r="G15" s="234">
        <v>171.56</v>
      </c>
    </row>
    <row r="16" spans="1:7" s="34" customFormat="1" ht="20.100000000000001" customHeight="1">
      <c r="A16" s="233" t="s">
        <v>11</v>
      </c>
      <c r="B16" s="246" t="s">
        <v>32</v>
      </c>
      <c r="C16" s="251">
        <v>976774</v>
      </c>
      <c r="D16" s="112">
        <v>643.44000000000005</v>
      </c>
      <c r="E16" s="174">
        <v>554.17999999999995</v>
      </c>
      <c r="F16" s="174">
        <v>89.27</v>
      </c>
      <c r="G16" s="234">
        <v>62.6</v>
      </c>
    </row>
    <row r="17" spans="1:7" s="34" customFormat="1" ht="20.100000000000001" customHeight="1">
      <c r="A17" s="233" t="s">
        <v>12</v>
      </c>
      <c r="B17" s="246" t="s">
        <v>33</v>
      </c>
      <c r="C17" s="251">
        <v>2121229</v>
      </c>
      <c r="D17" s="112">
        <v>632.24</v>
      </c>
      <c r="E17" s="174">
        <v>501.42</v>
      </c>
      <c r="F17" s="174">
        <v>130.82</v>
      </c>
      <c r="G17" s="234">
        <v>111.84</v>
      </c>
    </row>
    <row r="18" spans="1:7" s="34" customFormat="1" ht="20.100000000000001" customHeight="1">
      <c r="A18" s="233" t="s">
        <v>13</v>
      </c>
      <c r="B18" s="246" t="s">
        <v>34</v>
      </c>
      <c r="C18" s="251">
        <v>1173286</v>
      </c>
      <c r="D18" s="112">
        <v>593.59</v>
      </c>
      <c r="E18" s="174">
        <v>593.27</v>
      </c>
      <c r="F18" s="174">
        <v>0.31</v>
      </c>
      <c r="G18" s="234">
        <v>238.65</v>
      </c>
    </row>
    <row r="19" spans="1:7" s="34" customFormat="1" ht="20.100000000000001" customHeight="1">
      <c r="A19" s="233" t="s">
        <v>14</v>
      </c>
      <c r="B19" s="246" t="s">
        <v>35</v>
      </c>
      <c r="C19" s="251">
        <v>2346671</v>
      </c>
      <c r="D19" s="112">
        <v>532.71</v>
      </c>
      <c r="E19" s="174">
        <v>493.69</v>
      </c>
      <c r="F19" s="174">
        <v>39.020000000000003</v>
      </c>
      <c r="G19" s="234">
        <v>124.28</v>
      </c>
    </row>
    <row r="20" spans="1:7" s="34" customFormat="1" ht="20.100000000000001" customHeight="1">
      <c r="A20" s="233" t="s">
        <v>15</v>
      </c>
      <c r="B20" s="246" t="s">
        <v>36</v>
      </c>
      <c r="C20" s="251">
        <v>4492330</v>
      </c>
      <c r="D20" s="112">
        <v>487.96</v>
      </c>
      <c r="E20" s="174">
        <v>450.36</v>
      </c>
      <c r="F20" s="174">
        <v>37.6</v>
      </c>
      <c r="G20" s="234">
        <v>86.67</v>
      </c>
    </row>
    <row r="21" spans="1:7" s="34" customFormat="1" ht="20.100000000000001" customHeight="1">
      <c r="A21" s="233" t="s">
        <v>16</v>
      </c>
      <c r="B21" s="246" t="s">
        <v>37</v>
      </c>
      <c r="C21" s="251">
        <v>1224626</v>
      </c>
      <c r="D21" s="112">
        <v>516.45000000000005</v>
      </c>
      <c r="E21" s="174">
        <v>453.62</v>
      </c>
      <c r="F21" s="174">
        <v>62.83</v>
      </c>
      <c r="G21" s="234">
        <v>84.04</v>
      </c>
    </row>
    <row r="22" spans="1:7" s="34" customFormat="1" ht="20.100000000000001" customHeight="1">
      <c r="A22" s="233" t="s">
        <v>17</v>
      </c>
      <c r="B22" s="246" t="s">
        <v>43</v>
      </c>
      <c r="C22" s="251">
        <v>1416495</v>
      </c>
      <c r="D22" s="112">
        <v>636.19000000000005</v>
      </c>
      <c r="E22" s="174">
        <v>603.91999999999996</v>
      </c>
      <c r="F22" s="174">
        <v>32.26</v>
      </c>
      <c r="G22" s="234">
        <v>233.68</v>
      </c>
    </row>
    <row r="23" spans="1:7" s="34" customFormat="1" ht="20.100000000000001" customHeight="1">
      <c r="A23" s="233" t="s">
        <v>18</v>
      </c>
      <c r="B23" s="246" t="s">
        <v>38</v>
      </c>
      <c r="C23" s="251">
        <v>3496450</v>
      </c>
      <c r="D23" s="112">
        <v>552.75</v>
      </c>
      <c r="E23" s="174">
        <v>502.63</v>
      </c>
      <c r="F23" s="174">
        <v>50.12</v>
      </c>
      <c r="G23" s="234">
        <v>104.3</v>
      </c>
    </row>
    <row r="24" spans="1:7" ht="20.100000000000001" customHeight="1">
      <c r="A24" s="235" t="s">
        <v>19</v>
      </c>
      <c r="B24" s="247" t="s">
        <v>39</v>
      </c>
      <c r="C24" s="252">
        <v>1688047</v>
      </c>
      <c r="D24" s="236">
        <v>678.48</v>
      </c>
      <c r="E24" s="237">
        <v>656.43</v>
      </c>
      <c r="F24" s="237">
        <v>22.05</v>
      </c>
      <c r="G24" s="238">
        <v>233.11</v>
      </c>
    </row>
    <row r="26" spans="1:7" ht="13.5">
      <c r="A26" s="161" t="s">
        <v>934</v>
      </c>
      <c r="B26" s="162" t="s">
        <v>935</v>
      </c>
      <c r="C26" s="161"/>
      <c r="D26" s="161"/>
      <c r="E26" s="161"/>
      <c r="F26" s="161"/>
      <c r="G26" s="161"/>
    </row>
    <row r="27" spans="1:7" ht="13.5">
      <c r="A27" s="161"/>
      <c r="B27" s="162" t="s">
        <v>936</v>
      </c>
      <c r="C27" s="161"/>
      <c r="D27" s="161"/>
      <c r="E27" s="161"/>
      <c r="F27" s="161"/>
      <c r="G27" s="161"/>
    </row>
  </sheetData>
  <mergeCells count="6">
    <mergeCell ref="A2:G2"/>
    <mergeCell ref="A4:A6"/>
    <mergeCell ref="B4:B6"/>
    <mergeCell ref="D5:G5"/>
    <mergeCell ref="D6:G6"/>
    <mergeCell ref="C4:C6"/>
  </mergeCells>
  <pageMargins left="0.75" right="0.75" top="1" bottom="1" header="0.5" footer="0.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showGridLines="0" workbookViewId="0">
      <selection activeCell="O3" sqref="O3"/>
    </sheetView>
  </sheetViews>
  <sheetFormatPr defaultColWidth="8.85546875" defaultRowHeight="13.5"/>
  <cols>
    <col min="1" max="1" width="5.85546875" style="68" customWidth="1"/>
    <col min="2" max="2" width="14.85546875" style="68" bestFit="1" customWidth="1"/>
    <col min="3" max="3" width="14.85546875" style="68" customWidth="1"/>
    <col min="4" max="4" width="15.28515625" style="68" customWidth="1"/>
    <col min="5" max="5" width="12.42578125" style="68" bestFit="1" customWidth="1"/>
    <col min="6" max="6" width="11.5703125" style="68" bestFit="1" customWidth="1"/>
    <col min="7" max="7" width="22.5703125" style="68" customWidth="1"/>
    <col min="8" max="8" width="9" style="68" bestFit="1" customWidth="1"/>
    <col min="9" max="16384" width="8.85546875" style="68"/>
  </cols>
  <sheetData>
    <row r="1" spans="1:8" ht="36.6" customHeight="1">
      <c r="A1" s="2055" t="s">
        <v>1039</v>
      </c>
      <c r="B1" s="2055"/>
      <c r="C1" s="2055"/>
      <c r="D1" s="2055"/>
      <c r="E1" s="2055"/>
      <c r="F1" s="2055"/>
      <c r="G1" s="2055"/>
      <c r="H1" s="2055"/>
    </row>
    <row r="2" spans="1:8" ht="18" customHeight="1">
      <c r="A2" s="2056" t="s">
        <v>41</v>
      </c>
      <c r="B2" s="2059" t="s">
        <v>704</v>
      </c>
      <c r="C2" s="2062" t="s">
        <v>1038</v>
      </c>
      <c r="D2" s="2063"/>
      <c r="E2" s="2063"/>
      <c r="F2" s="2063"/>
      <c r="G2" s="2063"/>
      <c r="H2" s="2064"/>
    </row>
    <row r="3" spans="1:8" ht="20.25" customHeight="1">
      <c r="A3" s="2057"/>
      <c r="B3" s="2060"/>
      <c r="C3" s="2065" t="s">
        <v>733</v>
      </c>
      <c r="D3" s="972" t="s">
        <v>734</v>
      </c>
      <c r="E3" s="2067" t="s">
        <v>375</v>
      </c>
      <c r="F3" s="2068"/>
      <c r="G3" s="2069" t="s">
        <v>735</v>
      </c>
      <c r="H3" s="2071" t="s">
        <v>931</v>
      </c>
    </row>
    <row r="4" spans="1:8" ht="61.5" customHeight="1">
      <c r="A4" s="2057"/>
      <c r="B4" s="2060"/>
      <c r="C4" s="2066"/>
      <c r="D4" s="970" t="s">
        <v>736</v>
      </c>
      <c r="E4" s="969" t="s">
        <v>25</v>
      </c>
      <c r="F4" s="971" t="s">
        <v>737</v>
      </c>
      <c r="G4" s="2070"/>
      <c r="H4" s="2072"/>
    </row>
    <row r="5" spans="1:8">
      <c r="A5" s="2058"/>
      <c r="B5" s="2061"/>
      <c r="C5" s="2073" t="s">
        <v>4</v>
      </c>
      <c r="D5" s="2074"/>
      <c r="E5" s="2074"/>
      <c r="F5" s="2074"/>
      <c r="G5" s="2075"/>
      <c r="H5" s="1003" t="s">
        <v>5</v>
      </c>
    </row>
    <row r="6" spans="1:8">
      <c r="A6" s="859" t="s">
        <v>887</v>
      </c>
      <c r="B6" s="860" t="s">
        <v>888</v>
      </c>
      <c r="C6" s="859" t="s">
        <v>889</v>
      </c>
      <c r="D6" s="977" t="s">
        <v>890</v>
      </c>
      <c r="E6" s="973" t="s">
        <v>891</v>
      </c>
      <c r="F6" s="860" t="s">
        <v>892</v>
      </c>
      <c r="G6" s="989" t="s">
        <v>893</v>
      </c>
      <c r="H6" s="984" t="s">
        <v>894</v>
      </c>
    </row>
    <row r="7" spans="1:8" ht="15.6" customHeight="1">
      <c r="A7" s="854" t="s">
        <v>6</v>
      </c>
      <c r="B7" s="855" t="s">
        <v>51</v>
      </c>
      <c r="C7" s="857">
        <v>1533608459</v>
      </c>
      <c r="D7" s="978">
        <v>91949972</v>
      </c>
      <c r="E7" s="974">
        <v>31443476.249999996</v>
      </c>
      <c r="F7" s="981">
        <v>1268592.6200000001</v>
      </c>
      <c r="G7" s="990">
        <v>1566320527.8699999</v>
      </c>
      <c r="H7" s="985">
        <f>D7/C7*100</f>
        <v>5.9956615041075487</v>
      </c>
    </row>
    <row r="8" spans="1:8" ht="15.6" customHeight="1">
      <c r="A8" s="853" t="s">
        <v>7</v>
      </c>
      <c r="B8" s="856" t="s">
        <v>52</v>
      </c>
      <c r="C8" s="858">
        <v>1212157501</v>
      </c>
      <c r="D8" s="979">
        <v>66610019</v>
      </c>
      <c r="E8" s="975">
        <v>35086188.589999996</v>
      </c>
      <c r="F8" s="982">
        <v>5701465.8399999999</v>
      </c>
      <c r="G8" s="991">
        <v>1252945155.4299998</v>
      </c>
      <c r="H8" s="986">
        <f>D8/C8*100</f>
        <v>5.4951620515525734</v>
      </c>
    </row>
    <row r="9" spans="1:8" ht="15.6" customHeight="1">
      <c r="A9" s="853" t="s">
        <v>8</v>
      </c>
      <c r="B9" s="856" t="s">
        <v>53</v>
      </c>
      <c r="C9" s="858">
        <v>1360860404</v>
      </c>
      <c r="D9" s="979">
        <v>71919234</v>
      </c>
      <c r="E9" s="975">
        <v>38071858.529999986</v>
      </c>
      <c r="F9" s="982">
        <v>1002580</v>
      </c>
      <c r="G9" s="991">
        <v>1399934842.53</v>
      </c>
      <c r="H9" s="986">
        <f t="shared" ref="H9:H22" si="0">D9/C9*100</f>
        <v>5.2848355193968892</v>
      </c>
    </row>
    <row r="10" spans="1:8" ht="15.6" customHeight="1">
      <c r="A10" s="853" t="s">
        <v>9</v>
      </c>
      <c r="B10" s="856" t="s">
        <v>54</v>
      </c>
      <c r="C10" s="858">
        <v>595747909</v>
      </c>
      <c r="D10" s="979">
        <v>35752379</v>
      </c>
      <c r="E10" s="975">
        <v>14565774.570000002</v>
      </c>
      <c r="F10" s="982">
        <v>3978592.71</v>
      </c>
      <c r="G10" s="991">
        <v>614292276.28000009</v>
      </c>
      <c r="H10" s="986">
        <f t="shared" si="0"/>
        <v>6.0012596703885368</v>
      </c>
    </row>
    <row r="11" spans="1:8" ht="15.6" customHeight="1">
      <c r="A11" s="853" t="s">
        <v>1</v>
      </c>
      <c r="B11" s="856" t="s">
        <v>55</v>
      </c>
      <c r="C11" s="858">
        <v>1372052055</v>
      </c>
      <c r="D11" s="979">
        <v>77075923</v>
      </c>
      <c r="E11" s="975">
        <v>32177349.880000006</v>
      </c>
      <c r="F11" s="982">
        <v>10085300.75</v>
      </c>
      <c r="G11" s="991">
        <v>1414314705.6300001</v>
      </c>
      <c r="H11" s="986">
        <f t="shared" si="0"/>
        <v>5.6175655084748231</v>
      </c>
    </row>
    <row r="12" spans="1:8" ht="15.6" customHeight="1">
      <c r="A12" s="853" t="s">
        <v>2</v>
      </c>
      <c r="B12" s="856" t="s">
        <v>56</v>
      </c>
      <c r="C12" s="858">
        <v>2422181522</v>
      </c>
      <c r="D12" s="979">
        <v>141231645</v>
      </c>
      <c r="E12" s="975">
        <v>60360829.010000013</v>
      </c>
      <c r="F12" s="982">
        <v>7138456.8500000006</v>
      </c>
      <c r="G12" s="991">
        <v>2489680807.8600001</v>
      </c>
      <c r="H12" s="986">
        <f t="shared" si="0"/>
        <v>5.8307622165074049</v>
      </c>
    </row>
    <row r="13" spans="1:8" ht="15.6" customHeight="1">
      <c r="A13" s="853" t="s">
        <v>10</v>
      </c>
      <c r="B13" s="856" t="s">
        <v>57</v>
      </c>
      <c r="C13" s="858">
        <v>3163338626</v>
      </c>
      <c r="D13" s="979">
        <v>175183636</v>
      </c>
      <c r="E13" s="975">
        <v>73336047.839999989</v>
      </c>
      <c r="F13" s="982">
        <v>2904876.46</v>
      </c>
      <c r="G13" s="991">
        <v>3239579550.3000002</v>
      </c>
      <c r="H13" s="986">
        <f t="shared" si="0"/>
        <v>5.5379349703549563</v>
      </c>
    </row>
    <row r="14" spans="1:8" ht="15.6" customHeight="1">
      <c r="A14" s="853" t="s">
        <v>11</v>
      </c>
      <c r="B14" s="856" t="s">
        <v>58</v>
      </c>
      <c r="C14" s="858">
        <v>738885979</v>
      </c>
      <c r="D14" s="979">
        <v>38748188</v>
      </c>
      <c r="E14" s="975">
        <v>13592525.110000003</v>
      </c>
      <c r="F14" s="982">
        <v>1635880</v>
      </c>
      <c r="G14" s="991">
        <v>754114384.11000001</v>
      </c>
      <c r="H14" s="986">
        <f t="shared" si="0"/>
        <v>5.2441363216069359</v>
      </c>
    </row>
    <row r="15" spans="1:8" ht="15.6" customHeight="1">
      <c r="A15" s="853" t="s">
        <v>12</v>
      </c>
      <c r="B15" s="856" t="s">
        <v>59</v>
      </c>
      <c r="C15" s="858">
        <v>1686196286</v>
      </c>
      <c r="D15" s="979">
        <v>87520719</v>
      </c>
      <c r="E15" s="975">
        <v>46468369.480000012</v>
      </c>
      <c r="F15" s="982">
        <v>4369391.5700000012</v>
      </c>
      <c r="G15" s="991">
        <v>1737034047.05</v>
      </c>
      <c r="H15" s="986">
        <f t="shared" si="0"/>
        <v>5.1904229493718628</v>
      </c>
    </row>
    <row r="16" spans="1:8" ht="15.6" customHeight="1">
      <c r="A16" s="853" t="s">
        <v>13</v>
      </c>
      <c r="B16" s="856" t="s">
        <v>60</v>
      </c>
      <c r="C16" s="858">
        <v>590703934</v>
      </c>
      <c r="D16" s="979">
        <v>32694264</v>
      </c>
      <c r="E16" s="975">
        <v>16965168.580000006</v>
      </c>
      <c r="F16" s="982">
        <v>7086922.5800000001</v>
      </c>
      <c r="G16" s="991">
        <v>614756025.16000009</v>
      </c>
      <c r="H16" s="986">
        <f t="shared" si="0"/>
        <v>5.5347970646831683</v>
      </c>
    </row>
    <row r="17" spans="1:9" ht="15.6" customHeight="1">
      <c r="A17" s="853" t="s">
        <v>14</v>
      </c>
      <c r="B17" s="856" t="s">
        <v>61</v>
      </c>
      <c r="C17" s="858">
        <v>1584858910</v>
      </c>
      <c r="D17" s="979">
        <v>88166672</v>
      </c>
      <c r="E17" s="975">
        <v>36160706.989999987</v>
      </c>
      <c r="F17" s="982">
        <v>7262741.2400000002</v>
      </c>
      <c r="G17" s="991">
        <v>1628282358.23</v>
      </c>
      <c r="H17" s="986">
        <f t="shared" si="0"/>
        <v>5.5630612569796511</v>
      </c>
    </row>
    <row r="18" spans="1:9" ht="15.6" customHeight="1">
      <c r="A18" s="853" t="s">
        <v>15</v>
      </c>
      <c r="B18" s="856" t="s">
        <v>62</v>
      </c>
      <c r="C18" s="858">
        <v>1880703315</v>
      </c>
      <c r="D18" s="979">
        <v>104714154</v>
      </c>
      <c r="E18" s="975">
        <v>34514810.899999984</v>
      </c>
      <c r="F18" s="982">
        <v>4292245.68</v>
      </c>
      <c r="G18" s="991">
        <v>1919510371.5800002</v>
      </c>
      <c r="H18" s="986">
        <f t="shared" si="0"/>
        <v>5.5678188667413497</v>
      </c>
    </row>
    <row r="19" spans="1:9" ht="15.6" customHeight="1">
      <c r="A19" s="853" t="s">
        <v>16</v>
      </c>
      <c r="B19" s="856" t="s">
        <v>63</v>
      </c>
      <c r="C19" s="858">
        <v>856280808</v>
      </c>
      <c r="D19" s="979">
        <v>45617855</v>
      </c>
      <c r="E19" s="975">
        <v>22459302.029999994</v>
      </c>
      <c r="F19" s="982">
        <v>638099.61</v>
      </c>
      <c r="G19" s="991">
        <v>879378209.63999999</v>
      </c>
      <c r="H19" s="986">
        <f t="shared" si="0"/>
        <v>5.3274410186243477</v>
      </c>
    </row>
    <row r="20" spans="1:9" ht="15.6" customHeight="1">
      <c r="A20" s="853" t="s">
        <v>17</v>
      </c>
      <c r="B20" s="856" t="s">
        <v>64</v>
      </c>
      <c r="C20" s="858">
        <v>931405320</v>
      </c>
      <c r="D20" s="979">
        <v>52192582</v>
      </c>
      <c r="E20" s="975">
        <v>30946101.849999987</v>
      </c>
      <c r="F20" s="982">
        <v>5699808.4499999993</v>
      </c>
      <c r="G20" s="991">
        <v>968051230.30000007</v>
      </c>
      <c r="H20" s="986">
        <f t="shared" si="0"/>
        <v>5.6036379521645845</v>
      </c>
    </row>
    <row r="21" spans="1:9" ht="15.6" customHeight="1">
      <c r="A21" s="853" t="s">
        <v>18</v>
      </c>
      <c r="B21" s="856" t="s">
        <v>65</v>
      </c>
      <c r="C21" s="858">
        <v>2518283163</v>
      </c>
      <c r="D21" s="979">
        <v>154058477</v>
      </c>
      <c r="E21" s="975">
        <v>55772096.490000032</v>
      </c>
      <c r="F21" s="982">
        <v>4679759.4000000004</v>
      </c>
      <c r="G21" s="991">
        <v>2578735018.8900003</v>
      </c>
      <c r="H21" s="986">
        <f t="shared" si="0"/>
        <v>6.1175994528141953</v>
      </c>
    </row>
    <row r="22" spans="1:9" ht="15.6" customHeight="1">
      <c r="A22" s="861" t="s">
        <v>19</v>
      </c>
      <c r="B22" s="862" t="s">
        <v>66</v>
      </c>
      <c r="C22" s="863">
        <v>882109983</v>
      </c>
      <c r="D22" s="980">
        <v>49960052</v>
      </c>
      <c r="E22" s="976">
        <v>20824720.849999998</v>
      </c>
      <c r="F22" s="983">
        <v>3958322.96</v>
      </c>
      <c r="G22" s="992">
        <v>906893026.81000006</v>
      </c>
      <c r="H22" s="987">
        <f t="shared" si="0"/>
        <v>5.6636987408405739</v>
      </c>
    </row>
    <row r="23" spans="1:9" ht="15.6" customHeight="1">
      <c r="A23" s="2052" t="s">
        <v>738</v>
      </c>
      <c r="B23" s="2053"/>
      <c r="C23" s="864">
        <f>SUM(C7:C22)</f>
        <v>23329374174</v>
      </c>
      <c r="D23" s="950">
        <f t="shared" ref="D23:G23" si="1">SUM(D7:D22)</f>
        <v>1313395771</v>
      </c>
      <c r="E23" s="951">
        <f t="shared" si="1"/>
        <v>562745326.95000005</v>
      </c>
      <c r="F23" s="952">
        <f t="shared" si="1"/>
        <v>71703036.719999999</v>
      </c>
      <c r="G23" s="953">
        <f t="shared" si="1"/>
        <v>23963822537.670002</v>
      </c>
      <c r="H23" s="988">
        <f>D23/C23*100</f>
        <v>5.6297942722516172</v>
      </c>
    </row>
    <row r="24" spans="1:9">
      <c r="A24" s="852"/>
      <c r="B24" s="852"/>
      <c r="C24" s="852"/>
      <c r="D24" s="852"/>
      <c r="E24" s="852"/>
      <c r="F24" s="852"/>
    </row>
    <row r="25" spans="1:9" s="896" customFormat="1">
      <c r="A25" s="898" t="s">
        <v>1051</v>
      </c>
      <c r="B25" s="898"/>
      <c r="C25" s="899"/>
      <c r="D25" s="900"/>
      <c r="E25" s="901"/>
      <c r="F25" s="900"/>
      <c r="G25" s="900"/>
      <c r="H25" s="900"/>
      <c r="I25" s="900"/>
    </row>
    <row r="26" spans="1:9" s="896" customFormat="1" ht="28.15" customHeight="1">
      <c r="A26" s="898"/>
      <c r="B26" s="2054" t="s">
        <v>1065</v>
      </c>
      <c r="C26" s="2054"/>
      <c r="D26" s="2054"/>
      <c r="E26" s="2054"/>
      <c r="F26" s="2054"/>
      <c r="G26" s="2054"/>
      <c r="H26" s="2054"/>
      <c r="I26" s="2054"/>
    </row>
  </sheetData>
  <mergeCells count="11">
    <mergeCell ref="A23:B23"/>
    <mergeCell ref="B26:I26"/>
    <mergeCell ref="A1:H1"/>
    <mergeCell ref="A2:A5"/>
    <mergeCell ref="B2:B5"/>
    <mergeCell ref="C2:H2"/>
    <mergeCell ref="C3:C4"/>
    <mergeCell ref="E3:F3"/>
    <mergeCell ref="G3:G4"/>
    <mergeCell ref="H3:H4"/>
    <mergeCell ref="C5:G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5"/>
  <sheetViews>
    <sheetView showGridLines="0" workbookViewId="0">
      <selection activeCell="L16" sqref="L16"/>
    </sheetView>
  </sheetViews>
  <sheetFormatPr defaultColWidth="8.85546875" defaultRowHeight="13.5"/>
  <cols>
    <col min="1" max="1" width="5" style="1569" customWidth="1"/>
    <col min="2" max="2" width="17.7109375" style="1569" customWidth="1"/>
    <col min="3" max="3" width="17.28515625" style="1569" bestFit="1" customWidth="1"/>
    <col min="4" max="4" width="12.42578125" style="1569" bestFit="1" customWidth="1"/>
    <col min="5" max="5" width="11.7109375" style="1569" bestFit="1" customWidth="1"/>
    <col min="6" max="6" width="7.42578125" style="1569" customWidth="1"/>
    <col min="7" max="7" width="7.5703125" style="1569" customWidth="1"/>
    <col min="8" max="16384" width="8.85546875" style="1569"/>
  </cols>
  <sheetData>
    <row r="1" spans="1:7" ht="45.75" customHeight="1">
      <c r="A1" s="2077" t="s">
        <v>1171</v>
      </c>
      <c r="B1" s="2077"/>
      <c r="C1" s="2077"/>
      <c r="D1" s="2077"/>
      <c r="E1" s="2077"/>
      <c r="F1" s="2077"/>
      <c r="G1" s="2077"/>
    </row>
    <row r="2" spans="1:7">
      <c r="A2" s="2078" t="s">
        <v>41</v>
      </c>
      <c r="B2" s="2078" t="s">
        <v>704</v>
      </c>
      <c r="C2" s="2081" t="s">
        <v>1038</v>
      </c>
      <c r="D2" s="2082"/>
      <c r="E2" s="2082"/>
      <c r="F2" s="2082"/>
      <c r="G2" s="2083"/>
    </row>
    <row r="3" spans="1:7" ht="20.25" customHeight="1">
      <c r="A3" s="2079"/>
      <c r="B3" s="2079"/>
      <c r="C3" s="2084" t="s">
        <v>1172</v>
      </c>
      <c r="D3" s="1670" t="s">
        <v>21</v>
      </c>
      <c r="E3" s="1671"/>
      <c r="F3" s="2084" t="s">
        <v>1167</v>
      </c>
      <c r="G3" s="2084" t="s">
        <v>1168</v>
      </c>
    </row>
    <row r="4" spans="1:7" ht="46.5" customHeight="1">
      <c r="A4" s="2079"/>
      <c r="B4" s="2079"/>
      <c r="C4" s="2084"/>
      <c r="D4" s="1627" t="s">
        <v>739</v>
      </c>
      <c r="E4" s="1627" t="s">
        <v>740</v>
      </c>
      <c r="F4" s="2084"/>
      <c r="G4" s="2084"/>
    </row>
    <row r="5" spans="1:7" ht="12.75" customHeight="1">
      <c r="A5" s="2080"/>
      <c r="B5" s="2080"/>
      <c r="C5" s="2085" t="s">
        <v>4</v>
      </c>
      <c r="D5" s="2085"/>
      <c r="E5" s="2085"/>
      <c r="F5" s="2085" t="s">
        <v>5</v>
      </c>
      <c r="G5" s="2085"/>
    </row>
    <row r="6" spans="1:7">
      <c r="A6" s="1571" t="s">
        <v>887</v>
      </c>
      <c r="B6" s="989" t="s">
        <v>888</v>
      </c>
      <c r="C6" s="989" t="s">
        <v>889</v>
      </c>
      <c r="D6" s="989" t="s">
        <v>890</v>
      </c>
      <c r="E6" s="989" t="s">
        <v>891</v>
      </c>
      <c r="F6" s="989" t="s">
        <v>892</v>
      </c>
      <c r="G6" s="989" t="s">
        <v>893</v>
      </c>
    </row>
    <row r="7" spans="1:7" ht="20.100000000000001" customHeight="1">
      <c r="A7" s="1632"/>
      <c r="B7" s="1633" t="s">
        <v>933</v>
      </c>
      <c r="C7" s="1628">
        <f>SUM(C8:C23)</f>
        <v>35054559625.43</v>
      </c>
      <c r="D7" s="1628">
        <f t="shared" ref="D7:E7" si="0">SUM(D8:D23)</f>
        <v>33368835359.100002</v>
      </c>
      <c r="E7" s="1628">
        <f t="shared" si="0"/>
        <v>1685724266.3300002</v>
      </c>
      <c r="F7" s="1629">
        <f>D7/C7*100</f>
        <v>95.191141225727733</v>
      </c>
      <c r="G7" s="1629">
        <f>E7/C7*100</f>
        <v>4.8088587742722844</v>
      </c>
    </row>
    <row r="8" spans="1:7" ht="20.100000000000001" customHeight="1">
      <c r="A8" s="1634" t="s">
        <v>6</v>
      </c>
      <c r="B8" s="1635" t="s">
        <v>51</v>
      </c>
      <c r="C8" s="1630">
        <v>2451278345.2500005</v>
      </c>
      <c r="D8" s="1630">
        <v>2314976009.8200021</v>
      </c>
      <c r="E8" s="1630">
        <v>136302335.42999998</v>
      </c>
      <c r="F8" s="1631">
        <f>D8/C8*100</f>
        <v>94.439540670927059</v>
      </c>
      <c r="G8" s="1631">
        <f>E8/C8*100</f>
        <v>5.5604593290730024</v>
      </c>
    </row>
    <row r="9" spans="1:7" ht="20.100000000000001" customHeight="1">
      <c r="A9" s="1634" t="s">
        <v>7</v>
      </c>
      <c r="B9" s="1635" t="s">
        <v>52</v>
      </c>
      <c r="C9" s="1630">
        <v>1730474905.2899995</v>
      </c>
      <c r="D9" s="1630">
        <v>1679837795.539999</v>
      </c>
      <c r="E9" s="1630">
        <v>50637109.750000022</v>
      </c>
      <c r="F9" s="1631">
        <f>D9/C9*100</f>
        <v>97.073802711891133</v>
      </c>
      <c r="G9" s="1631">
        <f>E9/C9*100</f>
        <v>2.9261972881088423</v>
      </c>
    </row>
    <row r="10" spans="1:7" ht="20.100000000000001" customHeight="1">
      <c r="A10" s="1634" t="s">
        <v>8</v>
      </c>
      <c r="B10" s="1635" t="s">
        <v>53</v>
      </c>
      <c r="C10" s="1630">
        <v>2120167079.5599992</v>
      </c>
      <c r="D10" s="1630">
        <v>2038314107.1999993</v>
      </c>
      <c r="E10" s="1630">
        <v>81852972.359999985</v>
      </c>
      <c r="F10" s="1631">
        <f t="shared" ref="F10:F23" si="1">D10/C10*100</f>
        <v>96.139315002618247</v>
      </c>
      <c r="G10" s="1631">
        <f t="shared" ref="G10:G23" si="2">E10/C10*100</f>
        <v>3.8606849973817643</v>
      </c>
    </row>
    <row r="11" spans="1:7" ht="20.100000000000001" customHeight="1">
      <c r="A11" s="1634" t="s">
        <v>9</v>
      </c>
      <c r="B11" s="1635" t="s">
        <v>54</v>
      </c>
      <c r="C11" s="1630">
        <v>944550617.58000004</v>
      </c>
      <c r="D11" s="1630">
        <v>886662661.06000042</v>
      </c>
      <c r="E11" s="1630">
        <v>57887956.519999996</v>
      </c>
      <c r="F11" s="1631">
        <f t="shared" si="1"/>
        <v>93.871375928130533</v>
      </c>
      <c r="G11" s="1631">
        <f t="shared" si="2"/>
        <v>6.1286240718695097</v>
      </c>
    </row>
    <row r="12" spans="1:7" ht="20.100000000000001" customHeight="1">
      <c r="A12" s="1634" t="s">
        <v>1</v>
      </c>
      <c r="B12" s="1635" t="s">
        <v>55</v>
      </c>
      <c r="C12" s="1630">
        <v>2210414035.1399999</v>
      </c>
      <c r="D12" s="1630">
        <v>2060500698.2600002</v>
      </c>
      <c r="E12" s="1630">
        <v>149913336.88</v>
      </c>
      <c r="F12" s="1631">
        <f t="shared" si="1"/>
        <v>93.217861699357854</v>
      </c>
      <c r="G12" s="1631">
        <f t="shared" si="2"/>
        <v>6.7821383006421696</v>
      </c>
    </row>
    <row r="13" spans="1:7" ht="20.100000000000001" customHeight="1">
      <c r="A13" s="1634" t="s">
        <v>2</v>
      </c>
      <c r="B13" s="1635" t="s">
        <v>56</v>
      </c>
      <c r="C13" s="1630">
        <v>3497513343.5000019</v>
      </c>
      <c r="D13" s="1630">
        <v>3278169254.9300008</v>
      </c>
      <c r="E13" s="1630">
        <v>219344088.57000008</v>
      </c>
      <c r="F13" s="1631">
        <f t="shared" si="1"/>
        <v>93.728570357632975</v>
      </c>
      <c r="G13" s="1631">
        <f t="shared" si="2"/>
        <v>6.2714296423669946</v>
      </c>
    </row>
    <row r="14" spans="1:7" ht="20.100000000000001" customHeight="1">
      <c r="A14" s="1634" t="s">
        <v>10</v>
      </c>
      <c r="B14" s="1635" t="s">
        <v>57</v>
      </c>
      <c r="C14" s="1630">
        <v>4881992313.5900068</v>
      </c>
      <c r="D14" s="1630">
        <v>4607452158.6400042</v>
      </c>
      <c r="E14" s="1630">
        <v>274540154.94999999</v>
      </c>
      <c r="F14" s="1631">
        <f t="shared" si="1"/>
        <v>94.376473019308833</v>
      </c>
      <c r="G14" s="1631">
        <f t="shared" si="2"/>
        <v>5.6235269806911061</v>
      </c>
    </row>
    <row r="15" spans="1:7" ht="20.100000000000001" customHeight="1">
      <c r="A15" s="1634" t="s">
        <v>11</v>
      </c>
      <c r="B15" s="1635" t="s">
        <v>58</v>
      </c>
      <c r="C15" s="1630">
        <v>1043963542.8800001</v>
      </c>
      <c r="D15" s="1630">
        <v>1017837318.0899999</v>
      </c>
      <c r="E15" s="1630">
        <v>26126224.789999995</v>
      </c>
      <c r="F15" s="1631">
        <f t="shared" si="1"/>
        <v>97.497400654631548</v>
      </c>
      <c r="G15" s="1631">
        <f t="shared" si="2"/>
        <v>2.5025993453684339</v>
      </c>
    </row>
    <row r="16" spans="1:7" ht="20.100000000000001" customHeight="1">
      <c r="A16" s="1634" t="s">
        <v>12</v>
      </c>
      <c r="B16" s="1635" t="s">
        <v>59</v>
      </c>
      <c r="C16" s="1630">
        <v>2468740174.0099988</v>
      </c>
      <c r="D16" s="1630">
        <v>2372992663.2199998</v>
      </c>
      <c r="E16" s="1630">
        <v>95747510.790000036</v>
      </c>
      <c r="F16" s="1631">
        <f t="shared" si="1"/>
        <v>96.121604379513329</v>
      </c>
      <c r="G16" s="1631">
        <f t="shared" si="2"/>
        <v>3.8783956204867209</v>
      </c>
    </row>
    <row r="17" spans="1:7" ht="20.100000000000001" customHeight="1">
      <c r="A17" s="1634" t="s">
        <v>13</v>
      </c>
      <c r="B17" s="1635" t="s">
        <v>60</v>
      </c>
      <c r="C17" s="1630">
        <v>937612973.02999938</v>
      </c>
      <c r="D17" s="1630">
        <v>901107775.16999996</v>
      </c>
      <c r="E17" s="1630">
        <v>36505197.860000007</v>
      </c>
      <c r="F17" s="1631">
        <f t="shared" si="1"/>
        <v>96.106581402982414</v>
      </c>
      <c r="G17" s="1631">
        <f t="shared" si="2"/>
        <v>3.893418597017642</v>
      </c>
    </row>
    <row r="18" spans="1:7" ht="20.100000000000001" customHeight="1">
      <c r="A18" s="1634" t="s">
        <v>14</v>
      </c>
      <c r="B18" s="1635" t="s">
        <v>61</v>
      </c>
      <c r="C18" s="1630">
        <v>2185785547.5300002</v>
      </c>
      <c r="D18" s="1630">
        <v>2107047108.8699999</v>
      </c>
      <c r="E18" s="1630">
        <v>78738438.659999982</v>
      </c>
      <c r="F18" s="1631">
        <f t="shared" si="1"/>
        <v>96.397705220945525</v>
      </c>
      <c r="G18" s="1631">
        <f t="shared" si="2"/>
        <v>3.6022947790544526</v>
      </c>
    </row>
    <row r="19" spans="1:7" ht="20.100000000000001" customHeight="1">
      <c r="A19" s="1634" t="s">
        <v>15</v>
      </c>
      <c r="B19" s="1635" t="s">
        <v>62</v>
      </c>
      <c r="C19" s="1630">
        <v>2741901428.6999974</v>
      </c>
      <c r="D19" s="1630">
        <v>2632367206.5500007</v>
      </c>
      <c r="E19" s="1630">
        <v>109534222.15000002</v>
      </c>
      <c r="F19" s="1631">
        <f t="shared" si="1"/>
        <v>96.005172870057194</v>
      </c>
      <c r="G19" s="1631">
        <f t="shared" si="2"/>
        <v>3.9948271299429199</v>
      </c>
    </row>
    <row r="20" spans="1:7" ht="20.100000000000001" customHeight="1">
      <c r="A20" s="1634" t="s">
        <v>16</v>
      </c>
      <c r="B20" s="1635" t="s">
        <v>63</v>
      </c>
      <c r="C20" s="1630">
        <v>1280325699.4400003</v>
      </c>
      <c r="D20" s="1630">
        <v>1242443300.6000001</v>
      </c>
      <c r="E20" s="1630">
        <v>37882398.839999989</v>
      </c>
      <c r="F20" s="1631">
        <f t="shared" si="1"/>
        <v>97.041190467662304</v>
      </c>
      <c r="G20" s="1631">
        <f t="shared" si="2"/>
        <v>2.9588095323376944</v>
      </c>
    </row>
    <row r="21" spans="1:7" ht="20.100000000000001" customHeight="1">
      <c r="A21" s="1634" t="s">
        <v>17</v>
      </c>
      <c r="B21" s="1635" t="s">
        <v>64</v>
      </c>
      <c r="C21" s="1630">
        <v>1469937999.52</v>
      </c>
      <c r="D21" s="1630">
        <v>1379578523.6299996</v>
      </c>
      <c r="E21" s="1630">
        <v>90359475.889999986</v>
      </c>
      <c r="F21" s="1631">
        <f t="shared" si="1"/>
        <v>93.852837608150367</v>
      </c>
      <c r="G21" s="1631">
        <f t="shared" si="2"/>
        <v>6.147162391849613</v>
      </c>
    </row>
    <row r="22" spans="1:7" ht="20.100000000000001" customHeight="1">
      <c r="A22" s="1634" t="s">
        <v>18</v>
      </c>
      <c r="B22" s="1635" t="s">
        <v>65</v>
      </c>
      <c r="C22" s="1630">
        <v>3695903253.4900007</v>
      </c>
      <c r="D22" s="1630">
        <v>3505349832.0600004</v>
      </c>
      <c r="E22" s="1630">
        <v>190553421.42999998</v>
      </c>
      <c r="F22" s="1631">
        <f t="shared" si="1"/>
        <v>94.84419887749867</v>
      </c>
      <c r="G22" s="1631">
        <f t="shared" si="2"/>
        <v>5.1558011225013116</v>
      </c>
    </row>
    <row r="23" spans="1:7" ht="20.100000000000001" customHeight="1">
      <c r="A23" s="1634" t="s">
        <v>19</v>
      </c>
      <c r="B23" s="1635" t="s">
        <v>66</v>
      </c>
      <c r="C23" s="1630">
        <v>1393998366.9199998</v>
      </c>
      <c r="D23" s="1630">
        <v>1344198945.4600003</v>
      </c>
      <c r="E23" s="1630">
        <v>49799421.460000031</v>
      </c>
      <c r="F23" s="1631">
        <f t="shared" si="1"/>
        <v>96.427583945451104</v>
      </c>
      <c r="G23" s="1631">
        <f t="shared" si="2"/>
        <v>3.5724160545489339</v>
      </c>
    </row>
    <row r="24" spans="1:7">
      <c r="A24" s="1573"/>
      <c r="B24" s="1573"/>
      <c r="C24" s="1573"/>
      <c r="D24" s="1573"/>
      <c r="E24" s="1573"/>
      <c r="F24" s="1573"/>
      <c r="G24" s="1573"/>
    </row>
    <row r="25" spans="1:7">
      <c r="A25" s="2076" t="s">
        <v>1166</v>
      </c>
      <c r="B25" s="2076"/>
      <c r="C25" s="2076"/>
      <c r="D25" s="2076"/>
      <c r="E25" s="1570"/>
      <c r="F25" s="1570"/>
      <c r="G25" s="1570"/>
    </row>
  </sheetData>
  <mergeCells count="10">
    <mergeCell ref="A25:D25"/>
    <mergeCell ref="A1:G1"/>
    <mergeCell ref="A2:A5"/>
    <mergeCell ref="B2:B5"/>
    <mergeCell ref="C2:G2"/>
    <mergeCell ref="C3:C4"/>
    <mergeCell ref="F3:F4"/>
    <mergeCell ref="G3:G4"/>
    <mergeCell ref="C5:E5"/>
    <mergeCell ref="F5:G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M15"/>
  <sheetViews>
    <sheetView showGridLines="0" workbookViewId="0">
      <selection activeCell="O3" sqref="O3"/>
    </sheetView>
  </sheetViews>
  <sheetFormatPr defaultColWidth="9.140625" defaultRowHeight="13.5"/>
  <cols>
    <col min="1" max="1" width="5.5703125" style="865" customWidth="1"/>
    <col min="2" max="2" width="62.140625" style="865" customWidth="1"/>
    <col min="3" max="3" width="11.5703125" style="865" bestFit="1" customWidth="1"/>
    <col min="4" max="6" width="10.140625" style="865" bestFit="1" customWidth="1"/>
    <col min="7" max="7" width="17.42578125" style="865" customWidth="1"/>
    <col min="8" max="8" width="12.7109375" style="865" customWidth="1"/>
    <col min="9" max="16384" width="9.140625" style="865"/>
  </cols>
  <sheetData>
    <row r="1" spans="1:247" ht="43.9" customHeight="1">
      <c r="A1" s="2088" t="s">
        <v>1049</v>
      </c>
      <c r="B1" s="2088"/>
      <c r="C1" s="2088"/>
      <c r="D1" s="2088"/>
      <c r="E1" s="2088"/>
      <c r="F1" s="2088"/>
      <c r="G1" s="2088"/>
      <c r="H1" s="2088"/>
    </row>
    <row r="2" spans="1:247">
      <c r="A2" s="2089" t="s">
        <v>1040</v>
      </c>
      <c r="B2" s="2090"/>
      <c r="C2" s="2090"/>
      <c r="D2" s="2090"/>
      <c r="E2" s="2090"/>
      <c r="F2" s="2090"/>
      <c r="G2" s="2090"/>
      <c r="H2" s="2091"/>
    </row>
    <row r="3" spans="1:247">
      <c r="A3" s="2092" t="s">
        <v>741</v>
      </c>
      <c r="B3" s="2095" t="s">
        <v>1050</v>
      </c>
      <c r="C3" s="2098" t="s">
        <v>742</v>
      </c>
      <c r="D3" s="2100" t="s">
        <v>21</v>
      </c>
      <c r="E3" s="2100"/>
      <c r="F3" s="2095"/>
      <c r="G3" s="2101" t="s">
        <v>743</v>
      </c>
      <c r="H3" s="2095" t="s">
        <v>744</v>
      </c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6"/>
      <c r="Y3" s="866"/>
      <c r="Z3" s="866"/>
      <c r="AA3" s="866"/>
      <c r="AB3" s="866"/>
      <c r="AC3" s="866"/>
      <c r="AD3" s="866"/>
      <c r="AE3" s="866"/>
      <c r="AF3" s="866"/>
      <c r="AG3" s="866"/>
      <c r="AH3" s="866"/>
      <c r="AI3" s="866"/>
      <c r="AJ3" s="866"/>
      <c r="AK3" s="866"/>
      <c r="AL3" s="866"/>
      <c r="AM3" s="866"/>
      <c r="AN3" s="866"/>
      <c r="AO3" s="866"/>
      <c r="AP3" s="866"/>
      <c r="AQ3" s="866"/>
      <c r="AR3" s="866"/>
      <c r="AS3" s="866"/>
      <c r="AT3" s="866"/>
      <c r="AU3" s="866"/>
      <c r="AV3" s="866"/>
      <c r="AW3" s="866"/>
      <c r="AX3" s="866"/>
      <c r="AY3" s="866"/>
      <c r="AZ3" s="866"/>
      <c r="BA3" s="866"/>
      <c r="BB3" s="866"/>
      <c r="BC3" s="866"/>
      <c r="BD3" s="866"/>
      <c r="BE3" s="866"/>
      <c r="BF3" s="866"/>
      <c r="BG3" s="866"/>
      <c r="BH3" s="866"/>
      <c r="BI3" s="866"/>
      <c r="BJ3" s="866"/>
      <c r="BK3" s="866"/>
      <c r="BL3" s="866"/>
      <c r="BM3" s="866"/>
      <c r="BN3" s="866"/>
      <c r="BO3" s="866"/>
      <c r="BP3" s="866"/>
      <c r="BQ3" s="866"/>
      <c r="BR3" s="866"/>
      <c r="BS3" s="866"/>
      <c r="BT3" s="866"/>
      <c r="BU3" s="866"/>
      <c r="BV3" s="866"/>
      <c r="BW3" s="866"/>
      <c r="BX3" s="866"/>
      <c r="BY3" s="866"/>
      <c r="BZ3" s="866"/>
      <c r="CA3" s="866"/>
      <c r="CB3" s="866"/>
      <c r="CC3" s="866"/>
      <c r="CD3" s="866"/>
      <c r="CE3" s="866"/>
      <c r="CF3" s="866"/>
      <c r="CG3" s="866"/>
      <c r="CH3" s="866"/>
      <c r="CI3" s="866"/>
      <c r="CJ3" s="866"/>
      <c r="CK3" s="866"/>
      <c r="CL3" s="866"/>
      <c r="CM3" s="866"/>
      <c r="CN3" s="866"/>
      <c r="CO3" s="866"/>
      <c r="CP3" s="866"/>
      <c r="CQ3" s="866"/>
      <c r="CR3" s="866"/>
      <c r="CS3" s="866"/>
      <c r="CT3" s="866"/>
      <c r="CU3" s="866"/>
      <c r="CV3" s="866"/>
      <c r="CW3" s="866"/>
      <c r="CX3" s="866"/>
      <c r="CY3" s="866"/>
      <c r="CZ3" s="866"/>
      <c r="DA3" s="866"/>
      <c r="DB3" s="866"/>
      <c r="DC3" s="866"/>
      <c r="DD3" s="866"/>
      <c r="DE3" s="866"/>
      <c r="DF3" s="866"/>
      <c r="DG3" s="866"/>
      <c r="DH3" s="866"/>
      <c r="DI3" s="866"/>
      <c r="DJ3" s="866"/>
      <c r="DK3" s="866"/>
      <c r="DL3" s="866"/>
      <c r="DM3" s="866"/>
      <c r="DN3" s="866"/>
      <c r="DO3" s="866"/>
      <c r="DP3" s="866"/>
      <c r="DQ3" s="866"/>
      <c r="DR3" s="866"/>
      <c r="DS3" s="866"/>
      <c r="DT3" s="866"/>
      <c r="DU3" s="866"/>
      <c r="DV3" s="866"/>
      <c r="DW3" s="866"/>
      <c r="DX3" s="866"/>
      <c r="DY3" s="866"/>
      <c r="DZ3" s="866"/>
      <c r="EA3" s="866"/>
      <c r="EB3" s="866"/>
      <c r="EC3" s="866"/>
      <c r="ED3" s="866"/>
      <c r="EE3" s="866"/>
      <c r="EF3" s="866"/>
      <c r="EG3" s="866"/>
      <c r="EH3" s="866"/>
      <c r="EI3" s="866"/>
      <c r="EJ3" s="866"/>
      <c r="EK3" s="866"/>
      <c r="EL3" s="866"/>
      <c r="EM3" s="866"/>
      <c r="EN3" s="866"/>
      <c r="EO3" s="866"/>
      <c r="EP3" s="866"/>
      <c r="EQ3" s="866"/>
      <c r="ER3" s="866"/>
      <c r="ES3" s="866"/>
      <c r="ET3" s="866"/>
      <c r="EU3" s="866"/>
      <c r="EV3" s="866"/>
      <c r="EW3" s="866"/>
      <c r="EX3" s="866"/>
      <c r="EY3" s="866"/>
      <c r="EZ3" s="866"/>
      <c r="FA3" s="866"/>
      <c r="FB3" s="866"/>
      <c r="FC3" s="866"/>
      <c r="FD3" s="866"/>
      <c r="FE3" s="866"/>
      <c r="FF3" s="866"/>
      <c r="FG3" s="866"/>
      <c r="FH3" s="866"/>
      <c r="FI3" s="866"/>
      <c r="FJ3" s="866"/>
      <c r="FK3" s="866"/>
      <c r="FL3" s="866"/>
      <c r="FM3" s="866"/>
      <c r="FN3" s="866"/>
      <c r="FO3" s="866"/>
      <c r="FP3" s="866"/>
      <c r="FQ3" s="866"/>
      <c r="FR3" s="866"/>
      <c r="FS3" s="866"/>
      <c r="FT3" s="866"/>
      <c r="FU3" s="866"/>
      <c r="FV3" s="866"/>
      <c r="FW3" s="866"/>
      <c r="FX3" s="866"/>
      <c r="FY3" s="866"/>
      <c r="FZ3" s="866"/>
      <c r="GA3" s="866"/>
      <c r="GB3" s="866"/>
      <c r="GC3" s="866"/>
      <c r="GD3" s="866"/>
      <c r="GE3" s="866"/>
      <c r="GF3" s="866"/>
      <c r="GG3" s="866"/>
      <c r="GH3" s="866"/>
      <c r="GI3" s="866"/>
      <c r="GJ3" s="866"/>
      <c r="GK3" s="866"/>
      <c r="GL3" s="866"/>
      <c r="GM3" s="866"/>
      <c r="GN3" s="866"/>
      <c r="GO3" s="866"/>
      <c r="GP3" s="866"/>
      <c r="GQ3" s="866"/>
      <c r="GR3" s="866"/>
      <c r="GS3" s="866"/>
      <c r="GT3" s="866"/>
      <c r="GU3" s="866"/>
      <c r="GV3" s="866"/>
      <c r="GW3" s="866"/>
      <c r="GX3" s="866"/>
      <c r="GY3" s="866"/>
      <c r="GZ3" s="866"/>
      <c r="HA3" s="866"/>
      <c r="HB3" s="866"/>
      <c r="HC3" s="866"/>
      <c r="HD3" s="866"/>
      <c r="HE3" s="866"/>
      <c r="HF3" s="866"/>
      <c r="HG3" s="866"/>
      <c r="HH3" s="866"/>
      <c r="HI3" s="866"/>
      <c r="HJ3" s="866"/>
      <c r="HK3" s="866"/>
      <c r="HL3" s="866"/>
      <c r="HM3" s="866"/>
      <c r="HN3" s="866"/>
      <c r="HO3" s="866"/>
      <c r="HP3" s="866"/>
      <c r="HQ3" s="866"/>
      <c r="HR3" s="866"/>
      <c r="HS3" s="866"/>
      <c r="HT3" s="866"/>
      <c r="HU3" s="866"/>
      <c r="HV3" s="866"/>
      <c r="HW3" s="866"/>
      <c r="HX3" s="866"/>
      <c r="HY3" s="866"/>
      <c r="HZ3" s="866"/>
      <c r="IA3" s="866"/>
      <c r="IB3" s="866"/>
      <c r="IC3" s="866"/>
      <c r="ID3" s="866"/>
      <c r="IE3" s="866"/>
      <c r="IF3" s="866"/>
      <c r="IG3" s="866"/>
      <c r="IH3" s="866"/>
      <c r="II3" s="866"/>
      <c r="IJ3" s="866"/>
      <c r="IK3" s="866"/>
      <c r="IL3" s="866"/>
      <c r="IM3" s="866"/>
    </row>
    <row r="4" spans="1:247" ht="103.9" customHeight="1">
      <c r="A4" s="2093"/>
      <c r="B4" s="2096"/>
      <c r="C4" s="2099"/>
      <c r="D4" s="885" t="s">
        <v>745</v>
      </c>
      <c r="E4" s="885" t="s">
        <v>746</v>
      </c>
      <c r="F4" s="886" t="s">
        <v>747</v>
      </c>
      <c r="G4" s="2102"/>
      <c r="H4" s="2103"/>
      <c r="I4" s="866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  <c r="Y4" s="866"/>
      <c r="Z4" s="866"/>
      <c r="AA4" s="866"/>
      <c r="AB4" s="866"/>
      <c r="AC4" s="866"/>
      <c r="AD4" s="866"/>
      <c r="AE4" s="866"/>
      <c r="AF4" s="866"/>
      <c r="AG4" s="866"/>
      <c r="AH4" s="866"/>
      <c r="AI4" s="866"/>
      <c r="AJ4" s="866"/>
      <c r="AK4" s="866"/>
      <c r="AL4" s="866"/>
      <c r="AM4" s="866"/>
      <c r="AN4" s="866"/>
      <c r="AO4" s="866"/>
      <c r="AP4" s="866"/>
      <c r="AQ4" s="866"/>
      <c r="AR4" s="866"/>
      <c r="AS4" s="866"/>
      <c r="AT4" s="866"/>
      <c r="AU4" s="866"/>
      <c r="AV4" s="866"/>
      <c r="AW4" s="866"/>
      <c r="AX4" s="866"/>
      <c r="AY4" s="866"/>
      <c r="AZ4" s="866"/>
      <c r="BA4" s="866"/>
      <c r="BB4" s="866"/>
      <c r="BC4" s="866"/>
      <c r="BD4" s="866"/>
      <c r="BE4" s="866"/>
      <c r="BF4" s="866"/>
      <c r="BG4" s="866"/>
      <c r="BH4" s="866"/>
      <c r="BI4" s="866"/>
      <c r="BJ4" s="866"/>
      <c r="BK4" s="866"/>
      <c r="BL4" s="866"/>
      <c r="BM4" s="866"/>
      <c r="BN4" s="866"/>
      <c r="BO4" s="866"/>
      <c r="BP4" s="866"/>
      <c r="BQ4" s="866"/>
      <c r="BR4" s="866"/>
      <c r="BS4" s="866"/>
      <c r="BT4" s="866"/>
      <c r="BU4" s="866"/>
      <c r="BV4" s="866"/>
      <c r="BW4" s="866"/>
      <c r="BX4" s="866"/>
      <c r="BY4" s="866"/>
      <c r="BZ4" s="866"/>
      <c r="CA4" s="866"/>
      <c r="CB4" s="866"/>
      <c r="CC4" s="866"/>
      <c r="CD4" s="866"/>
      <c r="CE4" s="866"/>
      <c r="CF4" s="866"/>
      <c r="CG4" s="866"/>
      <c r="CH4" s="866"/>
      <c r="CI4" s="866"/>
      <c r="CJ4" s="866"/>
      <c r="CK4" s="866"/>
      <c r="CL4" s="866"/>
      <c r="CM4" s="866"/>
      <c r="CN4" s="866"/>
      <c r="CO4" s="866"/>
      <c r="CP4" s="866"/>
      <c r="CQ4" s="866"/>
      <c r="CR4" s="866"/>
      <c r="CS4" s="866"/>
      <c r="CT4" s="866"/>
      <c r="CU4" s="866"/>
      <c r="CV4" s="866"/>
      <c r="CW4" s="866"/>
      <c r="CX4" s="866"/>
      <c r="CY4" s="866"/>
      <c r="CZ4" s="866"/>
      <c r="DA4" s="866"/>
      <c r="DB4" s="866"/>
      <c r="DC4" s="866"/>
      <c r="DD4" s="866"/>
      <c r="DE4" s="866"/>
      <c r="DF4" s="866"/>
      <c r="DG4" s="866"/>
      <c r="DH4" s="866"/>
      <c r="DI4" s="866"/>
      <c r="DJ4" s="866"/>
      <c r="DK4" s="866"/>
      <c r="DL4" s="866"/>
      <c r="DM4" s="866"/>
      <c r="DN4" s="866"/>
      <c r="DO4" s="866"/>
      <c r="DP4" s="866"/>
      <c r="DQ4" s="866"/>
      <c r="DR4" s="866"/>
      <c r="DS4" s="866"/>
      <c r="DT4" s="866"/>
      <c r="DU4" s="866"/>
      <c r="DV4" s="866"/>
      <c r="DW4" s="866"/>
      <c r="DX4" s="866"/>
      <c r="DY4" s="866"/>
      <c r="DZ4" s="866"/>
      <c r="EA4" s="866"/>
      <c r="EB4" s="866"/>
      <c r="EC4" s="866"/>
      <c r="ED4" s="866"/>
      <c r="EE4" s="866"/>
      <c r="EF4" s="866"/>
      <c r="EG4" s="866"/>
      <c r="EH4" s="866"/>
      <c r="EI4" s="866"/>
      <c r="EJ4" s="866"/>
      <c r="EK4" s="866"/>
      <c r="EL4" s="866"/>
      <c r="EM4" s="866"/>
      <c r="EN4" s="866"/>
      <c r="EO4" s="866"/>
      <c r="EP4" s="866"/>
      <c r="EQ4" s="866"/>
      <c r="ER4" s="866"/>
      <c r="ES4" s="866"/>
      <c r="ET4" s="866"/>
      <c r="EU4" s="866"/>
      <c r="EV4" s="866"/>
      <c r="EW4" s="866"/>
      <c r="EX4" s="866"/>
      <c r="EY4" s="866"/>
      <c r="EZ4" s="866"/>
      <c r="FA4" s="866"/>
      <c r="FB4" s="866"/>
      <c r="FC4" s="866"/>
      <c r="FD4" s="866"/>
      <c r="FE4" s="866"/>
      <c r="FF4" s="866"/>
      <c r="FG4" s="866"/>
      <c r="FH4" s="866"/>
      <c r="FI4" s="866"/>
      <c r="FJ4" s="866"/>
      <c r="FK4" s="866"/>
      <c r="FL4" s="866"/>
      <c r="FM4" s="866"/>
      <c r="FN4" s="866"/>
      <c r="FO4" s="866"/>
      <c r="FP4" s="866"/>
      <c r="FQ4" s="866"/>
      <c r="FR4" s="866"/>
      <c r="FS4" s="866"/>
      <c r="FT4" s="866"/>
      <c r="FU4" s="866"/>
      <c r="FV4" s="866"/>
      <c r="FW4" s="866"/>
      <c r="FX4" s="866"/>
      <c r="FY4" s="866"/>
      <c r="FZ4" s="866"/>
      <c r="GA4" s="866"/>
      <c r="GB4" s="866"/>
      <c r="GC4" s="866"/>
      <c r="GD4" s="866"/>
      <c r="GE4" s="866"/>
      <c r="GF4" s="866"/>
      <c r="GG4" s="866"/>
      <c r="GH4" s="866"/>
      <c r="GI4" s="866"/>
      <c r="GJ4" s="866"/>
      <c r="GK4" s="866"/>
      <c r="GL4" s="866"/>
      <c r="GM4" s="866"/>
      <c r="GN4" s="866"/>
      <c r="GO4" s="866"/>
      <c r="GP4" s="866"/>
      <c r="GQ4" s="866"/>
      <c r="GR4" s="866"/>
      <c r="GS4" s="866"/>
      <c r="GT4" s="866"/>
      <c r="GU4" s="866"/>
      <c r="GV4" s="866"/>
      <c r="GW4" s="866"/>
      <c r="GX4" s="866"/>
      <c r="GY4" s="866"/>
      <c r="GZ4" s="866"/>
      <c r="HA4" s="866"/>
      <c r="HB4" s="866"/>
      <c r="HC4" s="866"/>
      <c r="HD4" s="866"/>
      <c r="HE4" s="866"/>
      <c r="HF4" s="866"/>
      <c r="HG4" s="866"/>
      <c r="HH4" s="866"/>
      <c r="HI4" s="866"/>
      <c r="HJ4" s="866"/>
      <c r="HK4" s="866"/>
      <c r="HL4" s="866"/>
      <c r="HM4" s="866"/>
      <c r="HN4" s="866"/>
      <c r="HO4" s="866"/>
      <c r="HP4" s="866"/>
      <c r="HQ4" s="866"/>
      <c r="HR4" s="866"/>
      <c r="HS4" s="866"/>
      <c r="HT4" s="866"/>
      <c r="HU4" s="866"/>
      <c r="HV4" s="866"/>
      <c r="HW4" s="866"/>
      <c r="HX4" s="866"/>
      <c r="HY4" s="866"/>
      <c r="HZ4" s="866"/>
      <c r="IA4" s="866"/>
      <c r="IB4" s="866"/>
      <c r="IC4" s="866"/>
      <c r="ID4" s="866"/>
      <c r="IE4" s="866"/>
      <c r="IF4" s="866"/>
      <c r="IG4" s="866"/>
      <c r="IH4" s="866"/>
      <c r="II4" s="866"/>
      <c r="IJ4" s="866"/>
      <c r="IK4" s="866"/>
      <c r="IL4" s="866"/>
      <c r="IM4" s="866"/>
    </row>
    <row r="5" spans="1:247">
      <c r="A5" s="2094"/>
      <c r="B5" s="2097"/>
      <c r="C5" s="2104" t="s">
        <v>748</v>
      </c>
      <c r="D5" s="2105"/>
      <c r="E5" s="2105"/>
      <c r="F5" s="2105"/>
      <c r="G5" s="2105"/>
      <c r="H5" s="210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866"/>
      <c r="X5" s="866"/>
      <c r="Y5" s="866"/>
      <c r="Z5" s="866"/>
      <c r="AA5" s="866"/>
      <c r="AB5" s="866"/>
      <c r="AC5" s="866"/>
      <c r="AD5" s="866"/>
      <c r="AE5" s="866"/>
      <c r="AF5" s="866"/>
      <c r="AG5" s="866"/>
      <c r="AH5" s="866"/>
      <c r="AI5" s="866"/>
      <c r="AJ5" s="866"/>
      <c r="AK5" s="866"/>
      <c r="AL5" s="866"/>
      <c r="AM5" s="866"/>
      <c r="AN5" s="866"/>
      <c r="AO5" s="866"/>
      <c r="AP5" s="866"/>
      <c r="AQ5" s="866"/>
      <c r="AR5" s="866"/>
      <c r="AS5" s="866"/>
      <c r="AT5" s="866"/>
      <c r="AU5" s="866"/>
      <c r="AV5" s="866"/>
      <c r="AW5" s="866"/>
      <c r="AX5" s="866"/>
      <c r="AY5" s="866"/>
      <c r="AZ5" s="866"/>
      <c r="BA5" s="866"/>
      <c r="BB5" s="866"/>
      <c r="BC5" s="866"/>
      <c r="BD5" s="866"/>
      <c r="BE5" s="866"/>
      <c r="BF5" s="866"/>
      <c r="BG5" s="866"/>
      <c r="BH5" s="866"/>
      <c r="BI5" s="866"/>
      <c r="BJ5" s="866"/>
      <c r="BK5" s="866"/>
      <c r="BL5" s="866"/>
      <c r="BM5" s="866"/>
      <c r="BN5" s="866"/>
      <c r="BO5" s="866"/>
      <c r="BP5" s="866"/>
      <c r="BQ5" s="866"/>
      <c r="BR5" s="866"/>
      <c r="BS5" s="866"/>
      <c r="BT5" s="866"/>
      <c r="BU5" s="866"/>
      <c r="BV5" s="866"/>
      <c r="BW5" s="866"/>
      <c r="BX5" s="866"/>
      <c r="BY5" s="866"/>
      <c r="BZ5" s="866"/>
      <c r="CA5" s="866"/>
      <c r="CB5" s="866"/>
      <c r="CC5" s="866"/>
      <c r="CD5" s="866"/>
      <c r="CE5" s="866"/>
      <c r="CF5" s="866"/>
      <c r="CG5" s="866"/>
      <c r="CH5" s="866"/>
      <c r="CI5" s="866"/>
      <c r="CJ5" s="866"/>
      <c r="CK5" s="866"/>
      <c r="CL5" s="866"/>
      <c r="CM5" s="866"/>
      <c r="CN5" s="866"/>
      <c r="CO5" s="866"/>
      <c r="CP5" s="866"/>
      <c r="CQ5" s="866"/>
      <c r="CR5" s="866"/>
      <c r="CS5" s="866"/>
      <c r="CT5" s="866"/>
      <c r="CU5" s="866"/>
      <c r="CV5" s="866"/>
      <c r="CW5" s="866"/>
      <c r="CX5" s="866"/>
      <c r="CY5" s="866"/>
      <c r="CZ5" s="866"/>
      <c r="DA5" s="866"/>
      <c r="DB5" s="866"/>
      <c r="DC5" s="866"/>
      <c r="DD5" s="866"/>
      <c r="DE5" s="866"/>
      <c r="DF5" s="866"/>
      <c r="DG5" s="866"/>
      <c r="DH5" s="866"/>
      <c r="DI5" s="866"/>
      <c r="DJ5" s="866"/>
      <c r="DK5" s="866"/>
      <c r="DL5" s="866"/>
      <c r="DM5" s="866"/>
      <c r="DN5" s="866"/>
      <c r="DO5" s="866"/>
      <c r="DP5" s="866"/>
      <c r="DQ5" s="866"/>
      <c r="DR5" s="866"/>
      <c r="DS5" s="866"/>
      <c r="DT5" s="866"/>
      <c r="DU5" s="866"/>
      <c r="DV5" s="866"/>
      <c r="DW5" s="866"/>
      <c r="DX5" s="866"/>
      <c r="DY5" s="866"/>
      <c r="DZ5" s="866"/>
      <c r="EA5" s="866"/>
      <c r="EB5" s="866"/>
      <c r="EC5" s="866"/>
      <c r="ED5" s="866"/>
      <c r="EE5" s="866"/>
      <c r="EF5" s="866"/>
      <c r="EG5" s="866"/>
      <c r="EH5" s="866"/>
      <c r="EI5" s="866"/>
      <c r="EJ5" s="866"/>
      <c r="EK5" s="866"/>
      <c r="EL5" s="866"/>
      <c r="EM5" s="866"/>
      <c r="EN5" s="866"/>
      <c r="EO5" s="866"/>
      <c r="EP5" s="866"/>
      <c r="EQ5" s="866"/>
      <c r="ER5" s="866"/>
      <c r="ES5" s="866"/>
      <c r="ET5" s="866"/>
      <c r="EU5" s="866"/>
      <c r="EV5" s="866"/>
      <c r="EW5" s="866"/>
      <c r="EX5" s="866"/>
      <c r="EY5" s="866"/>
      <c r="EZ5" s="866"/>
      <c r="FA5" s="866"/>
      <c r="FB5" s="866"/>
      <c r="FC5" s="866"/>
      <c r="FD5" s="866"/>
      <c r="FE5" s="866"/>
      <c r="FF5" s="866"/>
      <c r="FG5" s="866"/>
      <c r="FH5" s="866"/>
      <c r="FI5" s="866"/>
      <c r="FJ5" s="866"/>
      <c r="FK5" s="866"/>
      <c r="FL5" s="866"/>
      <c r="FM5" s="866"/>
      <c r="FN5" s="866"/>
      <c r="FO5" s="866"/>
      <c r="FP5" s="866"/>
      <c r="FQ5" s="866"/>
      <c r="FR5" s="866"/>
      <c r="FS5" s="866"/>
      <c r="FT5" s="866"/>
      <c r="FU5" s="866"/>
      <c r="FV5" s="866"/>
      <c r="FW5" s="866"/>
      <c r="FX5" s="866"/>
      <c r="FY5" s="866"/>
      <c r="FZ5" s="866"/>
      <c r="GA5" s="866"/>
      <c r="GB5" s="866"/>
      <c r="GC5" s="866"/>
      <c r="GD5" s="866"/>
      <c r="GE5" s="866"/>
      <c r="GF5" s="866"/>
      <c r="GG5" s="866"/>
      <c r="GH5" s="866"/>
      <c r="GI5" s="866"/>
      <c r="GJ5" s="866"/>
      <c r="GK5" s="866"/>
      <c r="GL5" s="866"/>
      <c r="GM5" s="866"/>
      <c r="GN5" s="866"/>
      <c r="GO5" s="866"/>
      <c r="GP5" s="866"/>
      <c r="GQ5" s="866"/>
      <c r="GR5" s="866"/>
      <c r="GS5" s="866"/>
      <c r="GT5" s="866"/>
      <c r="GU5" s="866"/>
      <c r="GV5" s="866"/>
      <c r="GW5" s="866"/>
      <c r="GX5" s="866"/>
      <c r="GY5" s="866"/>
      <c r="GZ5" s="866"/>
      <c r="HA5" s="866"/>
      <c r="HB5" s="866"/>
      <c r="HC5" s="866"/>
      <c r="HD5" s="866"/>
      <c r="HE5" s="866"/>
      <c r="HF5" s="866"/>
      <c r="HG5" s="866"/>
      <c r="HH5" s="866"/>
      <c r="HI5" s="866"/>
      <c r="HJ5" s="866"/>
      <c r="HK5" s="866"/>
      <c r="HL5" s="866"/>
      <c r="HM5" s="866"/>
      <c r="HN5" s="866"/>
      <c r="HO5" s="866"/>
      <c r="HP5" s="866"/>
      <c r="HQ5" s="866"/>
      <c r="HR5" s="866"/>
      <c r="HS5" s="866"/>
      <c r="HT5" s="866"/>
      <c r="HU5" s="866"/>
      <c r="HV5" s="866"/>
      <c r="HW5" s="866"/>
      <c r="HX5" s="866"/>
      <c r="HY5" s="866"/>
      <c r="HZ5" s="866"/>
      <c r="IA5" s="866"/>
      <c r="IB5" s="866"/>
      <c r="IC5" s="866"/>
      <c r="ID5" s="866"/>
      <c r="IE5" s="866"/>
      <c r="IF5" s="866"/>
      <c r="IG5" s="866"/>
      <c r="IH5" s="866"/>
      <c r="II5" s="866"/>
      <c r="IJ5" s="866"/>
      <c r="IK5" s="866"/>
      <c r="IL5" s="866"/>
      <c r="IM5" s="866"/>
    </row>
    <row r="6" spans="1:247" ht="40.5">
      <c r="A6" s="870" t="s">
        <v>749</v>
      </c>
      <c r="B6" s="875" t="s">
        <v>1041</v>
      </c>
      <c r="C6" s="887">
        <f>D6+E6+F6</f>
        <v>53136801</v>
      </c>
      <c r="D6" s="888">
        <v>19032931</v>
      </c>
      <c r="E6" s="888">
        <v>16393342</v>
      </c>
      <c r="F6" s="889">
        <v>17710528</v>
      </c>
      <c r="G6" s="873">
        <v>132663189</v>
      </c>
      <c r="H6" s="872">
        <f>C6/G$15*100</f>
        <v>13.189082401221222</v>
      </c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  <c r="Y6" s="866"/>
      <c r="Z6" s="866"/>
      <c r="AA6" s="866"/>
      <c r="AB6" s="866"/>
      <c r="AC6" s="866"/>
      <c r="AD6" s="866"/>
      <c r="AE6" s="866"/>
      <c r="AF6" s="866"/>
      <c r="AG6" s="866"/>
      <c r="AH6" s="866"/>
      <c r="AI6" s="866"/>
      <c r="AJ6" s="866"/>
      <c r="AK6" s="866"/>
      <c r="AL6" s="866"/>
      <c r="AM6" s="866"/>
      <c r="AN6" s="866"/>
      <c r="AO6" s="866"/>
      <c r="AP6" s="866"/>
      <c r="AQ6" s="866"/>
      <c r="AR6" s="866"/>
      <c r="AS6" s="866"/>
      <c r="AT6" s="866"/>
      <c r="AU6" s="866"/>
      <c r="AV6" s="866"/>
      <c r="AW6" s="866"/>
      <c r="AX6" s="866"/>
      <c r="AY6" s="866"/>
      <c r="AZ6" s="866"/>
      <c r="BA6" s="866"/>
      <c r="BB6" s="866"/>
      <c r="BC6" s="866"/>
      <c r="BD6" s="866"/>
      <c r="BE6" s="866"/>
      <c r="BF6" s="866"/>
      <c r="BG6" s="866"/>
      <c r="BH6" s="866"/>
      <c r="BI6" s="866"/>
      <c r="BJ6" s="866"/>
      <c r="BK6" s="866"/>
      <c r="BL6" s="866"/>
      <c r="BM6" s="866"/>
      <c r="BN6" s="866"/>
      <c r="BO6" s="866"/>
      <c r="BP6" s="866"/>
      <c r="BQ6" s="866"/>
      <c r="BR6" s="866"/>
      <c r="BS6" s="866"/>
      <c r="BT6" s="866"/>
      <c r="BU6" s="866"/>
      <c r="BV6" s="866"/>
      <c r="BW6" s="866"/>
      <c r="BX6" s="866"/>
      <c r="BY6" s="866"/>
      <c r="BZ6" s="866"/>
      <c r="CA6" s="866"/>
      <c r="CB6" s="866"/>
      <c r="CC6" s="866"/>
      <c r="CD6" s="866"/>
      <c r="CE6" s="866"/>
      <c r="CF6" s="866"/>
      <c r="CG6" s="866"/>
      <c r="CH6" s="866"/>
      <c r="CI6" s="866"/>
      <c r="CJ6" s="866"/>
      <c r="CK6" s="866"/>
      <c r="CL6" s="866"/>
      <c r="CM6" s="866"/>
      <c r="CN6" s="866"/>
      <c r="CO6" s="866"/>
      <c r="CP6" s="866"/>
      <c r="CQ6" s="866"/>
      <c r="CR6" s="866"/>
      <c r="CS6" s="866"/>
      <c r="CT6" s="866"/>
      <c r="CU6" s="866"/>
      <c r="CV6" s="866"/>
      <c r="CW6" s="866"/>
      <c r="CX6" s="866"/>
      <c r="CY6" s="866"/>
      <c r="CZ6" s="866"/>
      <c r="DA6" s="866"/>
      <c r="DB6" s="866"/>
      <c r="DC6" s="866"/>
      <c r="DD6" s="866"/>
      <c r="DE6" s="866"/>
      <c r="DF6" s="866"/>
      <c r="DG6" s="866"/>
      <c r="DH6" s="866"/>
      <c r="DI6" s="866"/>
      <c r="DJ6" s="866"/>
      <c r="DK6" s="866"/>
      <c r="DL6" s="866"/>
      <c r="DM6" s="866"/>
      <c r="DN6" s="866"/>
      <c r="DO6" s="866"/>
      <c r="DP6" s="866"/>
      <c r="DQ6" s="866"/>
      <c r="DR6" s="866"/>
      <c r="DS6" s="866"/>
      <c r="DT6" s="866"/>
      <c r="DU6" s="866"/>
      <c r="DV6" s="866"/>
      <c r="DW6" s="866"/>
      <c r="DX6" s="866"/>
      <c r="DY6" s="866"/>
      <c r="DZ6" s="866"/>
      <c r="EA6" s="866"/>
      <c r="EB6" s="866"/>
      <c r="EC6" s="866"/>
      <c r="ED6" s="866"/>
      <c r="EE6" s="866"/>
      <c r="EF6" s="866"/>
      <c r="EG6" s="866"/>
      <c r="EH6" s="866"/>
      <c r="EI6" s="866"/>
      <c r="EJ6" s="866"/>
      <c r="EK6" s="866"/>
      <c r="EL6" s="866"/>
      <c r="EM6" s="866"/>
      <c r="EN6" s="866"/>
      <c r="EO6" s="866"/>
      <c r="EP6" s="866"/>
      <c r="EQ6" s="866"/>
      <c r="ER6" s="866"/>
      <c r="ES6" s="866"/>
      <c r="ET6" s="866"/>
      <c r="EU6" s="866"/>
      <c r="EV6" s="866"/>
      <c r="EW6" s="866"/>
      <c r="EX6" s="866"/>
      <c r="EY6" s="866"/>
      <c r="EZ6" s="866"/>
      <c r="FA6" s="866"/>
      <c r="FB6" s="866"/>
      <c r="FC6" s="866"/>
      <c r="FD6" s="866"/>
      <c r="FE6" s="866"/>
      <c r="FF6" s="866"/>
      <c r="FG6" s="866"/>
      <c r="FH6" s="866"/>
      <c r="FI6" s="866"/>
      <c r="FJ6" s="866"/>
      <c r="FK6" s="866"/>
      <c r="FL6" s="866"/>
      <c r="FM6" s="866"/>
      <c r="FN6" s="866"/>
      <c r="FO6" s="866"/>
      <c r="FP6" s="866"/>
      <c r="FQ6" s="866"/>
      <c r="FR6" s="866"/>
      <c r="FS6" s="866"/>
      <c r="FT6" s="866"/>
      <c r="FU6" s="866"/>
      <c r="FV6" s="866"/>
      <c r="FW6" s="866"/>
      <c r="FX6" s="866"/>
      <c r="FY6" s="866"/>
      <c r="FZ6" s="866"/>
      <c r="GA6" s="866"/>
      <c r="GB6" s="866"/>
      <c r="GC6" s="866"/>
      <c r="GD6" s="866"/>
      <c r="GE6" s="866"/>
      <c r="GF6" s="866"/>
      <c r="GG6" s="866"/>
      <c r="GH6" s="866"/>
      <c r="GI6" s="866"/>
      <c r="GJ6" s="866"/>
      <c r="GK6" s="866"/>
      <c r="GL6" s="866"/>
      <c r="GM6" s="866"/>
      <c r="GN6" s="866"/>
      <c r="GO6" s="866"/>
      <c r="GP6" s="866"/>
      <c r="GQ6" s="866"/>
      <c r="GR6" s="866"/>
      <c r="GS6" s="866"/>
      <c r="GT6" s="866"/>
      <c r="GU6" s="866"/>
      <c r="GV6" s="866"/>
      <c r="GW6" s="866"/>
      <c r="GX6" s="866"/>
      <c r="GY6" s="866"/>
      <c r="GZ6" s="866"/>
      <c r="HA6" s="866"/>
      <c r="HB6" s="866"/>
      <c r="HC6" s="866"/>
      <c r="HD6" s="866"/>
      <c r="HE6" s="866"/>
      <c r="HF6" s="866"/>
      <c r="HG6" s="866"/>
      <c r="HH6" s="866"/>
      <c r="HI6" s="866"/>
      <c r="HJ6" s="866"/>
      <c r="HK6" s="866"/>
      <c r="HL6" s="866"/>
      <c r="HM6" s="866"/>
      <c r="HN6" s="866"/>
      <c r="HO6" s="866"/>
      <c r="HP6" s="866"/>
      <c r="HQ6" s="866"/>
      <c r="HR6" s="866"/>
      <c r="HS6" s="866"/>
      <c r="HT6" s="866"/>
      <c r="HU6" s="866"/>
      <c r="HV6" s="866"/>
      <c r="HW6" s="866"/>
      <c r="HX6" s="866"/>
      <c r="HY6" s="866"/>
      <c r="HZ6" s="866"/>
      <c r="IA6" s="866"/>
      <c r="IB6" s="866"/>
      <c r="IC6" s="866"/>
      <c r="ID6" s="866"/>
      <c r="IE6" s="866"/>
      <c r="IF6" s="866"/>
      <c r="IG6" s="866"/>
      <c r="IH6" s="866"/>
      <c r="II6" s="866"/>
      <c r="IJ6" s="866"/>
      <c r="IK6" s="866"/>
      <c r="IL6" s="866"/>
      <c r="IM6" s="866"/>
    </row>
    <row r="7" spans="1:247" ht="54">
      <c r="A7" s="867" t="s">
        <v>750</v>
      </c>
      <c r="B7" s="876" t="s">
        <v>1042</v>
      </c>
      <c r="C7" s="890">
        <f t="shared" ref="C7:C14" si="0">D7+E7+F7</f>
        <v>3101814</v>
      </c>
      <c r="D7" s="868">
        <v>2071953</v>
      </c>
      <c r="E7" s="868">
        <v>136000</v>
      </c>
      <c r="F7" s="891">
        <v>893861</v>
      </c>
      <c r="G7" s="874">
        <v>3735589</v>
      </c>
      <c r="H7" s="872">
        <f t="shared" ref="H7:H14" si="1">C7/G$15*100</f>
        <v>0.76990107927764795</v>
      </c>
      <c r="I7" s="866"/>
      <c r="J7" s="866"/>
      <c r="K7" s="866"/>
      <c r="L7" s="866"/>
      <c r="M7" s="866"/>
      <c r="N7" s="866"/>
      <c r="O7" s="866"/>
      <c r="P7" s="866"/>
      <c r="Q7" s="866"/>
      <c r="R7" s="866"/>
      <c r="S7" s="866"/>
      <c r="T7" s="866"/>
      <c r="U7" s="866"/>
      <c r="V7" s="866"/>
      <c r="W7" s="866"/>
      <c r="X7" s="866"/>
      <c r="Y7" s="866"/>
      <c r="Z7" s="866"/>
      <c r="AA7" s="866"/>
      <c r="AB7" s="866"/>
      <c r="AC7" s="866"/>
      <c r="AD7" s="866"/>
      <c r="AE7" s="866"/>
      <c r="AF7" s="866"/>
      <c r="AG7" s="866"/>
      <c r="AH7" s="866"/>
      <c r="AI7" s="866"/>
      <c r="AJ7" s="866"/>
      <c r="AK7" s="866"/>
      <c r="AL7" s="866"/>
      <c r="AM7" s="866"/>
      <c r="AN7" s="866"/>
      <c r="AO7" s="866"/>
      <c r="AP7" s="866"/>
      <c r="AQ7" s="866"/>
      <c r="AR7" s="866"/>
      <c r="AS7" s="866"/>
      <c r="AT7" s="866"/>
      <c r="AU7" s="866"/>
      <c r="AV7" s="866"/>
      <c r="AW7" s="866"/>
      <c r="AX7" s="866"/>
      <c r="AY7" s="866"/>
      <c r="AZ7" s="866"/>
      <c r="BA7" s="866"/>
      <c r="BB7" s="866"/>
      <c r="BC7" s="866"/>
      <c r="BD7" s="866"/>
      <c r="BE7" s="866"/>
      <c r="BF7" s="866"/>
      <c r="BG7" s="866"/>
      <c r="BH7" s="866"/>
      <c r="BI7" s="866"/>
      <c r="BJ7" s="866"/>
      <c r="BK7" s="866"/>
      <c r="BL7" s="866"/>
      <c r="BM7" s="866"/>
      <c r="BN7" s="866"/>
      <c r="BO7" s="866"/>
      <c r="BP7" s="866"/>
      <c r="BQ7" s="866"/>
      <c r="BR7" s="866"/>
      <c r="BS7" s="866"/>
      <c r="BT7" s="866"/>
      <c r="BU7" s="866"/>
      <c r="BV7" s="866"/>
      <c r="BW7" s="866"/>
      <c r="BX7" s="866"/>
      <c r="BY7" s="866"/>
      <c r="BZ7" s="866"/>
      <c r="CA7" s="866"/>
      <c r="CB7" s="866"/>
      <c r="CC7" s="866"/>
      <c r="CD7" s="866"/>
      <c r="CE7" s="866"/>
      <c r="CF7" s="866"/>
      <c r="CG7" s="866"/>
      <c r="CH7" s="866"/>
      <c r="CI7" s="866"/>
      <c r="CJ7" s="866"/>
      <c r="CK7" s="866"/>
      <c r="CL7" s="866"/>
      <c r="CM7" s="866"/>
      <c r="CN7" s="866"/>
      <c r="CO7" s="866"/>
      <c r="CP7" s="866"/>
      <c r="CQ7" s="866"/>
      <c r="CR7" s="866"/>
      <c r="CS7" s="866"/>
      <c r="CT7" s="866"/>
      <c r="CU7" s="866"/>
      <c r="CV7" s="866"/>
      <c r="CW7" s="866"/>
      <c r="CX7" s="866"/>
      <c r="CY7" s="866"/>
      <c r="CZ7" s="866"/>
      <c r="DA7" s="866"/>
      <c r="DB7" s="866"/>
      <c r="DC7" s="866"/>
      <c r="DD7" s="866"/>
      <c r="DE7" s="866"/>
      <c r="DF7" s="866"/>
      <c r="DG7" s="866"/>
      <c r="DH7" s="866"/>
      <c r="DI7" s="866"/>
      <c r="DJ7" s="866"/>
      <c r="DK7" s="866"/>
      <c r="DL7" s="866"/>
      <c r="DM7" s="866"/>
      <c r="DN7" s="866"/>
      <c r="DO7" s="866"/>
      <c r="DP7" s="866"/>
      <c r="DQ7" s="866"/>
      <c r="DR7" s="866"/>
      <c r="DS7" s="866"/>
      <c r="DT7" s="866"/>
      <c r="DU7" s="866"/>
      <c r="DV7" s="866"/>
      <c r="DW7" s="866"/>
      <c r="DX7" s="866"/>
      <c r="DY7" s="866"/>
      <c r="DZ7" s="866"/>
      <c r="EA7" s="866"/>
      <c r="EB7" s="866"/>
      <c r="EC7" s="866"/>
      <c r="ED7" s="866"/>
      <c r="EE7" s="866"/>
      <c r="EF7" s="866"/>
      <c r="EG7" s="866"/>
      <c r="EH7" s="866"/>
      <c r="EI7" s="866"/>
      <c r="EJ7" s="866"/>
      <c r="EK7" s="866"/>
      <c r="EL7" s="866"/>
      <c r="EM7" s="866"/>
      <c r="EN7" s="866"/>
      <c r="EO7" s="866"/>
      <c r="EP7" s="866"/>
      <c r="EQ7" s="866"/>
      <c r="ER7" s="866"/>
      <c r="ES7" s="866"/>
      <c r="ET7" s="866"/>
      <c r="EU7" s="866"/>
      <c r="EV7" s="866"/>
      <c r="EW7" s="866"/>
      <c r="EX7" s="866"/>
      <c r="EY7" s="866"/>
      <c r="EZ7" s="866"/>
      <c r="FA7" s="866"/>
      <c r="FB7" s="866"/>
      <c r="FC7" s="866"/>
      <c r="FD7" s="866"/>
      <c r="FE7" s="866"/>
      <c r="FF7" s="866"/>
      <c r="FG7" s="866"/>
      <c r="FH7" s="866"/>
      <c r="FI7" s="866"/>
      <c r="FJ7" s="866"/>
      <c r="FK7" s="866"/>
      <c r="FL7" s="866"/>
      <c r="FM7" s="866"/>
      <c r="FN7" s="866"/>
      <c r="FO7" s="866"/>
      <c r="FP7" s="866"/>
      <c r="FQ7" s="866"/>
      <c r="FR7" s="866"/>
      <c r="FS7" s="866"/>
      <c r="FT7" s="866"/>
      <c r="FU7" s="866"/>
      <c r="FV7" s="866"/>
      <c r="FW7" s="866"/>
      <c r="FX7" s="866"/>
      <c r="FY7" s="866"/>
      <c r="FZ7" s="866"/>
      <c r="GA7" s="866"/>
      <c r="GB7" s="866"/>
      <c r="GC7" s="866"/>
      <c r="GD7" s="866"/>
      <c r="GE7" s="866"/>
      <c r="GF7" s="866"/>
      <c r="GG7" s="866"/>
      <c r="GH7" s="866"/>
      <c r="GI7" s="866"/>
      <c r="GJ7" s="866"/>
      <c r="GK7" s="866"/>
      <c r="GL7" s="866"/>
      <c r="GM7" s="866"/>
      <c r="GN7" s="866"/>
      <c r="GO7" s="866"/>
      <c r="GP7" s="866"/>
      <c r="GQ7" s="866"/>
      <c r="GR7" s="866"/>
      <c r="GS7" s="866"/>
      <c r="GT7" s="866"/>
      <c r="GU7" s="866"/>
      <c r="GV7" s="866"/>
      <c r="GW7" s="866"/>
      <c r="GX7" s="866"/>
      <c r="GY7" s="866"/>
      <c r="GZ7" s="866"/>
      <c r="HA7" s="866"/>
      <c r="HB7" s="866"/>
      <c r="HC7" s="866"/>
      <c r="HD7" s="866"/>
      <c r="HE7" s="866"/>
      <c r="HF7" s="866"/>
      <c r="HG7" s="866"/>
      <c r="HH7" s="866"/>
      <c r="HI7" s="866"/>
      <c r="HJ7" s="866"/>
      <c r="HK7" s="866"/>
      <c r="HL7" s="866"/>
      <c r="HM7" s="866"/>
      <c r="HN7" s="866"/>
      <c r="HO7" s="866"/>
      <c r="HP7" s="866"/>
      <c r="HQ7" s="866"/>
      <c r="HR7" s="866"/>
      <c r="HS7" s="866"/>
      <c r="HT7" s="866"/>
      <c r="HU7" s="866"/>
      <c r="HV7" s="866"/>
      <c r="HW7" s="866"/>
      <c r="HX7" s="866"/>
      <c r="HY7" s="866"/>
      <c r="HZ7" s="866"/>
      <c r="IA7" s="866"/>
      <c r="IB7" s="866"/>
      <c r="IC7" s="866"/>
      <c r="ID7" s="866"/>
      <c r="IE7" s="866"/>
      <c r="IF7" s="866"/>
      <c r="IG7" s="866"/>
      <c r="IH7" s="866"/>
      <c r="II7" s="866"/>
      <c r="IJ7" s="866"/>
      <c r="IK7" s="866"/>
      <c r="IL7" s="866"/>
      <c r="IM7" s="866"/>
    </row>
    <row r="8" spans="1:247" ht="40.5">
      <c r="A8" s="867" t="s">
        <v>751</v>
      </c>
      <c r="B8" s="876" t="s">
        <v>1043</v>
      </c>
      <c r="C8" s="890">
        <f t="shared" si="0"/>
        <v>0</v>
      </c>
      <c r="D8" s="868">
        <v>0</v>
      </c>
      <c r="E8" s="868">
        <v>0</v>
      </c>
      <c r="F8" s="891">
        <v>0</v>
      </c>
      <c r="G8" s="874">
        <v>0</v>
      </c>
      <c r="H8" s="872">
        <f t="shared" si="1"/>
        <v>0</v>
      </c>
      <c r="I8" s="866"/>
      <c r="J8" s="866"/>
      <c r="K8" s="866"/>
      <c r="L8" s="866"/>
      <c r="M8" s="866"/>
      <c r="N8" s="866"/>
      <c r="O8" s="866"/>
      <c r="P8" s="866"/>
      <c r="Q8" s="866"/>
      <c r="R8" s="866"/>
      <c r="S8" s="866"/>
      <c r="T8" s="866"/>
      <c r="U8" s="866"/>
      <c r="V8" s="866"/>
      <c r="W8" s="866"/>
      <c r="X8" s="866"/>
      <c r="Y8" s="866"/>
      <c r="Z8" s="866"/>
      <c r="AA8" s="866"/>
      <c r="AB8" s="866"/>
      <c r="AC8" s="866"/>
      <c r="AD8" s="866"/>
      <c r="AE8" s="866"/>
      <c r="AF8" s="866"/>
      <c r="AG8" s="866"/>
      <c r="AH8" s="866"/>
      <c r="AI8" s="866"/>
      <c r="AJ8" s="866"/>
      <c r="AK8" s="866"/>
      <c r="AL8" s="866"/>
      <c r="AM8" s="866"/>
      <c r="AN8" s="866"/>
      <c r="AO8" s="866"/>
      <c r="AP8" s="866"/>
      <c r="AQ8" s="866"/>
      <c r="AR8" s="866"/>
      <c r="AS8" s="866"/>
      <c r="AT8" s="866"/>
      <c r="AU8" s="866"/>
      <c r="AV8" s="866"/>
      <c r="AW8" s="866"/>
      <c r="AX8" s="866"/>
      <c r="AY8" s="866"/>
      <c r="AZ8" s="866"/>
      <c r="BA8" s="866"/>
      <c r="BB8" s="866"/>
      <c r="BC8" s="866"/>
      <c r="BD8" s="866"/>
      <c r="BE8" s="866"/>
      <c r="BF8" s="866"/>
      <c r="BG8" s="866"/>
      <c r="BH8" s="866"/>
      <c r="BI8" s="866"/>
      <c r="BJ8" s="866"/>
      <c r="BK8" s="866"/>
      <c r="BL8" s="866"/>
      <c r="BM8" s="866"/>
      <c r="BN8" s="866"/>
      <c r="BO8" s="866"/>
      <c r="BP8" s="866"/>
      <c r="BQ8" s="866"/>
      <c r="BR8" s="866"/>
      <c r="BS8" s="866"/>
      <c r="BT8" s="866"/>
      <c r="BU8" s="866"/>
      <c r="BV8" s="866"/>
      <c r="BW8" s="866"/>
      <c r="BX8" s="866"/>
      <c r="BY8" s="866"/>
      <c r="BZ8" s="866"/>
      <c r="CA8" s="866"/>
      <c r="CB8" s="866"/>
      <c r="CC8" s="866"/>
      <c r="CD8" s="866"/>
      <c r="CE8" s="866"/>
      <c r="CF8" s="866"/>
      <c r="CG8" s="866"/>
      <c r="CH8" s="866"/>
      <c r="CI8" s="866"/>
      <c r="CJ8" s="866"/>
      <c r="CK8" s="866"/>
      <c r="CL8" s="866"/>
      <c r="CM8" s="866"/>
      <c r="CN8" s="866"/>
      <c r="CO8" s="866"/>
      <c r="CP8" s="866"/>
      <c r="CQ8" s="866"/>
      <c r="CR8" s="866"/>
      <c r="CS8" s="866"/>
      <c r="CT8" s="866"/>
      <c r="CU8" s="866"/>
      <c r="CV8" s="866"/>
      <c r="CW8" s="866"/>
      <c r="CX8" s="866"/>
      <c r="CY8" s="866"/>
      <c r="CZ8" s="866"/>
      <c r="DA8" s="866"/>
      <c r="DB8" s="866"/>
      <c r="DC8" s="866"/>
      <c r="DD8" s="866"/>
      <c r="DE8" s="866"/>
      <c r="DF8" s="866"/>
      <c r="DG8" s="866"/>
      <c r="DH8" s="866"/>
      <c r="DI8" s="866"/>
      <c r="DJ8" s="866"/>
      <c r="DK8" s="866"/>
      <c r="DL8" s="866"/>
      <c r="DM8" s="866"/>
      <c r="DN8" s="866"/>
      <c r="DO8" s="866"/>
      <c r="DP8" s="866"/>
      <c r="DQ8" s="866"/>
      <c r="DR8" s="866"/>
      <c r="DS8" s="866"/>
      <c r="DT8" s="866"/>
      <c r="DU8" s="866"/>
      <c r="DV8" s="866"/>
      <c r="DW8" s="866"/>
      <c r="DX8" s="866"/>
      <c r="DY8" s="866"/>
      <c r="DZ8" s="866"/>
      <c r="EA8" s="866"/>
      <c r="EB8" s="866"/>
      <c r="EC8" s="866"/>
      <c r="ED8" s="866"/>
      <c r="EE8" s="866"/>
      <c r="EF8" s="866"/>
      <c r="EG8" s="866"/>
      <c r="EH8" s="866"/>
      <c r="EI8" s="866"/>
      <c r="EJ8" s="866"/>
      <c r="EK8" s="866"/>
      <c r="EL8" s="866"/>
      <c r="EM8" s="866"/>
      <c r="EN8" s="866"/>
      <c r="EO8" s="866"/>
      <c r="EP8" s="866"/>
      <c r="EQ8" s="866"/>
      <c r="ER8" s="866"/>
      <c r="ES8" s="866"/>
      <c r="ET8" s="866"/>
      <c r="EU8" s="866"/>
      <c r="EV8" s="866"/>
      <c r="EW8" s="866"/>
      <c r="EX8" s="866"/>
      <c r="EY8" s="866"/>
      <c r="EZ8" s="866"/>
      <c r="FA8" s="866"/>
      <c r="FB8" s="866"/>
      <c r="FC8" s="866"/>
      <c r="FD8" s="866"/>
      <c r="FE8" s="866"/>
      <c r="FF8" s="866"/>
      <c r="FG8" s="866"/>
      <c r="FH8" s="866"/>
      <c r="FI8" s="866"/>
      <c r="FJ8" s="866"/>
      <c r="FK8" s="866"/>
      <c r="FL8" s="866"/>
      <c r="FM8" s="866"/>
      <c r="FN8" s="866"/>
      <c r="FO8" s="866"/>
      <c r="FP8" s="866"/>
      <c r="FQ8" s="866"/>
      <c r="FR8" s="866"/>
      <c r="FS8" s="866"/>
      <c r="FT8" s="866"/>
      <c r="FU8" s="866"/>
      <c r="FV8" s="866"/>
      <c r="FW8" s="866"/>
      <c r="FX8" s="866"/>
      <c r="FY8" s="866"/>
      <c r="FZ8" s="866"/>
      <c r="GA8" s="866"/>
      <c r="GB8" s="866"/>
      <c r="GC8" s="866"/>
      <c r="GD8" s="866"/>
      <c r="GE8" s="866"/>
      <c r="GF8" s="866"/>
      <c r="GG8" s="866"/>
      <c r="GH8" s="866"/>
      <c r="GI8" s="866"/>
      <c r="GJ8" s="866"/>
      <c r="GK8" s="866"/>
      <c r="GL8" s="866"/>
      <c r="GM8" s="866"/>
      <c r="GN8" s="866"/>
      <c r="GO8" s="866"/>
      <c r="GP8" s="866"/>
      <c r="GQ8" s="866"/>
      <c r="GR8" s="866"/>
      <c r="GS8" s="866"/>
      <c r="GT8" s="866"/>
      <c r="GU8" s="866"/>
      <c r="GV8" s="866"/>
      <c r="GW8" s="866"/>
      <c r="GX8" s="866"/>
      <c r="GY8" s="866"/>
      <c r="GZ8" s="866"/>
      <c r="HA8" s="866"/>
      <c r="HB8" s="866"/>
      <c r="HC8" s="866"/>
      <c r="HD8" s="866"/>
      <c r="HE8" s="866"/>
      <c r="HF8" s="866"/>
      <c r="HG8" s="866"/>
      <c r="HH8" s="866"/>
      <c r="HI8" s="866"/>
      <c r="HJ8" s="866"/>
      <c r="HK8" s="866"/>
      <c r="HL8" s="866"/>
      <c r="HM8" s="866"/>
      <c r="HN8" s="866"/>
      <c r="HO8" s="866"/>
      <c r="HP8" s="866"/>
      <c r="HQ8" s="866"/>
      <c r="HR8" s="866"/>
      <c r="HS8" s="866"/>
      <c r="HT8" s="866"/>
      <c r="HU8" s="866"/>
      <c r="HV8" s="866"/>
      <c r="HW8" s="866"/>
      <c r="HX8" s="866"/>
      <c r="HY8" s="866"/>
      <c r="HZ8" s="866"/>
      <c r="IA8" s="866"/>
      <c r="IB8" s="866"/>
      <c r="IC8" s="866"/>
      <c r="ID8" s="866"/>
      <c r="IE8" s="866"/>
      <c r="IF8" s="866"/>
      <c r="IG8" s="866"/>
      <c r="IH8" s="866"/>
      <c r="II8" s="866"/>
      <c r="IJ8" s="866"/>
      <c r="IK8" s="866"/>
      <c r="IL8" s="866"/>
      <c r="IM8" s="866"/>
    </row>
    <row r="9" spans="1:247" ht="54">
      <c r="A9" s="867" t="s">
        <v>752</v>
      </c>
      <c r="B9" s="876" t="s">
        <v>1044</v>
      </c>
      <c r="C9" s="890">
        <f t="shared" si="0"/>
        <v>17311745</v>
      </c>
      <c r="D9" s="868">
        <v>6387920</v>
      </c>
      <c r="E9" s="868">
        <v>4534973</v>
      </c>
      <c r="F9" s="891">
        <v>6388852</v>
      </c>
      <c r="G9" s="874">
        <v>31837301</v>
      </c>
      <c r="H9" s="872">
        <f t="shared" si="1"/>
        <v>4.2969472572112402</v>
      </c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6"/>
      <c r="AS9" s="866"/>
      <c r="AT9" s="866"/>
      <c r="AU9" s="866"/>
      <c r="AV9" s="866"/>
      <c r="AW9" s="866"/>
      <c r="AX9" s="866"/>
      <c r="AY9" s="866"/>
      <c r="AZ9" s="866"/>
      <c r="BA9" s="866"/>
      <c r="BB9" s="866"/>
      <c r="BC9" s="866"/>
      <c r="BD9" s="866"/>
      <c r="BE9" s="866"/>
      <c r="BF9" s="866"/>
      <c r="BG9" s="866"/>
      <c r="BH9" s="866"/>
      <c r="BI9" s="866"/>
      <c r="BJ9" s="866"/>
      <c r="BK9" s="866"/>
      <c r="BL9" s="866"/>
      <c r="BM9" s="866"/>
      <c r="BN9" s="866"/>
      <c r="BO9" s="866"/>
      <c r="BP9" s="866"/>
      <c r="BQ9" s="866"/>
      <c r="BR9" s="866"/>
      <c r="BS9" s="866"/>
      <c r="BT9" s="866"/>
      <c r="BU9" s="866"/>
      <c r="BV9" s="866"/>
      <c r="BW9" s="866"/>
      <c r="BX9" s="866"/>
      <c r="BY9" s="866"/>
      <c r="BZ9" s="866"/>
      <c r="CA9" s="866"/>
      <c r="CB9" s="866"/>
      <c r="CC9" s="866"/>
      <c r="CD9" s="866"/>
      <c r="CE9" s="866"/>
      <c r="CF9" s="866"/>
      <c r="CG9" s="866"/>
      <c r="CH9" s="866"/>
      <c r="CI9" s="866"/>
      <c r="CJ9" s="866"/>
      <c r="CK9" s="866"/>
      <c r="CL9" s="866"/>
      <c r="CM9" s="866"/>
      <c r="CN9" s="866"/>
      <c r="CO9" s="866"/>
      <c r="CP9" s="866"/>
      <c r="CQ9" s="866"/>
      <c r="CR9" s="866"/>
      <c r="CS9" s="866"/>
      <c r="CT9" s="866"/>
      <c r="CU9" s="866"/>
      <c r="CV9" s="866"/>
      <c r="CW9" s="866"/>
      <c r="CX9" s="866"/>
      <c r="CY9" s="866"/>
      <c r="CZ9" s="866"/>
      <c r="DA9" s="866"/>
      <c r="DB9" s="866"/>
      <c r="DC9" s="866"/>
      <c r="DD9" s="866"/>
      <c r="DE9" s="866"/>
      <c r="DF9" s="866"/>
      <c r="DG9" s="866"/>
      <c r="DH9" s="866"/>
      <c r="DI9" s="866"/>
      <c r="DJ9" s="866"/>
      <c r="DK9" s="866"/>
      <c r="DL9" s="866"/>
      <c r="DM9" s="866"/>
      <c r="DN9" s="866"/>
      <c r="DO9" s="866"/>
      <c r="DP9" s="866"/>
      <c r="DQ9" s="866"/>
      <c r="DR9" s="866"/>
      <c r="DS9" s="866"/>
      <c r="DT9" s="866"/>
      <c r="DU9" s="866"/>
      <c r="DV9" s="866"/>
      <c r="DW9" s="866"/>
      <c r="DX9" s="866"/>
      <c r="DY9" s="866"/>
      <c r="DZ9" s="866"/>
      <c r="EA9" s="866"/>
      <c r="EB9" s="866"/>
      <c r="EC9" s="866"/>
      <c r="ED9" s="866"/>
      <c r="EE9" s="866"/>
      <c r="EF9" s="866"/>
      <c r="EG9" s="866"/>
      <c r="EH9" s="866"/>
      <c r="EI9" s="866"/>
      <c r="EJ9" s="866"/>
      <c r="EK9" s="866"/>
      <c r="EL9" s="866"/>
      <c r="EM9" s="866"/>
      <c r="EN9" s="866"/>
      <c r="EO9" s="866"/>
      <c r="EP9" s="866"/>
      <c r="EQ9" s="866"/>
      <c r="ER9" s="866"/>
      <c r="ES9" s="866"/>
      <c r="ET9" s="866"/>
      <c r="EU9" s="866"/>
      <c r="EV9" s="866"/>
      <c r="EW9" s="866"/>
      <c r="EX9" s="866"/>
      <c r="EY9" s="866"/>
      <c r="EZ9" s="866"/>
      <c r="FA9" s="866"/>
      <c r="FB9" s="866"/>
      <c r="FC9" s="866"/>
      <c r="FD9" s="866"/>
      <c r="FE9" s="866"/>
      <c r="FF9" s="866"/>
      <c r="FG9" s="866"/>
      <c r="FH9" s="866"/>
      <c r="FI9" s="866"/>
      <c r="FJ9" s="866"/>
      <c r="FK9" s="866"/>
      <c r="FL9" s="866"/>
      <c r="FM9" s="866"/>
      <c r="FN9" s="866"/>
      <c r="FO9" s="866"/>
      <c r="FP9" s="866"/>
      <c r="FQ9" s="866"/>
      <c r="FR9" s="866"/>
      <c r="FS9" s="866"/>
      <c r="FT9" s="866"/>
      <c r="FU9" s="866"/>
      <c r="FV9" s="866"/>
      <c r="FW9" s="866"/>
      <c r="FX9" s="866"/>
      <c r="FY9" s="866"/>
      <c r="FZ9" s="866"/>
      <c r="GA9" s="866"/>
      <c r="GB9" s="866"/>
      <c r="GC9" s="866"/>
      <c r="GD9" s="866"/>
      <c r="GE9" s="866"/>
      <c r="GF9" s="866"/>
      <c r="GG9" s="866"/>
      <c r="GH9" s="866"/>
      <c r="GI9" s="866"/>
      <c r="GJ9" s="866"/>
      <c r="GK9" s="866"/>
      <c r="GL9" s="866"/>
      <c r="GM9" s="866"/>
      <c r="GN9" s="866"/>
      <c r="GO9" s="866"/>
      <c r="GP9" s="866"/>
      <c r="GQ9" s="866"/>
      <c r="GR9" s="866"/>
      <c r="GS9" s="866"/>
      <c r="GT9" s="866"/>
      <c r="GU9" s="866"/>
      <c r="GV9" s="866"/>
      <c r="GW9" s="866"/>
      <c r="GX9" s="866"/>
      <c r="GY9" s="866"/>
      <c r="GZ9" s="866"/>
      <c r="HA9" s="866"/>
      <c r="HB9" s="866"/>
      <c r="HC9" s="866"/>
      <c r="HD9" s="866"/>
      <c r="HE9" s="866"/>
      <c r="HF9" s="866"/>
      <c r="HG9" s="866"/>
      <c r="HH9" s="866"/>
      <c r="HI9" s="866"/>
      <c r="HJ9" s="866"/>
      <c r="HK9" s="866"/>
      <c r="HL9" s="866"/>
      <c r="HM9" s="866"/>
      <c r="HN9" s="866"/>
      <c r="HO9" s="866"/>
      <c r="HP9" s="866"/>
      <c r="HQ9" s="866"/>
      <c r="HR9" s="866"/>
      <c r="HS9" s="866"/>
      <c r="HT9" s="866"/>
      <c r="HU9" s="866"/>
      <c r="HV9" s="866"/>
      <c r="HW9" s="866"/>
      <c r="HX9" s="866"/>
      <c r="HY9" s="866"/>
      <c r="HZ9" s="866"/>
      <c r="IA9" s="866"/>
      <c r="IB9" s="866"/>
      <c r="IC9" s="866"/>
      <c r="ID9" s="866"/>
      <c r="IE9" s="866"/>
      <c r="IF9" s="866"/>
      <c r="IG9" s="866"/>
      <c r="IH9" s="866"/>
      <c r="II9" s="866"/>
      <c r="IJ9" s="866"/>
      <c r="IK9" s="866"/>
      <c r="IL9" s="866"/>
      <c r="IM9" s="866"/>
    </row>
    <row r="10" spans="1:247" ht="27">
      <c r="A10" s="867" t="s">
        <v>753</v>
      </c>
      <c r="B10" s="876" t="s">
        <v>754</v>
      </c>
      <c r="C10" s="890">
        <f t="shared" si="0"/>
        <v>59649804</v>
      </c>
      <c r="D10" s="868">
        <v>31713747</v>
      </c>
      <c r="E10" s="868">
        <v>6431339</v>
      </c>
      <c r="F10" s="891">
        <v>21504718</v>
      </c>
      <c r="G10" s="874">
        <v>72805620</v>
      </c>
      <c r="H10" s="872">
        <f t="shared" si="1"/>
        <v>14.805674511205433</v>
      </c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866"/>
      <c r="AJ10" s="866"/>
      <c r="AK10" s="866"/>
      <c r="AL10" s="866"/>
      <c r="AM10" s="866"/>
      <c r="AN10" s="866"/>
      <c r="AO10" s="866"/>
      <c r="AP10" s="866"/>
      <c r="AQ10" s="866"/>
      <c r="AR10" s="866"/>
      <c r="AS10" s="866"/>
      <c r="AT10" s="866"/>
      <c r="AU10" s="866"/>
      <c r="AV10" s="866"/>
      <c r="AW10" s="866"/>
      <c r="AX10" s="866"/>
      <c r="AY10" s="866"/>
      <c r="AZ10" s="866"/>
      <c r="BA10" s="866"/>
      <c r="BB10" s="866"/>
      <c r="BC10" s="866"/>
      <c r="BD10" s="866"/>
      <c r="BE10" s="866"/>
      <c r="BF10" s="866"/>
      <c r="BG10" s="866"/>
      <c r="BH10" s="866"/>
      <c r="BI10" s="866"/>
      <c r="BJ10" s="866"/>
      <c r="BK10" s="866"/>
      <c r="BL10" s="866"/>
      <c r="BM10" s="866"/>
      <c r="BN10" s="866"/>
      <c r="BO10" s="866"/>
      <c r="BP10" s="866"/>
      <c r="BQ10" s="866"/>
      <c r="BR10" s="866"/>
      <c r="BS10" s="866"/>
      <c r="BT10" s="866"/>
      <c r="BU10" s="866"/>
      <c r="BV10" s="866"/>
      <c r="BW10" s="866"/>
      <c r="BX10" s="866"/>
      <c r="BY10" s="866"/>
      <c r="BZ10" s="866"/>
      <c r="CA10" s="866"/>
      <c r="CB10" s="866"/>
      <c r="CC10" s="866"/>
      <c r="CD10" s="866"/>
      <c r="CE10" s="866"/>
      <c r="CF10" s="866"/>
      <c r="CG10" s="866"/>
      <c r="CH10" s="866"/>
      <c r="CI10" s="866"/>
      <c r="CJ10" s="866"/>
      <c r="CK10" s="866"/>
      <c r="CL10" s="866"/>
      <c r="CM10" s="866"/>
      <c r="CN10" s="866"/>
      <c r="CO10" s="866"/>
      <c r="CP10" s="866"/>
      <c r="CQ10" s="866"/>
      <c r="CR10" s="866"/>
      <c r="CS10" s="866"/>
      <c r="CT10" s="866"/>
      <c r="CU10" s="866"/>
      <c r="CV10" s="866"/>
      <c r="CW10" s="866"/>
      <c r="CX10" s="866"/>
      <c r="CY10" s="866"/>
      <c r="CZ10" s="866"/>
      <c r="DA10" s="866"/>
      <c r="DB10" s="866"/>
      <c r="DC10" s="866"/>
      <c r="DD10" s="866"/>
      <c r="DE10" s="866"/>
      <c r="DF10" s="866"/>
      <c r="DG10" s="866"/>
      <c r="DH10" s="866"/>
      <c r="DI10" s="866"/>
      <c r="DJ10" s="866"/>
      <c r="DK10" s="866"/>
      <c r="DL10" s="866"/>
      <c r="DM10" s="866"/>
      <c r="DN10" s="866"/>
      <c r="DO10" s="866"/>
      <c r="DP10" s="866"/>
      <c r="DQ10" s="866"/>
      <c r="DR10" s="866"/>
      <c r="DS10" s="866"/>
      <c r="DT10" s="866"/>
      <c r="DU10" s="866"/>
      <c r="DV10" s="866"/>
      <c r="DW10" s="866"/>
      <c r="DX10" s="866"/>
      <c r="DY10" s="866"/>
      <c r="DZ10" s="866"/>
      <c r="EA10" s="866"/>
      <c r="EB10" s="866"/>
      <c r="EC10" s="866"/>
      <c r="ED10" s="866"/>
      <c r="EE10" s="866"/>
      <c r="EF10" s="866"/>
      <c r="EG10" s="866"/>
      <c r="EH10" s="866"/>
      <c r="EI10" s="866"/>
      <c r="EJ10" s="866"/>
      <c r="EK10" s="866"/>
      <c r="EL10" s="866"/>
      <c r="EM10" s="866"/>
      <c r="EN10" s="866"/>
      <c r="EO10" s="866"/>
      <c r="EP10" s="866"/>
      <c r="EQ10" s="866"/>
      <c r="ER10" s="866"/>
      <c r="ES10" s="866"/>
      <c r="ET10" s="866"/>
      <c r="EU10" s="866"/>
      <c r="EV10" s="866"/>
      <c r="EW10" s="866"/>
      <c r="EX10" s="866"/>
      <c r="EY10" s="866"/>
      <c r="EZ10" s="866"/>
      <c r="FA10" s="866"/>
      <c r="FB10" s="866"/>
      <c r="FC10" s="866"/>
      <c r="FD10" s="866"/>
      <c r="FE10" s="866"/>
      <c r="FF10" s="866"/>
      <c r="FG10" s="866"/>
      <c r="FH10" s="866"/>
      <c r="FI10" s="866"/>
      <c r="FJ10" s="866"/>
      <c r="FK10" s="866"/>
      <c r="FL10" s="866"/>
      <c r="FM10" s="866"/>
      <c r="FN10" s="866"/>
      <c r="FO10" s="866"/>
      <c r="FP10" s="866"/>
      <c r="FQ10" s="866"/>
      <c r="FR10" s="866"/>
      <c r="FS10" s="866"/>
      <c r="FT10" s="866"/>
      <c r="FU10" s="866"/>
      <c r="FV10" s="866"/>
      <c r="FW10" s="866"/>
      <c r="FX10" s="866"/>
      <c r="FY10" s="866"/>
      <c r="FZ10" s="866"/>
      <c r="GA10" s="866"/>
      <c r="GB10" s="866"/>
      <c r="GC10" s="866"/>
      <c r="GD10" s="866"/>
      <c r="GE10" s="866"/>
      <c r="GF10" s="866"/>
      <c r="GG10" s="866"/>
      <c r="GH10" s="866"/>
      <c r="GI10" s="866"/>
      <c r="GJ10" s="866"/>
      <c r="GK10" s="866"/>
      <c r="GL10" s="866"/>
      <c r="GM10" s="866"/>
      <c r="GN10" s="866"/>
      <c r="GO10" s="866"/>
      <c r="GP10" s="866"/>
      <c r="GQ10" s="866"/>
      <c r="GR10" s="866"/>
      <c r="GS10" s="866"/>
      <c r="GT10" s="866"/>
      <c r="GU10" s="866"/>
      <c r="GV10" s="866"/>
      <c r="GW10" s="866"/>
      <c r="GX10" s="866"/>
      <c r="GY10" s="866"/>
      <c r="GZ10" s="866"/>
      <c r="HA10" s="866"/>
      <c r="HB10" s="866"/>
      <c r="HC10" s="866"/>
      <c r="HD10" s="866"/>
      <c r="HE10" s="866"/>
      <c r="HF10" s="866"/>
      <c r="HG10" s="866"/>
      <c r="HH10" s="866"/>
      <c r="HI10" s="866"/>
      <c r="HJ10" s="866"/>
      <c r="HK10" s="866"/>
      <c r="HL10" s="866"/>
      <c r="HM10" s="866"/>
      <c r="HN10" s="866"/>
      <c r="HO10" s="866"/>
      <c r="HP10" s="866"/>
      <c r="HQ10" s="866"/>
      <c r="HR10" s="866"/>
      <c r="HS10" s="866"/>
      <c r="HT10" s="866"/>
      <c r="HU10" s="866"/>
      <c r="HV10" s="866"/>
      <c r="HW10" s="866"/>
      <c r="HX10" s="866"/>
      <c r="HY10" s="866"/>
      <c r="HZ10" s="866"/>
      <c r="IA10" s="866"/>
      <c r="IB10" s="866"/>
      <c r="IC10" s="866"/>
      <c r="ID10" s="866"/>
      <c r="IE10" s="866"/>
      <c r="IF10" s="866"/>
      <c r="IG10" s="866"/>
      <c r="IH10" s="866"/>
      <c r="II10" s="866"/>
      <c r="IJ10" s="866"/>
      <c r="IK10" s="866"/>
      <c r="IL10" s="866"/>
      <c r="IM10" s="866"/>
    </row>
    <row r="11" spans="1:247" ht="54">
      <c r="A11" s="867" t="s">
        <v>755</v>
      </c>
      <c r="B11" s="876" t="s">
        <v>1045</v>
      </c>
      <c r="C11" s="890">
        <f t="shared" si="0"/>
        <v>9586698</v>
      </c>
      <c r="D11" s="868">
        <v>6053809</v>
      </c>
      <c r="E11" s="868">
        <v>1092926</v>
      </c>
      <c r="F11" s="891">
        <v>2439963</v>
      </c>
      <c r="G11" s="874">
        <v>20571058</v>
      </c>
      <c r="H11" s="872">
        <f t="shared" si="1"/>
        <v>2.3795137738461656</v>
      </c>
      <c r="I11" s="866"/>
      <c r="J11" s="866"/>
      <c r="K11" s="866"/>
      <c r="L11" s="866"/>
      <c r="M11" s="866"/>
      <c r="N11" s="866"/>
      <c r="O11" s="866"/>
      <c r="P11" s="866"/>
      <c r="Q11" s="866"/>
      <c r="R11" s="866"/>
      <c r="S11" s="866"/>
      <c r="T11" s="866"/>
      <c r="U11" s="866"/>
      <c r="V11" s="866"/>
      <c r="W11" s="866"/>
      <c r="X11" s="866"/>
      <c r="Y11" s="866"/>
      <c r="Z11" s="866"/>
      <c r="AA11" s="866"/>
      <c r="AB11" s="866"/>
      <c r="AC11" s="866"/>
      <c r="AD11" s="866"/>
      <c r="AE11" s="866"/>
      <c r="AF11" s="866"/>
      <c r="AG11" s="866"/>
      <c r="AH11" s="866"/>
      <c r="AI11" s="866"/>
      <c r="AJ11" s="866"/>
      <c r="AK11" s="866"/>
      <c r="AL11" s="866"/>
      <c r="AM11" s="866"/>
      <c r="AN11" s="866"/>
      <c r="AO11" s="866"/>
      <c r="AP11" s="866"/>
      <c r="AQ11" s="866"/>
      <c r="AR11" s="866"/>
      <c r="AS11" s="866"/>
      <c r="AT11" s="866"/>
      <c r="AU11" s="866"/>
      <c r="AV11" s="866"/>
      <c r="AW11" s="866"/>
      <c r="AX11" s="866"/>
      <c r="AY11" s="866"/>
      <c r="AZ11" s="866"/>
      <c r="BA11" s="866"/>
      <c r="BB11" s="866"/>
      <c r="BC11" s="866"/>
      <c r="BD11" s="866"/>
      <c r="BE11" s="866"/>
      <c r="BF11" s="866"/>
      <c r="BG11" s="866"/>
      <c r="BH11" s="866"/>
      <c r="BI11" s="866"/>
      <c r="BJ11" s="866"/>
      <c r="BK11" s="866"/>
      <c r="BL11" s="866"/>
      <c r="BM11" s="866"/>
      <c r="BN11" s="866"/>
      <c r="BO11" s="866"/>
      <c r="BP11" s="866"/>
      <c r="BQ11" s="866"/>
      <c r="BR11" s="866"/>
      <c r="BS11" s="866"/>
      <c r="BT11" s="866"/>
      <c r="BU11" s="866"/>
      <c r="BV11" s="866"/>
      <c r="BW11" s="866"/>
      <c r="BX11" s="866"/>
      <c r="BY11" s="866"/>
      <c r="BZ11" s="866"/>
      <c r="CA11" s="866"/>
      <c r="CB11" s="866"/>
      <c r="CC11" s="866"/>
      <c r="CD11" s="866"/>
      <c r="CE11" s="866"/>
      <c r="CF11" s="866"/>
      <c r="CG11" s="866"/>
      <c r="CH11" s="866"/>
      <c r="CI11" s="866"/>
      <c r="CJ11" s="866"/>
      <c r="CK11" s="866"/>
      <c r="CL11" s="866"/>
      <c r="CM11" s="866"/>
      <c r="CN11" s="866"/>
      <c r="CO11" s="866"/>
      <c r="CP11" s="866"/>
      <c r="CQ11" s="866"/>
      <c r="CR11" s="866"/>
      <c r="CS11" s="866"/>
      <c r="CT11" s="866"/>
      <c r="CU11" s="866"/>
      <c r="CV11" s="866"/>
      <c r="CW11" s="866"/>
      <c r="CX11" s="866"/>
      <c r="CY11" s="866"/>
      <c r="CZ11" s="866"/>
      <c r="DA11" s="866"/>
      <c r="DB11" s="866"/>
      <c r="DC11" s="866"/>
      <c r="DD11" s="866"/>
      <c r="DE11" s="866"/>
      <c r="DF11" s="866"/>
      <c r="DG11" s="866"/>
      <c r="DH11" s="866"/>
      <c r="DI11" s="866"/>
      <c r="DJ11" s="866"/>
      <c r="DK11" s="866"/>
      <c r="DL11" s="866"/>
      <c r="DM11" s="866"/>
      <c r="DN11" s="866"/>
      <c r="DO11" s="866"/>
      <c r="DP11" s="866"/>
      <c r="DQ11" s="866"/>
      <c r="DR11" s="866"/>
      <c r="DS11" s="866"/>
      <c r="DT11" s="866"/>
      <c r="DU11" s="866"/>
      <c r="DV11" s="866"/>
      <c r="DW11" s="866"/>
      <c r="DX11" s="866"/>
      <c r="DY11" s="866"/>
      <c r="DZ11" s="866"/>
      <c r="EA11" s="866"/>
      <c r="EB11" s="866"/>
      <c r="EC11" s="866"/>
      <c r="ED11" s="866"/>
      <c r="EE11" s="866"/>
      <c r="EF11" s="866"/>
      <c r="EG11" s="866"/>
      <c r="EH11" s="866"/>
      <c r="EI11" s="866"/>
      <c r="EJ11" s="866"/>
      <c r="EK11" s="866"/>
      <c r="EL11" s="866"/>
      <c r="EM11" s="866"/>
      <c r="EN11" s="866"/>
      <c r="EO11" s="866"/>
      <c r="EP11" s="866"/>
      <c r="EQ11" s="866"/>
      <c r="ER11" s="866"/>
      <c r="ES11" s="866"/>
      <c r="ET11" s="866"/>
      <c r="EU11" s="866"/>
      <c r="EV11" s="866"/>
      <c r="EW11" s="866"/>
      <c r="EX11" s="866"/>
      <c r="EY11" s="866"/>
      <c r="EZ11" s="866"/>
      <c r="FA11" s="866"/>
      <c r="FB11" s="866"/>
      <c r="FC11" s="866"/>
      <c r="FD11" s="866"/>
      <c r="FE11" s="866"/>
      <c r="FF11" s="866"/>
      <c r="FG11" s="866"/>
      <c r="FH11" s="866"/>
      <c r="FI11" s="866"/>
      <c r="FJ11" s="866"/>
      <c r="FK11" s="866"/>
      <c r="FL11" s="866"/>
      <c r="FM11" s="866"/>
      <c r="FN11" s="866"/>
      <c r="FO11" s="866"/>
      <c r="FP11" s="866"/>
      <c r="FQ11" s="866"/>
      <c r="FR11" s="866"/>
      <c r="FS11" s="866"/>
      <c r="FT11" s="866"/>
      <c r="FU11" s="866"/>
      <c r="FV11" s="866"/>
      <c r="FW11" s="866"/>
      <c r="FX11" s="866"/>
      <c r="FY11" s="866"/>
      <c r="FZ11" s="866"/>
      <c r="GA11" s="866"/>
      <c r="GB11" s="866"/>
      <c r="GC11" s="866"/>
      <c r="GD11" s="866"/>
      <c r="GE11" s="866"/>
      <c r="GF11" s="866"/>
      <c r="GG11" s="866"/>
      <c r="GH11" s="866"/>
      <c r="GI11" s="866"/>
      <c r="GJ11" s="866"/>
      <c r="GK11" s="866"/>
      <c r="GL11" s="866"/>
      <c r="GM11" s="866"/>
      <c r="GN11" s="866"/>
      <c r="GO11" s="866"/>
      <c r="GP11" s="866"/>
      <c r="GQ11" s="866"/>
      <c r="GR11" s="866"/>
      <c r="GS11" s="866"/>
      <c r="GT11" s="866"/>
      <c r="GU11" s="866"/>
      <c r="GV11" s="866"/>
      <c r="GW11" s="866"/>
      <c r="GX11" s="866"/>
      <c r="GY11" s="866"/>
      <c r="GZ11" s="866"/>
      <c r="HA11" s="866"/>
      <c r="HB11" s="866"/>
      <c r="HC11" s="866"/>
      <c r="HD11" s="866"/>
      <c r="HE11" s="866"/>
      <c r="HF11" s="866"/>
      <c r="HG11" s="866"/>
      <c r="HH11" s="866"/>
      <c r="HI11" s="866"/>
      <c r="HJ11" s="866"/>
      <c r="HK11" s="866"/>
      <c r="HL11" s="866"/>
      <c r="HM11" s="866"/>
      <c r="HN11" s="866"/>
      <c r="HO11" s="866"/>
      <c r="HP11" s="866"/>
      <c r="HQ11" s="866"/>
      <c r="HR11" s="866"/>
      <c r="HS11" s="866"/>
      <c r="HT11" s="866"/>
      <c r="HU11" s="866"/>
      <c r="HV11" s="866"/>
      <c r="HW11" s="866"/>
      <c r="HX11" s="866"/>
      <c r="HY11" s="866"/>
      <c r="HZ11" s="866"/>
      <c r="IA11" s="866"/>
      <c r="IB11" s="866"/>
      <c r="IC11" s="866"/>
      <c r="ID11" s="866"/>
      <c r="IE11" s="866"/>
      <c r="IF11" s="866"/>
      <c r="IG11" s="866"/>
      <c r="IH11" s="866"/>
      <c r="II11" s="866"/>
      <c r="IJ11" s="866"/>
      <c r="IK11" s="866"/>
      <c r="IL11" s="866"/>
      <c r="IM11" s="866"/>
    </row>
    <row r="12" spans="1:247" ht="40.5">
      <c r="A12" s="867" t="s">
        <v>756</v>
      </c>
      <c r="B12" s="876" t="s">
        <v>1046</v>
      </c>
      <c r="C12" s="890">
        <f t="shared" si="0"/>
        <v>70397670</v>
      </c>
      <c r="D12" s="868">
        <v>32155130</v>
      </c>
      <c r="E12" s="868">
        <v>13730430</v>
      </c>
      <c r="F12" s="891">
        <v>24512110</v>
      </c>
      <c r="G12" s="874">
        <v>140854420</v>
      </c>
      <c r="H12" s="872">
        <f t="shared" si="1"/>
        <v>17.473401729320877</v>
      </c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  <c r="Y12" s="866"/>
      <c r="Z12" s="866"/>
      <c r="AA12" s="866"/>
      <c r="AB12" s="866"/>
      <c r="AC12" s="866"/>
      <c r="AD12" s="866"/>
      <c r="AE12" s="866"/>
      <c r="AF12" s="866"/>
      <c r="AG12" s="866"/>
      <c r="AH12" s="866"/>
      <c r="AI12" s="866"/>
      <c r="AJ12" s="866"/>
      <c r="AK12" s="866"/>
      <c r="AL12" s="866"/>
      <c r="AM12" s="866"/>
      <c r="AN12" s="866"/>
      <c r="AO12" s="866"/>
      <c r="AP12" s="866"/>
      <c r="AQ12" s="866"/>
      <c r="AR12" s="866"/>
      <c r="AS12" s="866"/>
      <c r="AT12" s="866"/>
      <c r="AU12" s="866"/>
      <c r="AV12" s="866"/>
      <c r="AW12" s="866"/>
      <c r="AX12" s="866"/>
      <c r="AY12" s="866"/>
      <c r="AZ12" s="866"/>
      <c r="BA12" s="866"/>
      <c r="BB12" s="866"/>
      <c r="BC12" s="866"/>
      <c r="BD12" s="866"/>
      <c r="BE12" s="866"/>
      <c r="BF12" s="866"/>
      <c r="BG12" s="866"/>
      <c r="BH12" s="866"/>
      <c r="BI12" s="866"/>
      <c r="BJ12" s="866"/>
      <c r="BK12" s="866"/>
      <c r="BL12" s="866"/>
      <c r="BM12" s="866"/>
      <c r="BN12" s="866"/>
      <c r="BO12" s="866"/>
      <c r="BP12" s="866"/>
      <c r="BQ12" s="866"/>
      <c r="BR12" s="866"/>
      <c r="BS12" s="866"/>
      <c r="BT12" s="866"/>
      <c r="BU12" s="866"/>
      <c r="BV12" s="866"/>
      <c r="BW12" s="866"/>
      <c r="BX12" s="866"/>
      <c r="BY12" s="866"/>
      <c r="BZ12" s="866"/>
      <c r="CA12" s="866"/>
      <c r="CB12" s="866"/>
      <c r="CC12" s="866"/>
      <c r="CD12" s="866"/>
      <c r="CE12" s="866"/>
      <c r="CF12" s="866"/>
      <c r="CG12" s="866"/>
      <c r="CH12" s="866"/>
      <c r="CI12" s="866"/>
      <c r="CJ12" s="866"/>
      <c r="CK12" s="866"/>
      <c r="CL12" s="866"/>
      <c r="CM12" s="866"/>
      <c r="CN12" s="866"/>
      <c r="CO12" s="866"/>
      <c r="CP12" s="866"/>
      <c r="CQ12" s="866"/>
      <c r="CR12" s="866"/>
      <c r="CS12" s="866"/>
      <c r="CT12" s="866"/>
      <c r="CU12" s="866"/>
      <c r="CV12" s="866"/>
      <c r="CW12" s="866"/>
      <c r="CX12" s="866"/>
      <c r="CY12" s="866"/>
      <c r="CZ12" s="866"/>
      <c r="DA12" s="866"/>
      <c r="DB12" s="866"/>
      <c r="DC12" s="866"/>
      <c r="DD12" s="866"/>
      <c r="DE12" s="866"/>
      <c r="DF12" s="866"/>
      <c r="DG12" s="866"/>
      <c r="DH12" s="866"/>
      <c r="DI12" s="866"/>
      <c r="DJ12" s="866"/>
      <c r="DK12" s="866"/>
      <c r="DL12" s="866"/>
      <c r="DM12" s="866"/>
      <c r="DN12" s="866"/>
      <c r="DO12" s="866"/>
      <c r="DP12" s="866"/>
      <c r="DQ12" s="866"/>
      <c r="DR12" s="866"/>
      <c r="DS12" s="866"/>
      <c r="DT12" s="866"/>
      <c r="DU12" s="866"/>
      <c r="DV12" s="866"/>
      <c r="DW12" s="866"/>
      <c r="DX12" s="866"/>
      <c r="DY12" s="866"/>
      <c r="DZ12" s="866"/>
      <c r="EA12" s="866"/>
      <c r="EB12" s="866"/>
      <c r="EC12" s="866"/>
      <c r="ED12" s="866"/>
      <c r="EE12" s="866"/>
      <c r="EF12" s="866"/>
      <c r="EG12" s="866"/>
      <c r="EH12" s="866"/>
      <c r="EI12" s="866"/>
      <c r="EJ12" s="866"/>
      <c r="EK12" s="866"/>
      <c r="EL12" s="866"/>
      <c r="EM12" s="866"/>
      <c r="EN12" s="866"/>
      <c r="EO12" s="866"/>
      <c r="EP12" s="866"/>
      <c r="EQ12" s="866"/>
      <c r="ER12" s="866"/>
      <c r="ES12" s="866"/>
      <c r="ET12" s="866"/>
      <c r="EU12" s="866"/>
      <c r="EV12" s="866"/>
      <c r="EW12" s="866"/>
      <c r="EX12" s="866"/>
      <c r="EY12" s="866"/>
      <c r="EZ12" s="866"/>
      <c r="FA12" s="866"/>
      <c r="FB12" s="866"/>
      <c r="FC12" s="866"/>
      <c r="FD12" s="866"/>
      <c r="FE12" s="866"/>
      <c r="FF12" s="866"/>
      <c r="FG12" s="866"/>
      <c r="FH12" s="866"/>
      <c r="FI12" s="866"/>
      <c r="FJ12" s="866"/>
      <c r="FK12" s="866"/>
      <c r="FL12" s="866"/>
      <c r="FM12" s="866"/>
      <c r="FN12" s="866"/>
      <c r="FO12" s="866"/>
      <c r="FP12" s="866"/>
      <c r="FQ12" s="866"/>
      <c r="FR12" s="866"/>
      <c r="FS12" s="866"/>
      <c r="FT12" s="866"/>
      <c r="FU12" s="866"/>
      <c r="FV12" s="866"/>
      <c r="FW12" s="866"/>
      <c r="FX12" s="866"/>
      <c r="FY12" s="866"/>
      <c r="FZ12" s="866"/>
      <c r="GA12" s="866"/>
      <c r="GB12" s="866"/>
      <c r="GC12" s="866"/>
      <c r="GD12" s="866"/>
      <c r="GE12" s="866"/>
      <c r="GF12" s="866"/>
      <c r="GG12" s="866"/>
      <c r="GH12" s="866"/>
      <c r="GI12" s="866"/>
      <c r="GJ12" s="866"/>
      <c r="GK12" s="866"/>
      <c r="GL12" s="866"/>
      <c r="GM12" s="866"/>
      <c r="GN12" s="866"/>
      <c r="GO12" s="866"/>
      <c r="GP12" s="866"/>
      <c r="GQ12" s="866"/>
      <c r="GR12" s="866"/>
      <c r="GS12" s="866"/>
      <c r="GT12" s="866"/>
      <c r="GU12" s="866"/>
      <c r="GV12" s="866"/>
      <c r="GW12" s="866"/>
      <c r="GX12" s="866"/>
      <c r="GY12" s="866"/>
      <c r="GZ12" s="866"/>
      <c r="HA12" s="866"/>
      <c r="HB12" s="866"/>
      <c r="HC12" s="866"/>
      <c r="HD12" s="866"/>
      <c r="HE12" s="866"/>
      <c r="HF12" s="866"/>
      <c r="HG12" s="866"/>
      <c r="HH12" s="866"/>
      <c r="HI12" s="866"/>
      <c r="HJ12" s="866"/>
      <c r="HK12" s="866"/>
      <c r="HL12" s="866"/>
      <c r="HM12" s="866"/>
      <c r="HN12" s="866"/>
      <c r="HO12" s="866"/>
      <c r="HP12" s="866"/>
      <c r="HQ12" s="866"/>
      <c r="HR12" s="866"/>
      <c r="HS12" s="866"/>
      <c r="HT12" s="866"/>
      <c r="HU12" s="866"/>
      <c r="HV12" s="866"/>
      <c r="HW12" s="866"/>
      <c r="HX12" s="866"/>
      <c r="HY12" s="866"/>
      <c r="HZ12" s="866"/>
      <c r="IA12" s="866"/>
      <c r="IB12" s="866"/>
      <c r="IC12" s="866"/>
      <c r="ID12" s="866"/>
      <c r="IE12" s="866"/>
      <c r="IF12" s="866"/>
      <c r="IG12" s="866"/>
      <c r="IH12" s="866"/>
      <c r="II12" s="866"/>
      <c r="IJ12" s="866"/>
      <c r="IK12" s="866"/>
      <c r="IL12" s="866"/>
      <c r="IM12" s="866"/>
    </row>
    <row r="13" spans="1:247">
      <c r="A13" s="867" t="s">
        <v>758</v>
      </c>
      <c r="B13" s="876" t="s">
        <v>757</v>
      </c>
      <c r="C13" s="890">
        <f t="shared" si="0"/>
        <v>6597</v>
      </c>
      <c r="D13" s="868">
        <v>0</v>
      </c>
      <c r="E13" s="868">
        <v>0</v>
      </c>
      <c r="F13" s="891">
        <v>6597</v>
      </c>
      <c r="G13" s="874">
        <v>57816</v>
      </c>
      <c r="H13" s="872">
        <f t="shared" si="1"/>
        <v>1.6374410006514393E-3</v>
      </c>
      <c r="I13" s="866"/>
      <c r="J13" s="866"/>
      <c r="K13" s="866"/>
      <c r="L13" s="866"/>
      <c r="M13" s="866"/>
      <c r="N13" s="866"/>
      <c r="O13" s="866"/>
      <c r="P13" s="866"/>
      <c r="Q13" s="866"/>
      <c r="R13" s="866"/>
      <c r="S13" s="866"/>
      <c r="T13" s="866"/>
      <c r="U13" s="866"/>
      <c r="V13" s="866"/>
      <c r="W13" s="866"/>
      <c r="X13" s="866"/>
      <c r="Y13" s="866"/>
      <c r="Z13" s="866"/>
      <c r="AA13" s="866"/>
      <c r="AB13" s="866"/>
      <c r="AC13" s="866"/>
      <c r="AD13" s="866"/>
      <c r="AE13" s="866"/>
      <c r="AF13" s="866"/>
      <c r="AG13" s="866"/>
      <c r="AH13" s="866"/>
      <c r="AI13" s="866"/>
      <c r="AJ13" s="866"/>
      <c r="AK13" s="866"/>
      <c r="AL13" s="866"/>
      <c r="AM13" s="866"/>
      <c r="AN13" s="866"/>
      <c r="AO13" s="866"/>
      <c r="AP13" s="866"/>
      <c r="AQ13" s="866"/>
      <c r="AR13" s="866"/>
      <c r="AS13" s="866"/>
      <c r="AT13" s="866"/>
      <c r="AU13" s="866"/>
      <c r="AV13" s="866"/>
      <c r="AW13" s="866"/>
      <c r="AX13" s="866"/>
      <c r="AY13" s="866"/>
      <c r="AZ13" s="866"/>
      <c r="BA13" s="866"/>
      <c r="BB13" s="866"/>
      <c r="BC13" s="866"/>
      <c r="BD13" s="866"/>
      <c r="BE13" s="866"/>
      <c r="BF13" s="866"/>
      <c r="BG13" s="866"/>
      <c r="BH13" s="866"/>
      <c r="BI13" s="866"/>
      <c r="BJ13" s="866"/>
      <c r="BK13" s="866"/>
      <c r="BL13" s="866"/>
      <c r="BM13" s="866"/>
      <c r="BN13" s="866"/>
      <c r="BO13" s="866"/>
      <c r="BP13" s="866"/>
      <c r="BQ13" s="866"/>
      <c r="BR13" s="866"/>
      <c r="BS13" s="866"/>
      <c r="BT13" s="866"/>
      <c r="BU13" s="866"/>
      <c r="BV13" s="866"/>
      <c r="BW13" s="866"/>
      <c r="BX13" s="866"/>
      <c r="BY13" s="866"/>
      <c r="BZ13" s="866"/>
      <c r="CA13" s="866"/>
      <c r="CB13" s="866"/>
      <c r="CC13" s="866"/>
      <c r="CD13" s="866"/>
      <c r="CE13" s="866"/>
      <c r="CF13" s="866"/>
      <c r="CG13" s="866"/>
      <c r="CH13" s="866"/>
      <c r="CI13" s="866"/>
      <c r="CJ13" s="866"/>
      <c r="CK13" s="866"/>
      <c r="CL13" s="866"/>
      <c r="CM13" s="866"/>
      <c r="CN13" s="866"/>
      <c r="CO13" s="866"/>
      <c r="CP13" s="866"/>
      <c r="CQ13" s="866"/>
      <c r="CR13" s="866"/>
      <c r="CS13" s="866"/>
      <c r="CT13" s="866"/>
      <c r="CU13" s="866"/>
      <c r="CV13" s="866"/>
      <c r="CW13" s="866"/>
      <c r="CX13" s="866"/>
      <c r="CY13" s="866"/>
      <c r="CZ13" s="866"/>
      <c r="DA13" s="866"/>
      <c r="DB13" s="866"/>
      <c r="DC13" s="866"/>
      <c r="DD13" s="866"/>
      <c r="DE13" s="866"/>
      <c r="DF13" s="866"/>
      <c r="DG13" s="866"/>
      <c r="DH13" s="866"/>
      <c r="DI13" s="866"/>
      <c r="DJ13" s="866"/>
      <c r="DK13" s="866"/>
      <c r="DL13" s="866"/>
      <c r="DM13" s="866"/>
      <c r="DN13" s="866"/>
      <c r="DO13" s="866"/>
      <c r="DP13" s="866"/>
      <c r="DQ13" s="866"/>
      <c r="DR13" s="866"/>
      <c r="DS13" s="866"/>
      <c r="DT13" s="866"/>
      <c r="DU13" s="866"/>
      <c r="DV13" s="866"/>
      <c r="DW13" s="866"/>
      <c r="DX13" s="866"/>
      <c r="DY13" s="866"/>
      <c r="DZ13" s="866"/>
      <c r="EA13" s="866"/>
      <c r="EB13" s="866"/>
      <c r="EC13" s="866"/>
      <c r="ED13" s="866"/>
      <c r="EE13" s="866"/>
      <c r="EF13" s="866"/>
      <c r="EG13" s="866"/>
      <c r="EH13" s="866"/>
      <c r="EI13" s="866"/>
      <c r="EJ13" s="866"/>
      <c r="EK13" s="866"/>
      <c r="EL13" s="866"/>
      <c r="EM13" s="866"/>
      <c r="EN13" s="866"/>
      <c r="EO13" s="866"/>
      <c r="EP13" s="866"/>
      <c r="EQ13" s="866"/>
      <c r="ER13" s="866"/>
      <c r="ES13" s="866"/>
      <c r="ET13" s="866"/>
      <c r="EU13" s="866"/>
      <c r="EV13" s="866"/>
      <c r="EW13" s="866"/>
      <c r="EX13" s="866"/>
      <c r="EY13" s="866"/>
      <c r="EZ13" s="866"/>
      <c r="FA13" s="866"/>
      <c r="FB13" s="866"/>
      <c r="FC13" s="866"/>
      <c r="FD13" s="866"/>
      <c r="FE13" s="866"/>
      <c r="FF13" s="866"/>
      <c r="FG13" s="866"/>
      <c r="FH13" s="866"/>
      <c r="FI13" s="866"/>
      <c r="FJ13" s="866"/>
      <c r="FK13" s="866"/>
      <c r="FL13" s="866"/>
      <c r="FM13" s="866"/>
      <c r="FN13" s="866"/>
      <c r="FO13" s="866"/>
      <c r="FP13" s="866"/>
      <c r="FQ13" s="866"/>
      <c r="FR13" s="866"/>
      <c r="FS13" s="866"/>
      <c r="FT13" s="866"/>
      <c r="FU13" s="866"/>
      <c r="FV13" s="866"/>
      <c r="FW13" s="866"/>
      <c r="FX13" s="866"/>
      <c r="FY13" s="866"/>
      <c r="FZ13" s="866"/>
      <c r="GA13" s="866"/>
      <c r="GB13" s="866"/>
      <c r="GC13" s="866"/>
      <c r="GD13" s="866"/>
      <c r="GE13" s="866"/>
      <c r="GF13" s="866"/>
      <c r="GG13" s="866"/>
      <c r="GH13" s="866"/>
      <c r="GI13" s="866"/>
      <c r="GJ13" s="866"/>
      <c r="GK13" s="866"/>
      <c r="GL13" s="866"/>
      <c r="GM13" s="866"/>
      <c r="GN13" s="866"/>
      <c r="GO13" s="866"/>
      <c r="GP13" s="866"/>
      <c r="GQ13" s="866"/>
      <c r="GR13" s="866"/>
      <c r="GS13" s="866"/>
      <c r="GT13" s="866"/>
      <c r="GU13" s="866"/>
      <c r="GV13" s="866"/>
      <c r="GW13" s="866"/>
      <c r="GX13" s="866"/>
      <c r="GY13" s="866"/>
      <c r="GZ13" s="866"/>
      <c r="HA13" s="866"/>
      <c r="HB13" s="866"/>
      <c r="HC13" s="866"/>
      <c r="HD13" s="866"/>
      <c r="HE13" s="866"/>
      <c r="HF13" s="866"/>
      <c r="HG13" s="866"/>
      <c r="HH13" s="866"/>
      <c r="HI13" s="866"/>
      <c r="HJ13" s="866"/>
      <c r="HK13" s="866"/>
      <c r="HL13" s="866"/>
      <c r="HM13" s="866"/>
      <c r="HN13" s="866"/>
      <c r="HO13" s="866"/>
      <c r="HP13" s="866"/>
      <c r="HQ13" s="866"/>
      <c r="HR13" s="866"/>
      <c r="HS13" s="866"/>
      <c r="HT13" s="866"/>
      <c r="HU13" s="866"/>
      <c r="HV13" s="866"/>
      <c r="HW13" s="866"/>
      <c r="HX13" s="866"/>
      <c r="HY13" s="866"/>
      <c r="HZ13" s="866"/>
      <c r="IA13" s="866"/>
      <c r="IB13" s="866"/>
      <c r="IC13" s="866"/>
      <c r="ID13" s="866"/>
      <c r="IE13" s="866"/>
      <c r="IF13" s="866"/>
      <c r="IG13" s="866"/>
      <c r="IH13" s="866"/>
      <c r="II13" s="866"/>
      <c r="IJ13" s="866"/>
      <c r="IK13" s="866"/>
      <c r="IL13" s="866"/>
      <c r="IM13" s="866"/>
    </row>
    <row r="14" spans="1:247" ht="27">
      <c r="A14" s="877" t="s">
        <v>1047</v>
      </c>
      <c r="B14" s="878" t="s">
        <v>1048</v>
      </c>
      <c r="C14" s="892">
        <f t="shared" si="0"/>
        <v>0</v>
      </c>
      <c r="D14" s="880">
        <v>0</v>
      </c>
      <c r="E14" s="880">
        <v>0</v>
      </c>
      <c r="F14" s="893">
        <v>0</v>
      </c>
      <c r="G14" s="879">
        <v>359752</v>
      </c>
      <c r="H14" s="872">
        <f t="shared" si="1"/>
        <v>0</v>
      </c>
      <c r="I14" s="866"/>
      <c r="J14" s="866"/>
      <c r="K14" s="866"/>
      <c r="L14" s="866"/>
      <c r="M14" s="866"/>
      <c r="N14" s="866"/>
      <c r="O14" s="866"/>
      <c r="P14" s="866"/>
      <c r="Q14" s="866"/>
      <c r="R14" s="866"/>
      <c r="S14" s="866"/>
      <c r="T14" s="866"/>
      <c r="U14" s="866"/>
      <c r="V14" s="866"/>
      <c r="W14" s="866"/>
      <c r="X14" s="866"/>
      <c r="Y14" s="866"/>
      <c r="Z14" s="866"/>
      <c r="AA14" s="866"/>
      <c r="AB14" s="866"/>
      <c r="AC14" s="866"/>
      <c r="AD14" s="866"/>
      <c r="AE14" s="866"/>
      <c r="AF14" s="866"/>
      <c r="AG14" s="866"/>
      <c r="AH14" s="866"/>
      <c r="AI14" s="866"/>
      <c r="AJ14" s="866"/>
      <c r="AK14" s="866"/>
      <c r="AL14" s="866"/>
      <c r="AM14" s="866"/>
      <c r="AN14" s="866"/>
      <c r="AO14" s="866"/>
      <c r="AP14" s="866"/>
      <c r="AQ14" s="866"/>
      <c r="AR14" s="866"/>
      <c r="AS14" s="866"/>
      <c r="AT14" s="866"/>
      <c r="AU14" s="866"/>
      <c r="AV14" s="866"/>
      <c r="AW14" s="866"/>
      <c r="AX14" s="866"/>
      <c r="AY14" s="866"/>
      <c r="AZ14" s="866"/>
      <c r="BA14" s="866"/>
      <c r="BB14" s="866"/>
      <c r="BC14" s="866"/>
      <c r="BD14" s="866"/>
      <c r="BE14" s="866"/>
      <c r="BF14" s="866"/>
      <c r="BG14" s="866"/>
      <c r="BH14" s="866"/>
      <c r="BI14" s="866"/>
      <c r="BJ14" s="866"/>
      <c r="BK14" s="866"/>
      <c r="BL14" s="866"/>
      <c r="BM14" s="866"/>
      <c r="BN14" s="866"/>
      <c r="BO14" s="866"/>
      <c r="BP14" s="866"/>
      <c r="BQ14" s="866"/>
      <c r="BR14" s="866"/>
      <c r="BS14" s="866"/>
      <c r="BT14" s="866"/>
      <c r="BU14" s="866"/>
      <c r="BV14" s="866"/>
      <c r="BW14" s="866"/>
      <c r="BX14" s="866"/>
      <c r="BY14" s="866"/>
      <c r="BZ14" s="866"/>
      <c r="CA14" s="866"/>
      <c r="CB14" s="866"/>
      <c r="CC14" s="866"/>
      <c r="CD14" s="866"/>
      <c r="CE14" s="866"/>
      <c r="CF14" s="866"/>
      <c r="CG14" s="866"/>
      <c r="CH14" s="866"/>
      <c r="CI14" s="866"/>
      <c r="CJ14" s="866"/>
      <c r="CK14" s="866"/>
      <c r="CL14" s="866"/>
      <c r="CM14" s="866"/>
      <c r="CN14" s="866"/>
      <c r="CO14" s="866"/>
      <c r="CP14" s="866"/>
      <c r="CQ14" s="866"/>
      <c r="CR14" s="866"/>
      <c r="CS14" s="866"/>
      <c r="CT14" s="866"/>
      <c r="CU14" s="866"/>
      <c r="CV14" s="866"/>
      <c r="CW14" s="866"/>
      <c r="CX14" s="866"/>
      <c r="CY14" s="866"/>
      <c r="CZ14" s="866"/>
      <c r="DA14" s="866"/>
      <c r="DB14" s="866"/>
      <c r="DC14" s="866"/>
      <c r="DD14" s="866"/>
      <c r="DE14" s="866"/>
      <c r="DF14" s="866"/>
      <c r="DG14" s="866"/>
      <c r="DH14" s="866"/>
      <c r="DI14" s="866"/>
      <c r="DJ14" s="866"/>
      <c r="DK14" s="866"/>
      <c r="DL14" s="866"/>
      <c r="DM14" s="866"/>
      <c r="DN14" s="866"/>
      <c r="DO14" s="866"/>
      <c r="DP14" s="866"/>
      <c r="DQ14" s="866"/>
      <c r="DR14" s="866"/>
      <c r="DS14" s="866"/>
      <c r="DT14" s="866"/>
      <c r="DU14" s="866"/>
      <c r="DV14" s="866"/>
      <c r="DW14" s="866"/>
      <c r="DX14" s="866"/>
      <c r="DY14" s="866"/>
      <c r="DZ14" s="866"/>
      <c r="EA14" s="866"/>
      <c r="EB14" s="866"/>
      <c r="EC14" s="866"/>
      <c r="ED14" s="866"/>
      <c r="EE14" s="866"/>
      <c r="EF14" s="866"/>
      <c r="EG14" s="866"/>
      <c r="EH14" s="866"/>
      <c r="EI14" s="866"/>
      <c r="EJ14" s="866"/>
      <c r="EK14" s="866"/>
      <c r="EL14" s="866"/>
      <c r="EM14" s="866"/>
      <c r="EN14" s="866"/>
      <c r="EO14" s="866"/>
      <c r="EP14" s="866"/>
      <c r="EQ14" s="866"/>
      <c r="ER14" s="866"/>
      <c r="ES14" s="866"/>
      <c r="ET14" s="866"/>
      <c r="EU14" s="866"/>
      <c r="EV14" s="866"/>
      <c r="EW14" s="866"/>
      <c r="EX14" s="866"/>
      <c r="EY14" s="866"/>
      <c r="EZ14" s="866"/>
      <c r="FA14" s="866"/>
      <c r="FB14" s="866"/>
      <c r="FC14" s="866"/>
      <c r="FD14" s="866"/>
      <c r="FE14" s="866"/>
      <c r="FF14" s="866"/>
      <c r="FG14" s="866"/>
      <c r="FH14" s="866"/>
      <c r="FI14" s="866"/>
      <c r="FJ14" s="866"/>
      <c r="FK14" s="866"/>
      <c r="FL14" s="866"/>
      <c r="FM14" s="866"/>
      <c r="FN14" s="866"/>
      <c r="FO14" s="866"/>
      <c r="FP14" s="866"/>
      <c r="FQ14" s="866"/>
      <c r="FR14" s="866"/>
      <c r="FS14" s="866"/>
      <c r="FT14" s="866"/>
      <c r="FU14" s="866"/>
      <c r="FV14" s="866"/>
      <c r="FW14" s="866"/>
      <c r="FX14" s="866"/>
      <c r="FY14" s="866"/>
      <c r="FZ14" s="866"/>
      <c r="GA14" s="866"/>
      <c r="GB14" s="866"/>
      <c r="GC14" s="866"/>
      <c r="GD14" s="866"/>
      <c r="GE14" s="866"/>
      <c r="GF14" s="866"/>
      <c r="GG14" s="866"/>
      <c r="GH14" s="866"/>
      <c r="GI14" s="866"/>
      <c r="GJ14" s="866"/>
      <c r="GK14" s="866"/>
      <c r="GL14" s="866"/>
      <c r="GM14" s="866"/>
      <c r="GN14" s="866"/>
      <c r="GO14" s="866"/>
      <c r="GP14" s="866"/>
      <c r="GQ14" s="866"/>
      <c r="GR14" s="866"/>
      <c r="GS14" s="866"/>
      <c r="GT14" s="866"/>
      <c r="GU14" s="866"/>
      <c r="GV14" s="866"/>
      <c r="GW14" s="866"/>
      <c r="GX14" s="866"/>
      <c r="GY14" s="866"/>
      <c r="GZ14" s="866"/>
      <c r="HA14" s="866"/>
      <c r="HB14" s="866"/>
      <c r="HC14" s="866"/>
      <c r="HD14" s="866"/>
      <c r="HE14" s="866"/>
      <c r="HF14" s="866"/>
      <c r="HG14" s="866"/>
      <c r="HH14" s="866"/>
      <c r="HI14" s="866"/>
      <c r="HJ14" s="866"/>
      <c r="HK14" s="866"/>
      <c r="HL14" s="866"/>
      <c r="HM14" s="866"/>
      <c r="HN14" s="866"/>
      <c r="HO14" s="866"/>
      <c r="HP14" s="866"/>
      <c r="HQ14" s="866"/>
      <c r="HR14" s="866"/>
      <c r="HS14" s="866"/>
      <c r="HT14" s="866"/>
      <c r="HU14" s="866"/>
      <c r="HV14" s="866"/>
      <c r="HW14" s="866"/>
      <c r="HX14" s="866"/>
      <c r="HY14" s="866"/>
      <c r="HZ14" s="866"/>
      <c r="IA14" s="866"/>
      <c r="IB14" s="866"/>
      <c r="IC14" s="866"/>
      <c r="ID14" s="866"/>
      <c r="IE14" s="866"/>
      <c r="IF14" s="866"/>
      <c r="IG14" s="866"/>
      <c r="IH14" s="866"/>
      <c r="II14" s="866"/>
      <c r="IJ14" s="866"/>
      <c r="IK14" s="866"/>
      <c r="IL14" s="866"/>
      <c r="IM14" s="866"/>
    </row>
    <row r="15" spans="1:247" ht="24" customHeight="1">
      <c r="A15" s="2086" t="s">
        <v>759</v>
      </c>
      <c r="B15" s="2087"/>
      <c r="C15" s="894">
        <f>SUM(D15:F15)</f>
        <v>213191129</v>
      </c>
      <c r="D15" s="883">
        <f>SUM(D6:D14)</f>
        <v>97415490</v>
      </c>
      <c r="E15" s="883">
        <f>SUM(E6:E14)</f>
        <v>42319010</v>
      </c>
      <c r="F15" s="895">
        <f>SUM(F6:F14)</f>
        <v>73456629</v>
      </c>
      <c r="G15" s="882">
        <f>SUM(G6:G14)</f>
        <v>402884745</v>
      </c>
      <c r="H15" s="884">
        <f>C15/G15*100</f>
        <v>52.916158193083241</v>
      </c>
    </row>
  </sheetData>
  <mergeCells count="10">
    <mergeCell ref="A15:B15"/>
    <mergeCell ref="A1:H1"/>
    <mergeCell ref="A2:H2"/>
    <mergeCell ref="A3:A5"/>
    <mergeCell ref="B3:B5"/>
    <mergeCell ref="C3:C4"/>
    <mergeCell ref="D3:F3"/>
    <mergeCell ref="G3:G4"/>
    <mergeCell ref="H3:H4"/>
    <mergeCell ref="C5:H5"/>
  </mergeCells>
  <pageMargins left="0.7" right="0.7" top="0.75" bottom="0.75" header="0.3" footer="0.3"/>
  <pageSetup paperSize="9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92D050"/>
  </sheetPr>
  <dimension ref="A1:I26"/>
  <sheetViews>
    <sheetView showGridLines="0" workbookViewId="0">
      <selection activeCell="O3" sqref="O3"/>
    </sheetView>
  </sheetViews>
  <sheetFormatPr defaultColWidth="9.140625" defaultRowHeight="12.75"/>
  <cols>
    <col min="1" max="1" width="5.85546875" style="6" customWidth="1"/>
    <col min="2" max="2" width="16" style="6" customWidth="1"/>
    <col min="3" max="4" width="12.42578125" style="6" bestFit="1" customWidth="1"/>
    <col min="5" max="5" width="10.5703125" style="6" bestFit="1" customWidth="1"/>
    <col min="6" max="6" width="12.42578125" style="6" bestFit="1" customWidth="1"/>
    <col min="7" max="7" width="7" style="6" bestFit="1" customWidth="1"/>
    <col min="8" max="8" width="8.28515625" style="6" customWidth="1"/>
    <col min="9" max="9" width="11.7109375" style="6" customWidth="1"/>
    <col min="10" max="16384" width="9.140625" style="6"/>
  </cols>
  <sheetData>
    <row r="1" spans="1:9" ht="35.25" customHeight="1">
      <c r="A1" s="1847" t="s">
        <v>1156</v>
      </c>
      <c r="B1" s="1797"/>
      <c r="C1" s="1797"/>
      <c r="D1" s="1797"/>
      <c r="E1" s="1797"/>
      <c r="F1" s="1797"/>
      <c r="G1" s="1797"/>
      <c r="H1" s="1797"/>
      <c r="I1" s="1797"/>
    </row>
    <row r="2" spans="1:9" ht="12" customHeight="1"/>
    <row r="3" spans="1:9" ht="13.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.75" customHeight="1">
      <c r="A4" s="1799"/>
      <c r="B4" s="1802"/>
      <c r="C4" s="578">
        <v>2020</v>
      </c>
      <c r="D4" s="574">
        <v>2021</v>
      </c>
      <c r="E4" s="326" t="s">
        <v>24</v>
      </c>
      <c r="F4" s="330" t="s">
        <v>25</v>
      </c>
      <c r="G4" s="1856"/>
      <c r="H4" s="326" t="s">
        <v>931</v>
      </c>
      <c r="I4" s="1849"/>
    </row>
    <row r="5" spans="1:9" ht="13.5">
      <c r="A5" s="1872"/>
      <c r="B5" s="1873"/>
      <c r="C5" s="2107" t="s">
        <v>885</v>
      </c>
      <c r="D5" s="2108"/>
      <c r="E5" s="2108"/>
      <c r="F5" s="2109"/>
      <c r="G5" s="2110" t="s">
        <v>886</v>
      </c>
      <c r="H5" s="2111"/>
      <c r="I5" s="342" t="s">
        <v>885</v>
      </c>
    </row>
    <row r="6" spans="1:9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s="8" customFormat="1" ht="19.899999999999999" customHeight="1">
      <c r="A7" s="231"/>
      <c r="B7" s="76" t="s">
        <v>933</v>
      </c>
      <c r="C7" s="567">
        <v>41265618884.440002</v>
      </c>
      <c r="D7" s="159">
        <v>40467411835.709999</v>
      </c>
      <c r="E7" s="158">
        <v>14550275.699999999</v>
      </c>
      <c r="F7" s="332">
        <v>40452861560.010002</v>
      </c>
      <c r="G7" s="328">
        <v>100</v>
      </c>
      <c r="H7" s="150">
        <v>98.1</v>
      </c>
      <c r="I7" s="232">
        <v>1571.3</v>
      </c>
    </row>
    <row r="8" spans="1:9" s="8" customFormat="1" ht="19.899999999999999" customHeight="1">
      <c r="A8" s="233" t="s">
        <v>6</v>
      </c>
      <c r="B8" s="246" t="s">
        <v>26</v>
      </c>
      <c r="C8" s="568">
        <v>2800834221.25</v>
      </c>
      <c r="D8" s="160">
        <v>2751099424.4200001</v>
      </c>
      <c r="E8" s="155">
        <v>665215.21</v>
      </c>
      <c r="F8" s="334">
        <v>2750434209.21</v>
      </c>
      <c r="G8" s="64">
        <v>6.8</v>
      </c>
      <c r="H8" s="157">
        <v>98.2</v>
      </c>
      <c r="I8" s="234">
        <v>1401.7</v>
      </c>
    </row>
    <row r="9" spans="1:9" s="8" customFormat="1" ht="19.899999999999999" customHeight="1">
      <c r="A9" s="233" t="s">
        <v>7</v>
      </c>
      <c r="B9" s="246" t="s">
        <v>42</v>
      </c>
      <c r="C9" s="568">
        <v>2261552477.3000002</v>
      </c>
      <c r="D9" s="160">
        <v>2237050468.1799998</v>
      </c>
      <c r="E9" s="155">
        <v>23099.69</v>
      </c>
      <c r="F9" s="334">
        <v>2237027368.4899998</v>
      </c>
      <c r="G9" s="64">
        <v>5.5</v>
      </c>
      <c r="H9" s="157">
        <v>98.9</v>
      </c>
      <c r="I9" s="234">
        <v>1698.4</v>
      </c>
    </row>
    <row r="10" spans="1:9" s="8" customFormat="1" ht="19.899999999999999" customHeight="1">
      <c r="A10" s="233" t="s">
        <v>8</v>
      </c>
      <c r="B10" s="246" t="s">
        <v>27</v>
      </c>
      <c r="C10" s="568">
        <v>2490195269.5500002</v>
      </c>
      <c r="D10" s="160">
        <v>2419664350.3099999</v>
      </c>
      <c r="E10" s="155">
        <v>111313.92</v>
      </c>
      <c r="F10" s="334">
        <v>2419553036.3899999</v>
      </c>
      <c r="G10" s="64">
        <v>6</v>
      </c>
      <c r="H10" s="157">
        <v>97.2</v>
      </c>
      <c r="I10" s="234">
        <v>1535.5</v>
      </c>
    </row>
    <row r="11" spans="1:9" s="8" customFormat="1" ht="19.899999999999999" customHeight="1">
      <c r="A11" s="233" t="s">
        <v>9</v>
      </c>
      <c r="B11" s="246" t="s">
        <v>28</v>
      </c>
      <c r="C11" s="568">
        <v>1175404439.79</v>
      </c>
      <c r="D11" s="160">
        <v>1150701599.95</v>
      </c>
      <c r="E11" s="155">
        <v>321650</v>
      </c>
      <c r="F11" s="334">
        <v>1150379949.95</v>
      </c>
      <c r="G11" s="64">
        <v>2.8</v>
      </c>
      <c r="H11" s="157">
        <v>97.9</v>
      </c>
      <c r="I11" s="234">
        <v>1547.3</v>
      </c>
    </row>
    <row r="12" spans="1:9" s="8" customFormat="1" ht="19.899999999999999" customHeight="1">
      <c r="A12" s="233" t="s">
        <v>1</v>
      </c>
      <c r="B12" s="246" t="s">
        <v>29</v>
      </c>
      <c r="C12" s="568">
        <v>2491766387.8200002</v>
      </c>
      <c r="D12" s="160">
        <v>2429432154.8099999</v>
      </c>
      <c r="E12" s="155">
        <v>1425966.92</v>
      </c>
      <c r="F12" s="334">
        <v>2428006187.8899999</v>
      </c>
      <c r="G12" s="64">
        <v>6</v>
      </c>
      <c r="H12" s="157">
        <v>97.5</v>
      </c>
      <c r="I12" s="234">
        <v>1476.1</v>
      </c>
    </row>
    <row r="13" spans="1:9" s="8" customFormat="1" ht="19.899999999999999" customHeight="1">
      <c r="A13" s="233" t="s">
        <v>2</v>
      </c>
      <c r="B13" s="246" t="s">
        <v>30</v>
      </c>
      <c r="C13" s="568">
        <v>3950841958.48</v>
      </c>
      <c r="D13" s="160">
        <v>3838633172.3699999</v>
      </c>
      <c r="E13" s="155">
        <v>213085.91</v>
      </c>
      <c r="F13" s="334">
        <v>3838420086.46</v>
      </c>
      <c r="G13" s="64">
        <v>9.5</v>
      </c>
      <c r="H13" s="157">
        <v>97.2</v>
      </c>
      <c r="I13" s="234">
        <v>1573.6</v>
      </c>
    </row>
    <row r="14" spans="1:9" s="8" customFormat="1" ht="19.899999999999999" customHeight="1">
      <c r="A14" s="233" t="s">
        <v>10</v>
      </c>
      <c r="B14" s="246" t="s">
        <v>31</v>
      </c>
      <c r="C14" s="568">
        <v>5352693038.5100002</v>
      </c>
      <c r="D14" s="160">
        <v>5241201060.8999996</v>
      </c>
      <c r="E14" s="155">
        <v>2254491</v>
      </c>
      <c r="F14" s="334">
        <v>5238946569.8999996</v>
      </c>
      <c r="G14" s="64">
        <v>13</v>
      </c>
      <c r="H14" s="157">
        <v>97.9</v>
      </c>
      <c r="I14" s="234">
        <v>1651.4</v>
      </c>
    </row>
    <row r="15" spans="1:9" s="8" customFormat="1" ht="19.899999999999999" customHeight="1">
      <c r="A15" s="233" t="s">
        <v>11</v>
      </c>
      <c r="B15" s="246" t="s">
        <v>32</v>
      </c>
      <c r="C15" s="568">
        <v>1105810474.51</v>
      </c>
      <c r="D15" s="160">
        <v>1081174719.8800001</v>
      </c>
      <c r="E15" s="155">
        <v>304063.02</v>
      </c>
      <c r="F15" s="334">
        <v>1080870656.8600001</v>
      </c>
      <c r="G15" s="64">
        <v>2.7</v>
      </c>
      <c r="H15" s="157">
        <v>97.8</v>
      </c>
      <c r="I15" s="234">
        <v>1273.5999999999999</v>
      </c>
    </row>
    <row r="16" spans="1:9" s="8" customFormat="1" ht="19.899999999999999" customHeight="1">
      <c r="A16" s="233" t="s">
        <v>12</v>
      </c>
      <c r="B16" s="246" t="s">
        <v>33</v>
      </c>
      <c r="C16" s="568">
        <v>2904951623.79</v>
      </c>
      <c r="D16" s="160">
        <v>2850296170.5599999</v>
      </c>
      <c r="E16" s="155">
        <v>1534805.94</v>
      </c>
      <c r="F16" s="334">
        <v>2848761364.6199999</v>
      </c>
      <c r="G16" s="64">
        <v>7</v>
      </c>
      <c r="H16" s="157">
        <v>98.1</v>
      </c>
      <c r="I16" s="234">
        <v>1608.1</v>
      </c>
    </row>
    <row r="17" spans="1:9" s="8" customFormat="1" ht="19.899999999999999" customHeight="1">
      <c r="A17" s="233" t="s">
        <v>13</v>
      </c>
      <c r="B17" s="246" t="s">
        <v>34</v>
      </c>
      <c r="C17" s="568">
        <v>1149593387.3399999</v>
      </c>
      <c r="D17" s="160">
        <v>1130666256.8900001</v>
      </c>
      <c r="E17" s="155">
        <v>0</v>
      </c>
      <c r="F17" s="334">
        <v>1130666256.8900001</v>
      </c>
      <c r="G17" s="64">
        <v>2.8</v>
      </c>
      <c r="H17" s="157">
        <v>98.4</v>
      </c>
      <c r="I17" s="234">
        <v>1519.5</v>
      </c>
    </row>
    <row r="18" spans="1:9" s="8" customFormat="1" ht="19.899999999999999" customHeight="1">
      <c r="A18" s="233" t="s">
        <v>14</v>
      </c>
      <c r="B18" s="246" t="s">
        <v>35</v>
      </c>
      <c r="C18" s="568">
        <v>2838605876.0799999</v>
      </c>
      <c r="D18" s="160">
        <v>2811196687.9400001</v>
      </c>
      <c r="E18" s="155">
        <v>1577283.2</v>
      </c>
      <c r="F18" s="334">
        <v>2809619404.7400002</v>
      </c>
      <c r="G18" s="64">
        <v>6.9</v>
      </c>
      <c r="H18" s="157">
        <v>99</v>
      </c>
      <c r="I18" s="234">
        <v>1866.9</v>
      </c>
    </row>
    <row r="19" spans="1:9" s="8" customFormat="1" ht="19.899999999999999" customHeight="1">
      <c r="A19" s="233" t="s">
        <v>15</v>
      </c>
      <c r="B19" s="246" t="s">
        <v>36</v>
      </c>
      <c r="C19" s="568">
        <v>2865124329.4899998</v>
      </c>
      <c r="D19" s="160">
        <v>2816457797.96</v>
      </c>
      <c r="E19" s="155">
        <v>0</v>
      </c>
      <c r="F19" s="334">
        <v>2816457797.96</v>
      </c>
      <c r="G19" s="64">
        <v>7</v>
      </c>
      <c r="H19" s="157">
        <v>98.3</v>
      </c>
      <c r="I19" s="234">
        <v>1412.3</v>
      </c>
    </row>
    <row r="20" spans="1:9" s="8" customFormat="1" ht="19.899999999999999" customHeight="1">
      <c r="A20" s="233" t="s">
        <v>16</v>
      </c>
      <c r="B20" s="246" t="s">
        <v>37</v>
      </c>
      <c r="C20" s="568">
        <v>1571007623.4300001</v>
      </c>
      <c r="D20" s="160">
        <v>1548862158.47</v>
      </c>
      <c r="E20" s="155">
        <v>2394597.29</v>
      </c>
      <c r="F20" s="334">
        <v>1546467561.1800001</v>
      </c>
      <c r="G20" s="64">
        <v>3.8</v>
      </c>
      <c r="H20" s="157">
        <v>98.6</v>
      </c>
      <c r="I20" s="234">
        <v>1502</v>
      </c>
    </row>
    <row r="21" spans="1:9" s="8" customFormat="1" ht="19.899999999999999" customHeight="1">
      <c r="A21" s="233" t="s">
        <v>17</v>
      </c>
      <c r="B21" s="246" t="s">
        <v>43</v>
      </c>
      <c r="C21" s="568">
        <v>1896018068.0699999</v>
      </c>
      <c r="D21" s="160">
        <v>1851792340.3099999</v>
      </c>
      <c r="E21" s="155">
        <v>1243593.75</v>
      </c>
      <c r="F21" s="334">
        <v>1850548746.5599999</v>
      </c>
      <c r="G21" s="64">
        <v>4.5999999999999996</v>
      </c>
      <c r="H21" s="157">
        <v>97.7</v>
      </c>
      <c r="I21" s="234">
        <v>1643.6</v>
      </c>
    </row>
    <row r="22" spans="1:9" s="8" customFormat="1" ht="19.899999999999999" customHeight="1">
      <c r="A22" s="233" t="s">
        <v>18</v>
      </c>
      <c r="B22" s="246" t="s">
        <v>38</v>
      </c>
      <c r="C22" s="568">
        <v>4693976364.4899998</v>
      </c>
      <c r="D22" s="160">
        <v>4639478390.2299995</v>
      </c>
      <c r="E22" s="155">
        <v>2481109.85</v>
      </c>
      <c r="F22" s="334">
        <v>4636997280.3799992</v>
      </c>
      <c r="G22" s="64">
        <v>11.5</v>
      </c>
      <c r="H22" s="157">
        <v>98.8</v>
      </c>
      <c r="I22" s="234">
        <v>1699.5</v>
      </c>
    </row>
    <row r="23" spans="1:9" s="8" customFormat="1" ht="19.899999999999999" customHeight="1">
      <c r="A23" s="235" t="s">
        <v>19</v>
      </c>
      <c r="B23" s="247" t="s">
        <v>39</v>
      </c>
      <c r="C23" s="569">
        <v>1717243344.54</v>
      </c>
      <c r="D23" s="151">
        <v>1669705082.53</v>
      </c>
      <c r="E23" s="149">
        <v>0</v>
      </c>
      <c r="F23" s="336">
        <v>1669705082.53</v>
      </c>
      <c r="G23" s="329">
        <v>4.0999999999999996</v>
      </c>
      <c r="H23" s="130">
        <v>97.2</v>
      </c>
      <c r="I23" s="238">
        <v>1461.3</v>
      </c>
    </row>
    <row r="25" spans="1:9" s="11" customFormat="1" ht="13.5">
      <c r="A25" s="61" t="s">
        <v>934</v>
      </c>
      <c r="B25" s="62" t="s">
        <v>1159</v>
      </c>
      <c r="C25" s="61"/>
      <c r="D25" s="61"/>
      <c r="E25" s="61"/>
      <c r="F25" s="61"/>
      <c r="G25" s="61"/>
      <c r="H25" s="61"/>
      <c r="I25" s="61"/>
    </row>
    <row r="26" spans="1:9" s="11" customFormat="1" ht="13.5">
      <c r="A26" s="61"/>
      <c r="B26" s="62" t="s">
        <v>936</v>
      </c>
      <c r="C26" s="61"/>
      <c r="D26" s="61"/>
      <c r="E26" s="61"/>
      <c r="F26" s="61"/>
      <c r="G26" s="61"/>
      <c r="H26" s="61"/>
      <c r="I26" s="61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honeticPr fontId="0" type="noConversion"/>
  <printOptions horizontalCentered="1"/>
  <pageMargins left="0.59055118110236227" right="0.51181102362204722" top="0.92" bottom="0.64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showGridLines="0" workbookViewId="0">
      <selection activeCell="O3" sqref="O3"/>
    </sheetView>
  </sheetViews>
  <sheetFormatPr defaultColWidth="9.140625" defaultRowHeight="12.75"/>
  <cols>
    <col min="1" max="1" width="5.5703125" style="25" customWidth="1"/>
    <col min="2" max="2" width="16.140625" style="25" customWidth="1"/>
    <col min="3" max="4" width="11.7109375" style="25" bestFit="1" customWidth="1"/>
    <col min="5" max="5" width="10.5703125" style="25" bestFit="1" customWidth="1"/>
    <col min="6" max="6" width="11.7109375" style="25" bestFit="1" customWidth="1"/>
    <col min="7" max="7" width="7.140625" style="25" bestFit="1" customWidth="1"/>
    <col min="8" max="8" width="7.42578125" style="25" bestFit="1" customWidth="1"/>
    <col min="9" max="9" width="11.85546875" style="25" customWidth="1"/>
    <col min="10" max="16384" width="9.140625" style="25"/>
  </cols>
  <sheetData>
    <row r="1" spans="1:9" ht="30.75" customHeight="1">
      <c r="A1" s="1797" t="s">
        <v>937</v>
      </c>
      <c r="B1" s="1797"/>
      <c r="C1" s="1797"/>
      <c r="D1" s="1797"/>
      <c r="E1" s="1797"/>
      <c r="F1" s="1797"/>
      <c r="G1" s="1797"/>
      <c r="H1" s="1797"/>
      <c r="I1" s="1797"/>
    </row>
    <row r="2" spans="1:9" ht="18" customHeight="1"/>
    <row r="3" spans="1:9" ht="20.25" customHeight="1">
      <c r="A3" s="1798" t="s">
        <v>41</v>
      </c>
      <c r="B3" s="1801" t="s">
        <v>68</v>
      </c>
      <c r="C3" s="577" t="s">
        <v>71</v>
      </c>
      <c r="D3" s="324" t="s">
        <v>71</v>
      </c>
      <c r="E3" s="1851" t="s">
        <v>21</v>
      </c>
      <c r="F3" s="2116"/>
      <c r="G3" s="1859" t="s">
        <v>22</v>
      </c>
      <c r="H3" s="320" t="s">
        <v>882</v>
      </c>
      <c r="I3" s="1848" t="s">
        <v>23</v>
      </c>
    </row>
    <row r="4" spans="1:9" ht="36" customHeight="1">
      <c r="A4" s="1799"/>
      <c r="B4" s="1802"/>
      <c r="C4" s="578">
        <v>2020</v>
      </c>
      <c r="D4" s="325">
        <v>2021</v>
      </c>
      <c r="E4" s="326" t="s">
        <v>24</v>
      </c>
      <c r="F4" s="327" t="s">
        <v>25</v>
      </c>
      <c r="G4" s="1860"/>
      <c r="H4" s="326" t="s">
        <v>931</v>
      </c>
      <c r="I4" s="1849"/>
    </row>
    <row r="5" spans="1:9" s="26" customFormat="1" ht="15" customHeight="1">
      <c r="A5" s="1872"/>
      <c r="B5" s="1873"/>
      <c r="C5" s="2112" t="s">
        <v>885</v>
      </c>
      <c r="D5" s="2113"/>
      <c r="E5" s="2113"/>
      <c r="F5" s="2114"/>
      <c r="G5" s="2115" t="s">
        <v>886</v>
      </c>
      <c r="H5" s="2111"/>
      <c r="I5" s="342" t="s">
        <v>885</v>
      </c>
    </row>
    <row r="6" spans="1:9" s="27" customFormat="1" ht="13.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323" t="s">
        <v>892</v>
      </c>
      <c r="G6" s="239" t="s">
        <v>893</v>
      </c>
      <c r="H6" s="241" t="s">
        <v>894</v>
      </c>
      <c r="I6" s="242" t="s">
        <v>932</v>
      </c>
    </row>
    <row r="7" spans="1:9" ht="19.899999999999999" customHeight="1">
      <c r="A7" s="231"/>
      <c r="B7" s="76" t="s">
        <v>933</v>
      </c>
      <c r="C7" s="567">
        <v>3489152143.29</v>
      </c>
      <c r="D7" s="159">
        <v>3553063412.6900001</v>
      </c>
      <c r="E7" s="158">
        <v>344580547.00999999</v>
      </c>
      <c r="F7" s="52">
        <v>3208482865.6800003</v>
      </c>
      <c r="G7" s="560">
        <v>100</v>
      </c>
      <c r="H7" s="150">
        <v>101.8</v>
      </c>
      <c r="I7" s="232">
        <v>138</v>
      </c>
    </row>
    <row r="8" spans="1:9" ht="19.899999999999999" customHeight="1">
      <c r="A8" s="233" t="s">
        <v>6</v>
      </c>
      <c r="B8" s="246" t="s">
        <v>26</v>
      </c>
      <c r="C8" s="568">
        <v>257472343.38</v>
      </c>
      <c r="D8" s="160">
        <v>268687653.61000001</v>
      </c>
      <c r="E8" s="155">
        <v>23647749.989999998</v>
      </c>
      <c r="F8" s="50">
        <v>245039903.62</v>
      </c>
      <c r="G8" s="369">
        <v>7.6</v>
      </c>
      <c r="H8" s="157">
        <v>104.4</v>
      </c>
      <c r="I8" s="234">
        <v>136.9</v>
      </c>
    </row>
    <row r="9" spans="1:9" ht="19.899999999999999" customHeight="1">
      <c r="A9" s="233" t="s">
        <v>7</v>
      </c>
      <c r="B9" s="246" t="s">
        <v>42</v>
      </c>
      <c r="C9" s="568">
        <v>237590398.62</v>
      </c>
      <c r="D9" s="160">
        <v>235638713.91999999</v>
      </c>
      <c r="E9" s="155">
        <v>23510252.02</v>
      </c>
      <c r="F9" s="50">
        <v>212128461.89999998</v>
      </c>
      <c r="G9" s="369">
        <v>6.6</v>
      </c>
      <c r="H9" s="157">
        <v>99.2</v>
      </c>
      <c r="I9" s="234">
        <v>178.9</v>
      </c>
    </row>
    <row r="10" spans="1:9" ht="19.899999999999999" customHeight="1">
      <c r="A10" s="233" t="s">
        <v>8</v>
      </c>
      <c r="B10" s="246" t="s">
        <v>27</v>
      </c>
      <c r="C10" s="568">
        <v>214930118.09999999</v>
      </c>
      <c r="D10" s="160">
        <v>223220768.63</v>
      </c>
      <c r="E10" s="155">
        <v>27435347.809999999</v>
      </c>
      <c r="F10" s="50">
        <v>195785420.81999999</v>
      </c>
      <c r="G10" s="369">
        <v>6.3</v>
      </c>
      <c r="H10" s="157">
        <v>103.9</v>
      </c>
      <c r="I10" s="234">
        <v>141.69999999999999</v>
      </c>
    </row>
    <row r="11" spans="1:9" ht="19.899999999999999" customHeight="1">
      <c r="A11" s="233" t="s">
        <v>9</v>
      </c>
      <c r="B11" s="246" t="s">
        <v>28</v>
      </c>
      <c r="C11" s="568">
        <v>122090304.88</v>
      </c>
      <c r="D11" s="160">
        <v>120281531.91</v>
      </c>
      <c r="E11" s="155">
        <v>12865089.699999999</v>
      </c>
      <c r="F11" s="50">
        <v>107416442.20999999</v>
      </c>
      <c r="G11" s="369">
        <v>3.4</v>
      </c>
      <c r="H11" s="157">
        <v>98.5</v>
      </c>
      <c r="I11" s="234">
        <v>161.69999999999999</v>
      </c>
    </row>
    <row r="12" spans="1:9" ht="19.899999999999999" customHeight="1">
      <c r="A12" s="233" t="s">
        <v>1</v>
      </c>
      <c r="B12" s="246" t="s">
        <v>29</v>
      </c>
      <c r="C12" s="568">
        <v>225052332.78999999</v>
      </c>
      <c r="D12" s="160">
        <v>216514268.88999999</v>
      </c>
      <c r="E12" s="155">
        <v>16344640.02</v>
      </c>
      <c r="F12" s="50">
        <v>200169628.86999997</v>
      </c>
      <c r="G12" s="369">
        <v>6.1</v>
      </c>
      <c r="H12" s="157">
        <v>96.2</v>
      </c>
      <c r="I12" s="234">
        <v>131.5</v>
      </c>
    </row>
    <row r="13" spans="1:9" ht="19.899999999999999" customHeight="1">
      <c r="A13" s="233" t="s">
        <v>2</v>
      </c>
      <c r="B13" s="246" t="s">
        <v>30</v>
      </c>
      <c r="C13" s="568">
        <v>302596233.30000001</v>
      </c>
      <c r="D13" s="160">
        <v>347519987.52999997</v>
      </c>
      <c r="E13" s="155">
        <v>47965648.049999997</v>
      </c>
      <c r="F13" s="50">
        <v>299554339.47999996</v>
      </c>
      <c r="G13" s="369">
        <v>9.8000000000000007</v>
      </c>
      <c r="H13" s="157">
        <v>114.8</v>
      </c>
      <c r="I13" s="234">
        <v>142.5</v>
      </c>
    </row>
    <row r="14" spans="1:9" ht="19.899999999999999" customHeight="1">
      <c r="A14" s="233" t="s">
        <v>10</v>
      </c>
      <c r="B14" s="246" t="s">
        <v>31</v>
      </c>
      <c r="C14" s="568">
        <v>391078620.76999998</v>
      </c>
      <c r="D14" s="160">
        <v>390798090.50999999</v>
      </c>
      <c r="E14" s="155">
        <v>36262039.049999997</v>
      </c>
      <c r="F14" s="50">
        <v>354536051.45999998</v>
      </c>
      <c r="G14" s="369">
        <v>11</v>
      </c>
      <c r="H14" s="157">
        <v>99.9</v>
      </c>
      <c r="I14" s="234">
        <v>123.1</v>
      </c>
    </row>
    <row r="15" spans="1:9" ht="19.899999999999999" customHeight="1">
      <c r="A15" s="233" t="s">
        <v>11</v>
      </c>
      <c r="B15" s="246" t="s">
        <v>32</v>
      </c>
      <c r="C15" s="568">
        <v>107188238.03</v>
      </c>
      <c r="D15" s="160">
        <v>111418375.19</v>
      </c>
      <c r="E15" s="155">
        <v>10567606.02</v>
      </c>
      <c r="F15" s="50">
        <v>100850769.17</v>
      </c>
      <c r="G15" s="369">
        <v>3.1</v>
      </c>
      <c r="H15" s="157">
        <v>103.9</v>
      </c>
      <c r="I15" s="234">
        <v>131.19999999999999</v>
      </c>
    </row>
    <row r="16" spans="1:9" ht="19.899999999999999" customHeight="1">
      <c r="A16" s="233" t="s">
        <v>12</v>
      </c>
      <c r="B16" s="246" t="s">
        <v>33</v>
      </c>
      <c r="C16" s="568">
        <v>262104511.19</v>
      </c>
      <c r="D16" s="160">
        <v>246192840.75</v>
      </c>
      <c r="E16" s="155">
        <v>21110147.190000001</v>
      </c>
      <c r="F16" s="50">
        <v>225082693.56</v>
      </c>
      <c r="G16" s="369">
        <v>6.9</v>
      </c>
      <c r="H16" s="157">
        <v>93.9</v>
      </c>
      <c r="I16" s="234">
        <v>138.9</v>
      </c>
    </row>
    <row r="17" spans="1:9" ht="19.899999999999999" customHeight="1">
      <c r="A17" s="233" t="s">
        <v>13</v>
      </c>
      <c r="B17" s="246" t="s">
        <v>34</v>
      </c>
      <c r="C17" s="568">
        <v>123933306.75</v>
      </c>
      <c r="D17" s="160">
        <v>119899185.84999999</v>
      </c>
      <c r="E17" s="155">
        <v>12152157.92</v>
      </c>
      <c r="F17" s="50">
        <v>107747027.92999999</v>
      </c>
      <c r="G17" s="369">
        <v>3.4</v>
      </c>
      <c r="H17" s="157">
        <v>96.7</v>
      </c>
      <c r="I17" s="234">
        <v>161.1</v>
      </c>
    </row>
    <row r="18" spans="1:9" ht="19.899999999999999" customHeight="1">
      <c r="A18" s="233" t="s">
        <v>14</v>
      </c>
      <c r="B18" s="246" t="s">
        <v>35</v>
      </c>
      <c r="C18" s="568">
        <v>211554214.97999999</v>
      </c>
      <c r="D18" s="160">
        <v>217529635.72999999</v>
      </c>
      <c r="E18" s="155">
        <v>20951427.25</v>
      </c>
      <c r="F18" s="50">
        <v>196578208.47999999</v>
      </c>
      <c r="G18" s="369">
        <v>6.1</v>
      </c>
      <c r="H18" s="157">
        <v>102.8</v>
      </c>
      <c r="I18" s="234">
        <v>144.5</v>
      </c>
    </row>
    <row r="19" spans="1:9" ht="19.899999999999999" customHeight="1">
      <c r="A19" s="233" t="s">
        <v>15</v>
      </c>
      <c r="B19" s="246" t="s">
        <v>36</v>
      </c>
      <c r="C19" s="568">
        <v>197383095.61000001</v>
      </c>
      <c r="D19" s="160">
        <v>201020244.00999999</v>
      </c>
      <c r="E19" s="155">
        <v>18215860.48</v>
      </c>
      <c r="F19" s="50">
        <v>182804383.53</v>
      </c>
      <c r="G19" s="369">
        <v>5.6</v>
      </c>
      <c r="H19" s="157">
        <v>101.8</v>
      </c>
      <c r="I19" s="234">
        <v>100.8</v>
      </c>
    </row>
    <row r="20" spans="1:9" ht="19.899999999999999" customHeight="1">
      <c r="A20" s="233" t="s">
        <v>16</v>
      </c>
      <c r="B20" s="246" t="s">
        <v>37</v>
      </c>
      <c r="C20" s="568">
        <v>146998138.03</v>
      </c>
      <c r="D20" s="160">
        <v>166550862.94999999</v>
      </c>
      <c r="E20" s="155">
        <v>23099047.25</v>
      </c>
      <c r="F20" s="50">
        <v>143451815.69999999</v>
      </c>
      <c r="G20" s="369">
        <v>4.7</v>
      </c>
      <c r="H20" s="157">
        <v>113.3</v>
      </c>
      <c r="I20" s="234">
        <v>161.5</v>
      </c>
    </row>
    <row r="21" spans="1:9" ht="19.899999999999999" customHeight="1">
      <c r="A21" s="233" t="s">
        <v>17</v>
      </c>
      <c r="B21" s="246" t="s">
        <v>43</v>
      </c>
      <c r="C21" s="568">
        <v>215382000.87</v>
      </c>
      <c r="D21" s="160">
        <v>204634090.94</v>
      </c>
      <c r="E21" s="155">
        <v>10240919.199999999</v>
      </c>
      <c r="F21" s="50">
        <v>194393171.74000001</v>
      </c>
      <c r="G21" s="369">
        <v>5.8</v>
      </c>
      <c r="H21" s="157">
        <v>95</v>
      </c>
      <c r="I21" s="234">
        <v>181.6</v>
      </c>
    </row>
    <row r="22" spans="1:9" ht="19.899999999999999" customHeight="1">
      <c r="A22" s="233" t="s">
        <v>18</v>
      </c>
      <c r="B22" s="246" t="s">
        <v>38</v>
      </c>
      <c r="C22" s="568">
        <v>288560259.04000002</v>
      </c>
      <c r="D22" s="160">
        <v>300584312.87</v>
      </c>
      <c r="E22" s="155">
        <v>28799096.390000001</v>
      </c>
      <c r="F22" s="50">
        <v>271785216.48000002</v>
      </c>
      <c r="G22" s="369">
        <v>8.5</v>
      </c>
      <c r="H22" s="157">
        <v>104.2</v>
      </c>
      <c r="I22" s="234">
        <v>110.1</v>
      </c>
    </row>
    <row r="23" spans="1:9" ht="19.899999999999999" customHeight="1">
      <c r="A23" s="235" t="s">
        <v>19</v>
      </c>
      <c r="B23" s="247" t="s">
        <v>39</v>
      </c>
      <c r="C23" s="569">
        <v>185238026.94999999</v>
      </c>
      <c r="D23" s="151">
        <v>182572849.40000001</v>
      </c>
      <c r="E23" s="149">
        <v>11413518.67</v>
      </c>
      <c r="F23" s="321">
        <v>171159330.73000002</v>
      </c>
      <c r="G23" s="371">
        <v>5.0999999999999996</v>
      </c>
      <c r="H23" s="130">
        <v>98.6</v>
      </c>
      <c r="I23" s="238">
        <v>159.80000000000001</v>
      </c>
    </row>
    <row r="24" spans="1:9" ht="12" customHeight="1">
      <c r="G24" s="339" t="s">
        <v>3</v>
      </c>
    </row>
    <row r="25" spans="1:9" s="1" customFormat="1" ht="13.5">
      <c r="A25" s="66" t="s">
        <v>934</v>
      </c>
      <c r="B25" s="67" t="s">
        <v>1159</v>
      </c>
      <c r="C25" s="66"/>
      <c r="D25" s="66"/>
      <c r="E25" s="66"/>
      <c r="F25" s="66"/>
      <c r="G25" s="66"/>
      <c r="H25" s="66"/>
      <c r="I25" s="66"/>
    </row>
    <row r="26" spans="1:9" s="1" customFormat="1" ht="13.5">
      <c r="A26" s="66"/>
      <c r="B26" s="67" t="s">
        <v>936</v>
      </c>
      <c r="C26" s="66"/>
      <c r="D26" s="66"/>
      <c r="E26" s="66"/>
      <c r="F26" s="66"/>
      <c r="G26" s="66"/>
      <c r="H26" s="66"/>
      <c r="I26" s="66"/>
    </row>
  </sheetData>
  <mergeCells count="8">
    <mergeCell ref="A1:I1"/>
    <mergeCell ref="I3:I4"/>
    <mergeCell ref="C5:F5"/>
    <mergeCell ref="G5:H5"/>
    <mergeCell ref="A3:A5"/>
    <mergeCell ref="B3:B5"/>
    <mergeCell ref="E3:F3"/>
    <mergeCell ref="G3:G4"/>
  </mergeCells>
  <printOptions horizontalCentered="1"/>
  <pageMargins left="0.55118110236220474" right="0.51181102362204722" top="1.0236220472440944" bottom="0.98425196850393704" header="0.51181102362204722" footer="0.51181102362204722"/>
  <pageSetup paperSize="9" scale="9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92D050"/>
  </sheetPr>
  <dimension ref="A1:I26"/>
  <sheetViews>
    <sheetView showGridLines="0" workbookViewId="0">
      <selection activeCell="O3" sqref="O3"/>
    </sheetView>
  </sheetViews>
  <sheetFormatPr defaultColWidth="9.140625" defaultRowHeight="12.75"/>
  <cols>
    <col min="1" max="1" width="6" style="7" customWidth="1"/>
    <col min="2" max="2" width="16.7109375" style="7" customWidth="1"/>
    <col min="3" max="4" width="9.85546875" style="7" bestFit="1" customWidth="1"/>
    <col min="5" max="5" width="9.140625" style="7"/>
    <col min="6" max="6" width="9.85546875" style="7" bestFit="1" customWidth="1"/>
    <col min="7" max="7" width="7.140625" style="7" bestFit="1" customWidth="1"/>
    <col min="8" max="8" width="7.42578125" style="7" bestFit="1" customWidth="1"/>
    <col min="9" max="9" width="11.5703125" style="7" customWidth="1"/>
    <col min="10" max="16384" width="9.140625" style="7"/>
  </cols>
  <sheetData>
    <row r="1" spans="1:9" ht="39" customHeight="1">
      <c r="A1" s="2120" t="s">
        <v>994</v>
      </c>
      <c r="B1" s="2120"/>
      <c r="C1" s="2120"/>
      <c r="D1" s="2120"/>
      <c r="E1" s="2120"/>
      <c r="F1" s="2120"/>
      <c r="G1" s="2120"/>
      <c r="H1" s="2120"/>
      <c r="I1" s="2120"/>
    </row>
    <row r="3" spans="1:9" ht="15" customHeight="1">
      <c r="A3" s="2121" t="s">
        <v>41</v>
      </c>
      <c r="B3" s="2124" t="s">
        <v>68</v>
      </c>
      <c r="C3" s="577" t="s">
        <v>71</v>
      </c>
      <c r="D3" s="576" t="s">
        <v>71</v>
      </c>
      <c r="E3" s="1851" t="s">
        <v>21</v>
      </c>
      <c r="F3" s="2116"/>
      <c r="G3" s="1859" t="s">
        <v>22</v>
      </c>
      <c r="H3" s="320" t="s">
        <v>882</v>
      </c>
      <c r="I3" s="1848" t="s">
        <v>23</v>
      </c>
    </row>
    <row r="4" spans="1:9" ht="32.25" customHeight="1">
      <c r="A4" s="2122"/>
      <c r="B4" s="2125"/>
      <c r="C4" s="601">
        <v>2020</v>
      </c>
      <c r="D4" s="602">
        <v>2021</v>
      </c>
      <c r="E4" s="603" t="s">
        <v>24</v>
      </c>
      <c r="F4" s="604" t="s">
        <v>25</v>
      </c>
      <c r="G4" s="2127"/>
      <c r="H4" s="603" t="s">
        <v>931</v>
      </c>
      <c r="I4" s="2117"/>
    </row>
    <row r="5" spans="1:9" ht="13.5">
      <c r="A5" s="2123"/>
      <c r="B5" s="2126"/>
      <c r="C5" s="2112" t="s">
        <v>885</v>
      </c>
      <c r="D5" s="2113"/>
      <c r="E5" s="2113"/>
      <c r="F5" s="2113"/>
      <c r="G5" s="2118" t="s">
        <v>886</v>
      </c>
      <c r="H5" s="2119"/>
      <c r="I5" s="605" t="s">
        <v>885</v>
      </c>
    </row>
    <row r="6" spans="1:9" ht="12" customHeight="1">
      <c r="A6" s="303" t="s">
        <v>887</v>
      </c>
      <c r="B6" s="304" t="s">
        <v>888</v>
      </c>
      <c r="C6" s="596" t="s">
        <v>889</v>
      </c>
      <c r="D6" s="307" t="s">
        <v>890</v>
      </c>
      <c r="E6" s="305" t="s">
        <v>891</v>
      </c>
      <c r="F6" s="593" t="s">
        <v>892</v>
      </c>
      <c r="G6" s="303" t="s">
        <v>893</v>
      </c>
      <c r="H6" s="305" t="s">
        <v>894</v>
      </c>
      <c r="I6" s="306" t="s">
        <v>932</v>
      </c>
    </row>
    <row r="7" spans="1:9" s="13" customFormat="1" ht="19.899999999999999" customHeight="1">
      <c r="A7" s="588"/>
      <c r="B7" s="76" t="s">
        <v>933</v>
      </c>
      <c r="C7" s="597">
        <v>28995090.449999999</v>
      </c>
      <c r="D7" s="74">
        <v>45464904.25</v>
      </c>
      <c r="E7" s="72">
        <v>8601800.9499999993</v>
      </c>
      <c r="F7" s="48">
        <v>36863103.299999997</v>
      </c>
      <c r="G7" s="600">
        <v>100</v>
      </c>
      <c r="H7" s="73">
        <v>156.80000000000001</v>
      </c>
      <c r="I7" s="589">
        <v>1.8</v>
      </c>
    </row>
    <row r="8" spans="1:9" s="13" customFormat="1" ht="19.899999999999999" customHeight="1">
      <c r="A8" s="290" t="s">
        <v>6</v>
      </c>
      <c r="B8" s="594" t="s">
        <v>26</v>
      </c>
      <c r="C8" s="598">
        <v>5117719.1500000004</v>
      </c>
      <c r="D8" s="75">
        <v>2934153.14</v>
      </c>
      <c r="E8" s="69">
        <v>98280</v>
      </c>
      <c r="F8" s="49">
        <v>2835873.14</v>
      </c>
      <c r="G8" s="315">
        <v>6.5</v>
      </c>
      <c r="H8" s="71">
        <v>57.3</v>
      </c>
      <c r="I8" s="590">
        <v>1.5</v>
      </c>
    </row>
    <row r="9" spans="1:9" s="13" customFormat="1" ht="19.899999999999999" customHeight="1">
      <c r="A9" s="290" t="s">
        <v>7</v>
      </c>
      <c r="B9" s="594" t="s">
        <v>42</v>
      </c>
      <c r="C9" s="598">
        <v>786840.47</v>
      </c>
      <c r="D9" s="75">
        <v>1580720.65</v>
      </c>
      <c r="E9" s="69">
        <v>0</v>
      </c>
      <c r="F9" s="49">
        <v>1580720.65</v>
      </c>
      <c r="G9" s="315">
        <v>3.5</v>
      </c>
      <c r="H9" s="71">
        <v>200.9</v>
      </c>
      <c r="I9" s="590">
        <v>1.2</v>
      </c>
    </row>
    <row r="10" spans="1:9" s="13" customFormat="1" ht="19.899999999999999" customHeight="1">
      <c r="A10" s="290" t="s">
        <v>8</v>
      </c>
      <c r="B10" s="594" t="s">
        <v>27</v>
      </c>
      <c r="C10" s="598">
        <v>1336920.74</v>
      </c>
      <c r="D10" s="75">
        <v>2352872.37</v>
      </c>
      <c r="E10" s="69">
        <v>60000</v>
      </c>
      <c r="F10" s="49">
        <v>2292872.37</v>
      </c>
      <c r="G10" s="315">
        <v>5.2</v>
      </c>
      <c r="H10" s="71">
        <v>176</v>
      </c>
      <c r="I10" s="590">
        <v>1.5</v>
      </c>
    </row>
    <row r="11" spans="1:9" s="13" customFormat="1" ht="19.899999999999999" customHeight="1">
      <c r="A11" s="290" t="s">
        <v>9</v>
      </c>
      <c r="B11" s="594" t="s">
        <v>28</v>
      </c>
      <c r="C11" s="598">
        <v>463760.52</v>
      </c>
      <c r="D11" s="75">
        <v>1645802.43</v>
      </c>
      <c r="E11" s="69">
        <v>885980</v>
      </c>
      <c r="F11" s="49">
        <v>759822.42999999993</v>
      </c>
      <c r="G11" s="315">
        <v>3.6</v>
      </c>
      <c r="H11" s="71">
        <v>354.9</v>
      </c>
      <c r="I11" s="590">
        <v>2.2000000000000002</v>
      </c>
    </row>
    <row r="12" spans="1:9" s="13" customFormat="1" ht="19.899999999999999" customHeight="1">
      <c r="A12" s="290" t="s">
        <v>1</v>
      </c>
      <c r="B12" s="594" t="s">
        <v>29</v>
      </c>
      <c r="C12" s="598">
        <v>552925.84</v>
      </c>
      <c r="D12" s="75">
        <v>2689379.95</v>
      </c>
      <c r="E12" s="69">
        <v>793859</v>
      </c>
      <c r="F12" s="49">
        <v>1895520.9500000002</v>
      </c>
      <c r="G12" s="315">
        <v>5.9</v>
      </c>
      <c r="H12" s="71">
        <v>486.4</v>
      </c>
      <c r="I12" s="590">
        <v>1.6</v>
      </c>
    </row>
    <row r="13" spans="1:9" s="13" customFormat="1" ht="19.899999999999999" customHeight="1">
      <c r="A13" s="290" t="s">
        <v>2</v>
      </c>
      <c r="B13" s="594" t="s">
        <v>30</v>
      </c>
      <c r="C13" s="598">
        <v>4547356.79</v>
      </c>
      <c r="D13" s="75">
        <v>10442958.289999999</v>
      </c>
      <c r="E13" s="69">
        <v>4029206.4</v>
      </c>
      <c r="F13" s="49">
        <v>6413751.8899999987</v>
      </c>
      <c r="G13" s="315">
        <v>23</v>
      </c>
      <c r="H13" s="71">
        <v>229.6</v>
      </c>
      <c r="I13" s="590">
        <v>4.3</v>
      </c>
    </row>
    <row r="14" spans="1:9" s="13" customFormat="1" ht="19.899999999999999" customHeight="1">
      <c r="A14" s="290" t="s">
        <v>10</v>
      </c>
      <c r="B14" s="594" t="s">
        <v>31</v>
      </c>
      <c r="C14" s="598">
        <v>2227873.0499999998</v>
      </c>
      <c r="D14" s="75">
        <v>4422512.33</v>
      </c>
      <c r="E14" s="69">
        <v>623820.22</v>
      </c>
      <c r="F14" s="49">
        <v>3798692.1100000003</v>
      </c>
      <c r="G14" s="315">
        <v>9.6999999999999993</v>
      </c>
      <c r="H14" s="71">
        <v>198.5</v>
      </c>
      <c r="I14" s="590">
        <v>1.4</v>
      </c>
    </row>
    <row r="15" spans="1:9" s="13" customFormat="1" ht="19.899999999999999" customHeight="1">
      <c r="A15" s="290" t="s">
        <v>11</v>
      </c>
      <c r="B15" s="594" t="s">
        <v>32</v>
      </c>
      <c r="C15" s="598">
        <v>1401853.3</v>
      </c>
      <c r="D15" s="75">
        <v>1729014.94</v>
      </c>
      <c r="E15" s="69">
        <v>545160.43000000005</v>
      </c>
      <c r="F15" s="49">
        <v>1183854.5099999998</v>
      </c>
      <c r="G15" s="315">
        <v>3.8</v>
      </c>
      <c r="H15" s="71">
        <v>123.3</v>
      </c>
      <c r="I15" s="590">
        <v>2</v>
      </c>
    </row>
    <row r="16" spans="1:9" s="13" customFormat="1" ht="19.899999999999999" customHeight="1">
      <c r="A16" s="290" t="s">
        <v>12</v>
      </c>
      <c r="B16" s="594" t="s">
        <v>33</v>
      </c>
      <c r="C16" s="598">
        <v>2590503.2000000002</v>
      </c>
      <c r="D16" s="75">
        <v>3726961.63</v>
      </c>
      <c r="E16" s="69">
        <v>105242.98</v>
      </c>
      <c r="F16" s="49">
        <v>3621718.65</v>
      </c>
      <c r="G16" s="315">
        <v>8.1999999999999993</v>
      </c>
      <c r="H16" s="71">
        <v>143.9</v>
      </c>
      <c r="I16" s="590">
        <v>2.1</v>
      </c>
    </row>
    <row r="17" spans="1:9" s="13" customFormat="1" ht="19.899999999999999" customHeight="1">
      <c r="A17" s="290" t="s">
        <v>13</v>
      </c>
      <c r="B17" s="594" t="s">
        <v>34</v>
      </c>
      <c r="C17" s="598">
        <v>518194.29</v>
      </c>
      <c r="D17" s="75">
        <v>737582.76</v>
      </c>
      <c r="E17" s="69">
        <v>0</v>
      </c>
      <c r="F17" s="49">
        <v>737582.76</v>
      </c>
      <c r="G17" s="315">
        <v>1.6</v>
      </c>
      <c r="H17" s="71">
        <v>142.30000000000001</v>
      </c>
      <c r="I17" s="590">
        <v>1</v>
      </c>
    </row>
    <row r="18" spans="1:9" s="13" customFormat="1" ht="19.899999999999999" customHeight="1">
      <c r="A18" s="290" t="s">
        <v>14</v>
      </c>
      <c r="B18" s="594" t="s">
        <v>35</v>
      </c>
      <c r="C18" s="598">
        <v>858151.61</v>
      </c>
      <c r="D18" s="75">
        <v>2099618.16</v>
      </c>
      <c r="E18" s="69">
        <v>0</v>
      </c>
      <c r="F18" s="49">
        <v>2099618.16</v>
      </c>
      <c r="G18" s="315">
        <v>4.5999999999999996</v>
      </c>
      <c r="H18" s="71">
        <v>244.7</v>
      </c>
      <c r="I18" s="590">
        <v>1.4</v>
      </c>
    </row>
    <row r="19" spans="1:9" s="13" customFormat="1" ht="19.899999999999999" customHeight="1">
      <c r="A19" s="290" t="s">
        <v>15</v>
      </c>
      <c r="B19" s="594" t="s">
        <v>36</v>
      </c>
      <c r="C19" s="598">
        <v>858640.15</v>
      </c>
      <c r="D19" s="75">
        <v>1760949.62</v>
      </c>
      <c r="E19" s="69">
        <v>0</v>
      </c>
      <c r="F19" s="49">
        <v>1760949.62</v>
      </c>
      <c r="G19" s="315">
        <v>3.9</v>
      </c>
      <c r="H19" s="71">
        <v>205.1</v>
      </c>
      <c r="I19" s="590">
        <v>0.9</v>
      </c>
    </row>
    <row r="20" spans="1:9" s="13" customFormat="1" ht="19.899999999999999" customHeight="1">
      <c r="A20" s="290" t="s">
        <v>16</v>
      </c>
      <c r="B20" s="594" t="s">
        <v>37</v>
      </c>
      <c r="C20" s="598">
        <v>2600459.09</v>
      </c>
      <c r="D20" s="75">
        <v>2279088.2799999998</v>
      </c>
      <c r="E20" s="69">
        <v>408379</v>
      </c>
      <c r="F20" s="49">
        <v>1870709.2799999998</v>
      </c>
      <c r="G20" s="315">
        <v>5</v>
      </c>
      <c r="H20" s="71">
        <v>87.6</v>
      </c>
      <c r="I20" s="590">
        <v>2.2000000000000002</v>
      </c>
    </row>
    <row r="21" spans="1:9" s="13" customFormat="1" ht="19.899999999999999" customHeight="1">
      <c r="A21" s="290" t="s">
        <v>17</v>
      </c>
      <c r="B21" s="594" t="s">
        <v>43</v>
      </c>
      <c r="C21" s="598">
        <v>1281368.71</v>
      </c>
      <c r="D21" s="75">
        <v>1597567.44</v>
      </c>
      <c r="E21" s="69">
        <v>63500</v>
      </c>
      <c r="F21" s="49">
        <v>1534067.44</v>
      </c>
      <c r="G21" s="315">
        <v>3.5</v>
      </c>
      <c r="H21" s="71">
        <v>124.7</v>
      </c>
      <c r="I21" s="590">
        <v>1.4</v>
      </c>
    </row>
    <row r="22" spans="1:9" s="13" customFormat="1" ht="19.899999999999999" customHeight="1">
      <c r="A22" s="290" t="s">
        <v>18</v>
      </c>
      <c r="B22" s="594" t="s">
        <v>38</v>
      </c>
      <c r="C22" s="598">
        <v>2202236.7400000002</v>
      </c>
      <c r="D22" s="75">
        <v>3268698</v>
      </c>
      <c r="E22" s="69">
        <v>146995</v>
      </c>
      <c r="F22" s="49">
        <v>3121703</v>
      </c>
      <c r="G22" s="315">
        <v>7.2</v>
      </c>
      <c r="H22" s="71">
        <v>148.4</v>
      </c>
      <c r="I22" s="590">
        <v>1.2</v>
      </c>
    </row>
    <row r="23" spans="1:9" s="13" customFormat="1" ht="19.899999999999999" customHeight="1">
      <c r="A23" s="291" t="s">
        <v>19</v>
      </c>
      <c r="B23" s="595" t="s">
        <v>39</v>
      </c>
      <c r="C23" s="599">
        <v>1650286.8</v>
      </c>
      <c r="D23" s="292">
        <v>2197024.2599999998</v>
      </c>
      <c r="E23" s="293">
        <v>841377.92</v>
      </c>
      <c r="F23" s="294">
        <v>1355646.3399999999</v>
      </c>
      <c r="G23" s="317">
        <v>4.8</v>
      </c>
      <c r="H23" s="591">
        <v>133.1</v>
      </c>
      <c r="I23" s="592">
        <v>1.9</v>
      </c>
    </row>
    <row r="25" spans="1:9" s="11" customFormat="1" ht="13.5">
      <c r="A25" s="68" t="s">
        <v>934</v>
      </c>
      <c r="B25" s="70" t="s">
        <v>1159</v>
      </c>
      <c r="C25" s="68"/>
      <c r="D25" s="68"/>
      <c r="E25" s="68"/>
      <c r="F25" s="68"/>
      <c r="G25" s="68"/>
      <c r="H25" s="68"/>
      <c r="I25" s="68"/>
    </row>
    <row r="26" spans="1:9" s="11" customFormat="1" ht="13.5">
      <c r="A26" s="68"/>
      <c r="B26" s="70" t="s">
        <v>936</v>
      </c>
      <c r="C26" s="68"/>
      <c r="D26" s="68"/>
      <c r="E26" s="68"/>
      <c r="F26" s="68"/>
      <c r="G26" s="68"/>
      <c r="H26" s="68"/>
      <c r="I26" s="68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honeticPr fontId="7" type="noConversion"/>
  <printOptions horizontalCentered="1"/>
  <pageMargins left="0.51181102362204722" right="0.52" top="0.98" bottom="0.98425196850393704" header="0.47244094488188981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5"/>
  <sheetViews>
    <sheetView showGridLines="0" workbookViewId="0">
      <selection activeCell="O3" sqref="O3"/>
    </sheetView>
  </sheetViews>
  <sheetFormatPr defaultColWidth="9.140625" defaultRowHeight="12.75"/>
  <cols>
    <col min="1" max="1" width="5.42578125" style="79" customWidth="1"/>
    <col min="2" max="2" width="25.7109375" style="79" customWidth="1"/>
    <col min="3" max="3" width="13.5703125" style="79" bestFit="1" customWidth="1"/>
    <col min="4" max="4" width="11.7109375" style="79" bestFit="1" customWidth="1"/>
    <col min="5" max="5" width="6.5703125" style="79" bestFit="1" customWidth="1"/>
    <col min="6" max="7" width="10.5703125" style="79" bestFit="1" customWidth="1"/>
    <col min="8" max="8" width="6.5703125" style="79" bestFit="1" customWidth="1"/>
    <col min="9" max="9" width="8.7109375" style="79" customWidth="1"/>
    <col min="10" max="16384" width="9.140625" style="79"/>
  </cols>
  <sheetData>
    <row r="1" spans="1:9" ht="34.15" customHeight="1">
      <c r="A1" s="1847" t="s">
        <v>995</v>
      </c>
      <c r="B1" s="1847"/>
      <c r="C1" s="1847"/>
      <c r="D1" s="1847"/>
      <c r="E1" s="1847"/>
      <c r="F1" s="1847"/>
      <c r="G1" s="1847"/>
      <c r="H1" s="1847"/>
      <c r="I1" s="1847"/>
    </row>
    <row r="3" spans="1:9" ht="13.5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3.5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3.5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6395191070.7600002</v>
      </c>
      <c r="D7" s="158">
        <v>4469740420.6700001</v>
      </c>
      <c r="E7" s="232">
        <v>69.900000000000006</v>
      </c>
      <c r="F7" s="159">
        <v>892785727.67000008</v>
      </c>
      <c r="G7" s="158">
        <v>764049882.4000001</v>
      </c>
      <c r="H7" s="51">
        <v>85.6</v>
      </c>
      <c r="I7" s="363">
        <v>17.100000000000001</v>
      </c>
    </row>
    <row r="8" spans="1:9" ht="19.899999999999999" customHeight="1">
      <c r="A8" s="233" t="s">
        <v>895</v>
      </c>
      <c r="B8" s="63" t="s">
        <v>99</v>
      </c>
      <c r="C8" s="333">
        <v>489992447.97000003</v>
      </c>
      <c r="D8" s="155">
        <v>323715143.76999998</v>
      </c>
      <c r="E8" s="234">
        <v>66.099999999999994</v>
      </c>
      <c r="F8" s="64">
        <v>4098396.4200000167</v>
      </c>
      <c r="G8" s="157">
        <v>2969800.3599999547</v>
      </c>
      <c r="H8" s="65">
        <v>72.5</v>
      </c>
      <c r="I8" s="364">
        <v>0.9</v>
      </c>
    </row>
    <row r="9" spans="1:9" ht="19.899999999999999" customHeight="1">
      <c r="A9" s="233" t="s">
        <v>896</v>
      </c>
      <c r="B9" s="63" t="s">
        <v>100</v>
      </c>
      <c r="C9" s="333">
        <v>153834.87</v>
      </c>
      <c r="D9" s="155">
        <v>153834.87</v>
      </c>
      <c r="E9" s="234">
        <v>100</v>
      </c>
      <c r="F9" s="64">
        <v>153834.87</v>
      </c>
      <c r="G9" s="157">
        <v>153834.87</v>
      </c>
      <c r="H9" s="65">
        <v>100</v>
      </c>
      <c r="I9" s="364">
        <v>100</v>
      </c>
    </row>
    <row r="10" spans="1:9" ht="19.899999999999999" customHeight="1">
      <c r="A10" s="233" t="s">
        <v>897</v>
      </c>
      <c r="B10" s="63" t="s">
        <v>101</v>
      </c>
      <c r="C10" s="333">
        <v>762565.39</v>
      </c>
      <c r="D10" s="155">
        <v>290128</v>
      </c>
      <c r="E10" s="234">
        <v>38</v>
      </c>
      <c r="F10" s="64">
        <v>0</v>
      </c>
      <c r="G10" s="157">
        <v>0</v>
      </c>
      <c r="H10" s="65" t="s">
        <v>273</v>
      </c>
      <c r="I10" s="364">
        <v>0</v>
      </c>
    </row>
    <row r="11" spans="1:9" ht="19.899999999999999" customHeight="1">
      <c r="A11" s="233" t="s">
        <v>899</v>
      </c>
      <c r="B11" s="63" t="s">
        <v>102</v>
      </c>
      <c r="C11" s="333">
        <v>5000241.07</v>
      </c>
      <c r="D11" s="155">
        <v>712449.37</v>
      </c>
      <c r="E11" s="234">
        <v>14.2</v>
      </c>
      <c r="F11" s="64">
        <v>581399.0700000003</v>
      </c>
      <c r="G11" s="157">
        <v>535754.5</v>
      </c>
      <c r="H11" s="65">
        <v>92.1</v>
      </c>
      <c r="I11" s="364">
        <v>75.2</v>
      </c>
    </row>
    <row r="12" spans="1:9" ht="27">
      <c r="A12" s="233" t="s">
        <v>900</v>
      </c>
      <c r="B12" s="63" t="s">
        <v>103</v>
      </c>
      <c r="C12" s="333">
        <v>59156502.710000001</v>
      </c>
      <c r="D12" s="155">
        <v>35130662.649999999</v>
      </c>
      <c r="E12" s="234">
        <v>59.4</v>
      </c>
      <c r="F12" s="64">
        <v>182221</v>
      </c>
      <c r="G12" s="157">
        <v>49576.079999998212</v>
      </c>
      <c r="H12" s="65">
        <v>27.2</v>
      </c>
      <c r="I12" s="364">
        <v>0.1</v>
      </c>
    </row>
    <row r="13" spans="1:9" ht="19.899999999999999" customHeight="1">
      <c r="A13" s="233" t="s">
        <v>901</v>
      </c>
      <c r="B13" s="63" t="s">
        <v>216</v>
      </c>
      <c r="C13" s="333">
        <v>3035690.36</v>
      </c>
      <c r="D13" s="155">
        <v>2307689.91</v>
      </c>
      <c r="E13" s="234">
        <v>76</v>
      </c>
      <c r="F13" s="64">
        <v>703517</v>
      </c>
      <c r="G13" s="157">
        <v>703516.60000000009</v>
      </c>
      <c r="H13" s="65">
        <v>100</v>
      </c>
      <c r="I13" s="364">
        <v>30.5</v>
      </c>
    </row>
    <row r="14" spans="1:9" ht="19.899999999999999" customHeight="1">
      <c r="A14" s="233" t="s">
        <v>903</v>
      </c>
      <c r="B14" s="63" t="s">
        <v>104</v>
      </c>
      <c r="C14" s="333">
        <v>891144691.94000006</v>
      </c>
      <c r="D14" s="155">
        <v>624998138.90999997</v>
      </c>
      <c r="E14" s="234">
        <v>70.099999999999994</v>
      </c>
      <c r="F14" s="64">
        <v>7643256.5700000525</v>
      </c>
      <c r="G14" s="157">
        <v>6694973.5399999619</v>
      </c>
      <c r="H14" s="65">
        <v>87.6</v>
      </c>
      <c r="I14" s="364">
        <v>1.1000000000000001</v>
      </c>
    </row>
    <row r="15" spans="1:9" ht="19.899999999999999" customHeight="1">
      <c r="A15" s="233" t="s">
        <v>904</v>
      </c>
      <c r="B15" s="63" t="s">
        <v>105</v>
      </c>
      <c r="C15" s="333">
        <v>213782081.75</v>
      </c>
      <c r="D15" s="155">
        <v>134048104.45</v>
      </c>
      <c r="E15" s="234">
        <v>62.7</v>
      </c>
      <c r="F15" s="64">
        <v>6611546.2800000012</v>
      </c>
      <c r="G15" s="157">
        <v>3714459.6300000101</v>
      </c>
      <c r="H15" s="65">
        <v>56.2</v>
      </c>
      <c r="I15" s="364">
        <v>2.8</v>
      </c>
    </row>
    <row r="16" spans="1:9" ht="19.899999999999999" customHeight="1">
      <c r="A16" s="233" t="s">
        <v>905</v>
      </c>
      <c r="B16" s="63" t="s">
        <v>106</v>
      </c>
      <c r="C16" s="333">
        <v>407577284.36000001</v>
      </c>
      <c r="D16" s="155">
        <v>276292100.63999999</v>
      </c>
      <c r="E16" s="234">
        <v>67.8</v>
      </c>
      <c r="F16" s="64">
        <v>2058580.1899999976</v>
      </c>
      <c r="G16" s="157">
        <v>1008666.2400000095</v>
      </c>
      <c r="H16" s="65">
        <v>49</v>
      </c>
      <c r="I16" s="364">
        <v>0.4</v>
      </c>
    </row>
    <row r="17" spans="1:9" ht="19.899999999999999" customHeight="1">
      <c r="A17" s="233" t="s">
        <v>906</v>
      </c>
      <c r="B17" s="63" t="s">
        <v>107</v>
      </c>
      <c r="C17" s="333">
        <v>41821868.149999999</v>
      </c>
      <c r="D17" s="155">
        <v>35776952.270000003</v>
      </c>
      <c r="E17" s="234">
        <v>85.5</v>
      </c>
      <c r="F17" s="64">
        <v>3356800.8699999973</v>
      </c>
      <c r="G17" s="157">
        <v>3496382.1900000051</v>
      </c>
      <c r="H17" s="65">
        <v>104.2</v>
      </c>
      <c r="I17" s="364">
        <v>9.8000000000000007</v>
      </c>
    </row>
    <row r="18" spans="1:9" ht="19.899999999999999" customHeight="1">
      <c r="A18" s="233" t="s">
        <v>907</v>
      </c>
      <c r="B18" s="63" t="s">
        <v>108</v>
      </c>
      <c r="C18" s="333">
        <v>20251778.48</v>
      </c>
      <c r="D18" s="155">
        <v>7640442.8099999996</v>
      </c>
      <c r="E18" s="234">
        <v>37.700000000000003</v>
      </c>
      <c r="F18" s="64">
        <v>2856822.41</v>
      </c>
      <c r="G18" s="157">
        <v>828070.1099999994</v>
      </c>
      <c r="H18" s="65">
        <v>29</v>
      </c>
      <c r="I18" s="364">
        <v>10.8</v>
      </c>
    </row>
    <row r="19" spans="1:9" ht="19.899999999999999" customHeight="1">
      <c r="A19" s="233" t="s">
        <v>908</v>
      </c>
      <c r="B19" s="63" t="s">
        <v>217</v>
      </c>
      <c r="C19" s="333">
        <v>23032.02</v>
      </c>
      <c r="D19" s="155">
        <v>23032</v>
      </c>
      <c r="E19" s="234">
        <v>100</v>
      </c>
      <c r="F19" s="64">
        <v>23032.02</v>
      </c>
      <c r="G19" s="157">
        <v>23032</v>
      </c>
      <c r="H19" s="65">
        <v>100</v>
      </c>
      <c r="I19" s="364">
        <v>100</v>
      </c>
    </row>
    <row r="20" spans="1:9" ht="19.899999999999999" customHeight="1">
      <c r="A20" s="233" t="s">
        <v>909</v>
      </c>
      <c r="B20" s="63" t="s">
        <v>109</v>
      </c>
      <c r="C20" s="333">
        <v>211890649.81</v>
      </c>
      <c r="D20" s="155">
        <v>170096180.86000001</v>
      </c>
      <c r="E20" s="234">
        <v>80.3</v>
      </c>
      <c r="F20" s="64">
        <v>40814298.099999994</v>
      </c>
      <c r="G20" s="157">
        <v>46190672.290000021</v>
      </c>
      <c r="H20" s="65">
        <v>113.2</v>
      </c>
      <c r="I20" s="364">
        <v>27.2</v>
      </c>
    </row>
    <row r="21" spans="1:9" ht="27">
      <c r="A21" s="233" t="s">
        <v>914</v>
      </c>
      <c r="B21" s="63" t="s">
        <v>112</v>
      </c>
      <c r="C21" s="333">
        <v>54840383.590000004</v>
      </c>
      <c r="D21" s="155">
        <v>39839281.909999996</v>
      </c>
      <c r="E21" s="234">
        <v>72.599999999999994</v>
      </c>
      <c r="F21" s="64">
        <v>4626324.650000006</v>
      </c>
      <c r="G21" s="157">
        <v>2630838.4799999967</v>
      </c>
      <c r="H21" s="65">
        <v>56.9</v>
      </c>
      <c r="I21" s="364">
        <v>6.6</v>
      </c>
    </row>
    <row r="22" spans="1:9" ht="19.899999999999999" customHeight="1">
      <c r="A22" s="233" t="s">
        <v>918</v>
      </c>
      <c r="B22" s="63" t="s">
        <v>114</v>
      </c>
      <c r="C22" s="333">
        <v>58863533.539999999</v>
      </c>
      <c r="D22" s="155">
        <v>58758445.399999999</v>
      </c>
      <c r="E22" s="234">
        <v>99.8</v>
      </c>
      <c r="F22" s="64">
        <v>9392842.0600000024</v>
      </c>
      <c r="G22" s="157">
        <v>8466196.6499999985</v>
      </c>
      <c r="H22" s="65">
        <v>90.1</v>
      </c>
      <c r="I22" s="364">
        <v>14.4</v>
      </c>
    </row>
    <row r="23" spans="1:9" ht="19.899999999999999" customHeight="1">
      <c r="A23" s="233" t="s">
        <v>919</v>
      </c>
      <c r="B23" s="63" t="s">
        <v>115</v>
      </c>
      <c r="C23" s="333">
        <v>565945697.28999996</v>
      </c>
      <c r="D23" s="155">
        <v>433250739.97000003</v>
      </c>
      <c r="E23" s="234">
        <v>76.599999999999994</v>
      </c>
      <c r="F23" s="64">
        <v>234974022.21999997</v>
      </c>
      <c r="G23" s="157">
        <v>197573532.26000002</v>
      </c>
      <c r="H23" s="65">
        <v>84.1</v>
      </c>
      <c r="I23" s="364">
        <v>45.6</v>
      </c>
    </row>
    <row r="24" spans="1:9" ht="19.899999999999999" customHeight="1">
      <c r="A24" s="233" t="s">
        <v>921</v>
      </c>
      <c r="B24" s="63" t="s">
        <v>116</v>
      </c>
      <c r="C24" s="333">
        <v>27959988.379999999</v>
      </c>
      <c r="D24" s="155">
        <v>17744623.48</v>
      </c>
      <c r="E24" s="234">
        <v>63.5</v>
      </c>
      <c r="F24" s="64">
        <v>1817347.3499999978</v>
      </c>
      <c r="G24" s="157">
        <v>1125657.1100000013</v>
      </c>
      <c r="H24" s="65">
        <v>61.9</v>
      </c>
      <c r="I24" s="364">
        <v>6.3</v>
      </c>
    </row>
    <row r="25" spans="1:9" ht="19.899999999999999" customHeight="1">
      <c r="A25" s="233" t="s">
        <v>922</v>
      </c>
      <c r="B25" s="63" t="s">
        <v>117</v>
      </c>
      <c r="C25" s="333">
        <v>227824571.94</v>
      </c>
      <c r="D25" s="155">
        <v>199269680.65000001</v>
      </c>
      <c r="E25" s="234">
        <v>87.5</v>
      </c>
      <c r="F25" s="64">
        <v>184405009.61000001</v>
      </c>
      <c r="G25" s="157">
        <v>164015658.68000001</v>
      </c>
      <c r="H25" s="65">
        <v>88.9</v>
      </c>
      <c r="I25" s="364">
        <v>82.3</v>
      </c>
    </row>
    <row r="26" spans="1:9" ht="27">
      <c r="A26" s="233" t="s">
        <v>923</v>
      </c>
      <c r="B26" s="63" t="s">
        <v>118</v>
      </c>
      <c r="C26" s="333">
        <v>242333149.43000001</v>
      </c>
      <c r="D26" s="155">
        <v>211277043.58000001</v>
      </c>
      <c r="E26" s="234">
        <v>87.2</v>
      </c>
      <c r="F26" s="64">
        <v>206911065.39000002</v>
      </c>
      <c r="G26" s="157">
        <v>186536936.65000001</v>
      </c>
      <c r="H26" s="65">
        <v>90.2</v>
      </c>
      <c r="I26" s="364">
        <v>88.3</v>
      </c>
    </row>
    <row r="27" spans="1:9" ht="19.899999999999999" customHeight="1">
      <c r="A27" s="233" t="s">
        <v>924</v>
      </c>
      <c r="B27" s="63" t="s">
        <v>119</v>
      </c>
      <c r="C27" s="333">
        <v>4534596.88</v>
      </c>
      <c r="D27" s="155">
        <v>5025490.63</v>
      </c>
      <c r="E27" s="234">
        <v>110.8</v>
      </c>
      <c r="F27" s="64">
        <v>3141553.3</v>
      </c>
      <c r="G27" s="157">
        <v>3418436.6799999997</v>
      </c>
      <c r="H27" s="65">
        <v>108.8</v>
      </c>
      <c r="I27" s="364">
        <v>68</v>
      </c>
    </row>
    <row r="28" spans="1:9" ht="19.899999999999999" customHeight="1">
      <c r="A28" s="233" t="s">
        <v>925</v>
      </c>
      <c r="B28" s="63" t="s">
        <v>120</v>
      </c>
      <c r="C28" s="333">
        <v>120144361.04000001</v>
      </c>
      <c r="D28" s="155">
        <v>100392193.27</v>
      </c>
      <c r="E28" s="234">
        <v>83.6</v>
      </c>
      <c r="F28" s="64">
        <v>98406258.890000015</v>
      </c>
      <c r="G28" s="157">
        <v>83924495.129999995</v>
      </c>
      <c r="H28" s="65">
        <v>85.3</v>
      </c>
      <c r="I28" s="364">
        <v>83.6</v>
      </c>
    </row>
    <row r="29" spans="1:9" ht="27">
      <c r="A29" s="233" t="s">
        <v>926</v>
      </c>
      <c r="B29" s="63" t="s">
        <v>121</v>
      </c>
      <c r="C29" s="333">
        <v>2156464534.6599998</v>
      </c>
      <c r="D29" s="155">
        <v>1383266000.5799999</v>
      </c>
      <c r="E29" s="234">
        <v>64.099999999999994</v>
      </c>
      <c r="F29" s="64">
        <v>46630084.46999979</v>
      </c>
      <c r="G29" s="157">
        <v>27545780.99000001</v>
      </c>
      <c r="H29" s="65">
        <v>59.1</v>
      </c>
      <c r="I29" s="364">
        <v>2</v>
      </c>
    </row>
    <row r="30" spans="1:9" ht="27">
      <c r="A30" s="233" t="s">
        <v>927</v>
      </c>
      <c r="B30" s="63" t="s">
        <v>122</v>
      </c>
      <c r="C30" s="333">
        <v>462455611.95999998</v>
      </c>
      <c r="D30" s="155">
        <v>316144600.76999998</v>
      </c>
      <c r="E30" s="234">
        <v>68.400000000000006</v>
      </c>
      <c r="F30" s="64">
        <v>30044833.909999967</v>
      </c>
      <c r="G30" s="157">
        <v>20095480.939999998</v>
      </c>
      <c r="H30" s="65">
        <v>66.900000000000006</v>
      </c>
      <c r="I30" s="364">
        <v>6.4</v>
      </c>
    </row>
    <row r="31" spans="1:9" ht="19.899999999999999" customHeight="1">
      <c r="A31" s="235" t="s">
        <v>929</v>
      </c>
      <c r="B31" s="295" t="s">
        <v>124</v>
      </c>
      <c r="C31" s="335">
        <v>129231973.17</v>
      </c>
      <c r="D31" s="149">
        <v>93587459.920000002</v>
      </c>
      <c r="E31" s="238">
        <v>72.400000000000006</v>
      </c>
      <c r="F31" s="329">
        <v>3352681.0199999958</v>
      </c>
      <c r="G31" s="130">
        <v>2348130.4200000018</v>
      </c>
      <c r="H31" s="377">
        <v>70</v>
      </c>
      <c r="I31" s="365">
        <v>2.5</v>
      </c>
    </row>
    <row r="33" spans="1:9" ht="13.5">
      <c r="A33" s="78" t="s">
        <v>1158</v>
      </c>
      <c r="B33" s="77"/>
      <c r="C33" s="77"/>
      <c r="D33" s="77"/>
      <c r="E33" s="77"/>
      <c r="F33" s="77"/>
      <c r="G33" s="77"/>
      <c r="H33" s="77"/>
      <c r="I33" s="77"/>
    </row>
    <row r="35" spans="1:9">
      <c r="C35" s="81" t="s">
        <v>3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9055118110236221" bottom="0.47244094488188981" header="0.31496062992125984" footer="0.31496062992125984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showGridLines="0" workbookViewId="0">
      <selection activeCell="O3" sqref="O3"/>
    </sheetView>
  </sheetViews>
  <sheetFormatPr defaultColWidth="9.140625" defaultRowHeight="13.5"/>
  <cols>
    <col min="1" max="1" width="5" style="80" customWidth="1"/>
    <col min="2" max="2" width="25.7109375" style="80" customWidth="1"/>
    <col min="3" max="4" width="12.42578125" style="80" bestFit="1" customWidth="1"/>
    <col min="5" max="5" width="6.5703125" style="80" bestFit="1" customWidth="1"/>
    <col min="6" max="7" width="12.42578125" style="80" bestFit="1" customWidth="1"/>
    <col min="8" max="8" width="6.5703125" style="80" bestFit="1" customWidth="1"/>
    <col min="9" max="16384" width="9.140625" style="80"/>
  </cols>
  <sheetData>
    <row r="1" spans="1:9">
      <c r="A1" s="1797" t="s">
        <v>941</v>
      </c>
      <c r="B1" s="1797"/>
      <c r="C1" s="1797"/>
      <c r="D1" s="1797"/>
      <c r="E1" s="1797"/>
      <c r="F1" s="1797"/>
      <c r="G1" s="1797"/>
      <c r="H1" s="1797"/>
      <c r="I1" s="1797"/>
    </row>
    <row r="2" spans="1:9" ht="15.7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40654674440.839996</v>
      </c>
      <c r="D7" s="158">
        <v>40467411835.709999</v>
      </c>
      <c r="E7" s="232">
        <v>99.5</v>
      </c>
      <c r="F7" s="159">
        <v>40637569422.929993</v>
      </c>
      <c r="G7" s="158">
        <v>40452861560.010002</v>
      </c>
      <c r="H7" s="51">
        <v>99.5</v>
      </c>
      <c r="I7" s="363">
        <v>100</v>
      </c>
    </row>
    <row r="8" spans="1:9" ht="19.899999999999999" customHeight="1">
      <c r="A8" s="233" t="s">
        <v>895</v>
      </c>
      <c r="B8" s="63" t="s">
        <v>99</v>
      </c>
      <c r="C8" s="333">
        <v>1148295739.4200001</v>
      </c>
      <c r="D8" s="155">
        <v>1147806587.9400001</v>
      </c>
      <c r="E8" s="234">
        <v>100</v>
      </c>
      <c r="F8" s="64">
        <v>1148295739.4200001</v>
      </c>
      <c r="G8" s="157">
        <v>1147806587.9400001</v>
      </c>
      <c r="H8" s="65">
        <v>100</v>
      </c>
      <c r="I8" s="364">
        <v>100</v>
      </c>
    </row>
    <row r="9" spans="1:9" ht="19.899999999999999" customHeight="1">
      <c r="A9" s="233" t="s">
        <v>905</v>
      </c>
      <c r="B9" s="63" t="s">
        <v>106</v>
      </c>
      <c r="C9" s="333">
        <v>8000</v>
      </c>
      <c r="D9" s="155">
        <v>8000</v>
      </c>
      <c r="E9" s="234">
        <v>100</v>
      </c>
      <c r="F9" s="64">
        <v>8000</v>
      </c>
      <c r="G9" s="157">
        <v>8000</v>
      </c>
      <c r="H9" s="65">
        <v>100</v>
      </c>
      <c r="I9" s="364">
        <v>100</v>
      </c>
    </row>
    <row r="10" spans="1:9" ht="19.899999999999999" customHeight="1">
      <c r="A10" s="233" t="s">
        <v>909</v>
      </c>
      <c r="B10" s="63" t="s">
        <v>109</v>
      </c>
      <c r="C10" s="333">
        <v>360367893.86000001</v>
      </c>
      <c r="D10" s="155">
        <v>354404985.38999999</v>
      </c>
      <c r="E10" s="234">
        <v>98.3</v>
      </c>
      <c r="F10" s="64">
        <v>360347893.86000001</v>
      </c>
      <c r="G10" s="157">
        <v>354384985.38999999</v>
      </c>
      <c r="H10" s="65">
        <v>98.3</v>
      </c>
      <c r="I10" s="364">
        <v>100</v>
      </c>
    </row>
    <row r="11" spans="1:9" ht="40.5">
      <c r="A11" s="233" t="s">
        <v>910</v>
      </c>
      <c r="B11" s="63" t="s">
        <v>110</v>
      </c>
      <c r="C11" s="333">
        <v>8799319.1999999993</v>
      </c>
      <c r="D11" s="155">
        <v>8466809.8499999996</v>
      </c>
      <c r="E11" s="234">
        <v>96.2</v>
      </c>
      <c r="F11" s="64">
        <v>8799319.1999999993</v>
      </c>
      <c r="G11" s="157">
        <v>8466809.8499999996</v>
      </c>
      <c r="H11" s="65">
        <v>96.2</v>
      </c>
      <c r="I11" s="364">
        <v>100</v>
      </c>
    </row>
    <row r="12" spans="1:9" ht="19.899999999999999" customHeight="1">
      <c r="A12" s="233" t="s">
        <v>911</v>
      </c>
      <c r="B12" s="63" t="s">
        <v>111</v>
      </c>
      <c r="C12" s="333">
        <v>634915.82999999996</v>
      </c>
      <c r="D12" s="155">
        <v>571400.77</v>
      </c>
      <c r="E12" s="234">
        <v>90</v>
      </c>
      <c r="F12" s="64">
        <v>634915.82999999996</v>
      </c>
      <c r="G12" s="157">
        <v>571400.77</v>
      </c>
      <c r="H12" s="65">
        <v>90</v>
      </c>
      <c r="I12" s="364">
        <v>100</v>
      </c>
    </row>
    <row r="13" spans="1:9" ht="27">
      <c r="A13" s="233" t="s">
        <v>914</v>
      </c>
      <c r="B13" s="63" t="s">
        <v>112</v>
      </c>
      <c r="C13" s="333">
        <v>1420967.03</v>
      </c>
      <c r="D13" s="155">
        <v>1346134.34</v>
      </c>
      <c r="E13" s="234">
        <v>94.7</v>
      </c>
      <c r="F13" s="64">
        <v>1420967.03</v>
      </c>
      <c r="G13" s="157">
        <v>1346134.34</v>
      </c>
      <c r="H13" s="65">
        <v>94.7</v>
      </c>
      <c r="I13" s="364">
        <v>100</v>
      </c>
    </row>
    <row r="14" spans="1:9" ht="19.899999999999999" customHeight="1">
      <c r="A14" s="233" t="s">
        <v>918</v>
      </c>
      <c r="B14" s="63" t="s">
        <v>114</v>
      </c>
      <c r="C14" s="333">
        <v>2293706.35</v>
      </c>
      <c r="D14" s="155">
        <v>2296540.75</v>
      </c>
      <c r="E14" s="234">
        <v>100.1</v>
      </c>
      <c r="F14" s="64">
        <v>2293706.35</v>
      </c>
      <c r="G14" s="157">
        <v>2296540.75</v>
      </c>
      <c r="H14" s="65">
        <v>100.1</v>
      </c>
      <c r="I14" s="364">
        <v>100</v>
      </c>
    </row>
    <row r="15" spans="1:9" ht="19.899999999999999" customHeight="1">
      <c r="A15" s="233" t="s">
        <v>919</v>
      </c>
      <c r="B15" s="63" t="s">
        <v>115</v>
      </c>
      <c r="C15" s="333">
        <v>290718423.61000001</v>
      </c>
      <c r="D15" s="155">
        <v>285755378.61000001</v>
      </c>
      <c r="E15" s="234">
        <v>98.3</v>
      </c>
      <c r="F15" s="64">
        <v>290718423.61000001</v>
      </c>
      <c r="G15" s="157">
        <v>285755378.61000001</v>
      </c>
      <c r="H15" s="65">
        <v>98.3</v>
      </c>
      <c r="I15" s="364">
        <v>100</v>
      </c>
    </row>
    <row r="16" spans="1:9" ht="19.899999999999999" customHeight="1">
      <c r="A16" s="233" t="s">
        <v>921</v>
      </c>
      <c r="B16" s="63" t="s">
        <v>116</v>
      </c>
      <c r="C16" s="333">
        <v>1627279.39</v>
      </c>
      <c r="D16" s="155">
        <v>1491296.7</v>
      </c>
      <c r="E16" s="234">
        <v>91.6</v>
      </c>
      <c r="F16" s="64">
        <v>1458279.39</v>
      </c>
      <c r="G16" s="157">
        <v>1322296.71</v>
      </c>
      <c r="H16" s="65">
        <v>90.7</v>
      </c>
      <c r="I16" s="364">
        <v>88.7</v>
      </c>
    </row>
    <row r="17" spans="1:9" ht="19.899999999999999" customHeight="1">
      <c r="A17" s="233" t="s">
        <v>922</v>
      </c>
      <c r="B17" s="63" t="s">
        <v>117</v>
      </c>
      <c r="C17" s="333">
        <v>551615327.64999998</v>
      </c>
      <c r="D17" s="155">
        <v>539713872.74000001</v>
      </c>
      <c r="E17" s="234">
        <v>97.8</v>
      </c>
      <c r="F17" s="64">
        <v>534783309.73999995</v>
      </c>
      <c r="G17" s="157">
        <v>525429546.12</v>
      </c>
      <c r="H17" s="65">
        <v>98.3</v>
      </c>
      <c r="I17" s="364">
        <v>97.4</v>
      </c>
    </row>
    <row r="18" spans="1:9" ht="27">
      <c r="A18" s="233" t="s">
        <v>923</v>
      </c>
      <c r="B18" s="63" t="s">
        <v>118</v>
      </c>
      <c r="C18" s="333">
        <v>542524.1</v>
      </c>
      <c r="D18" s="155">
        <v>542481.27</v>
      </c>
      <c r="E18" s="234">
        <v>100</v>
      </c>
      <c r="F18" s="64">
        <v>542524.1</v>
      </c>
      <c r="G18" s="157">
        <v>542481.27</v>
      </c>
      <c r="H18" s="65">
        <v>100</v>
      </c>
      <c r="I18" s="364">
        <v>100</v>
      </c>
    </row>
    <row r="19" spans="1:9" ht="19.899999999999999" customHeight="1">
      <c r="A19" s="233" t="s">
        <v>924</v>
      </c>
      <c r="B19" s="63" t="s">
        <v>119</v>
      </c>
      <c r="C19" s="333">
        <v>0</v>
      </c>
      <c r="D19" s="155">
        <v>4000</v>
      </c>
      <c r="E19" s="374" t="s">
        <v>913</v>
      </c>
      <c r="F19" s="64">
        <v>0</v>
      </c>
      <c r="G19" s="157">
        <v>4000</v>
      </c>
      <c r="H19" s="84" t="s">
        <v>913</v>
      </c>
      <c r="I19" s="364">
        <v>100</v>
      </c>
    </row>
    <row r="20" spans="1:9" ht="19.899999999999999" customHeight="1">
      <c r="A20" s="233" t="s">
        <v>925</v>
      </c>
      <c r="B20" s="63" t="s">
        <v>120</v>
      </c>
      <c r="C20" s="333">
        <v>38288323344.400002</v>
      </c>
      <c r="D20" s="155">
        <v>38124981247.660004</v>
      </c>
      <c r="E20" s="234">
        <v>99.6</v>
      </c>
      <c r="F20" s="64">
        <v>38288266344.400002</v>
      </c>
      <c r="G20" s="157">
        <v>38124927398.260002</v>
      </c>
      <c r="H20" s="65">
        <v>99.6</v>
      </c>
      <c r="I20" s="364">
        <v>100</v>
      </c>
    </row>
    <row r="21" spans="1:9" ht="19.899999999999999" customHeight="1">
      <c r="A21" s="235" t="s">
        <v>929</v>
      </c>
      <c r="B21" s="295" t="s">
        <v>124</v>
      </c>
      <c r="C21" s="335">
        <v>27000</v>
      </c>
      <c r="D21" s="149">
        <v>23099.69</v>
      </c>
      <c r="E21" s="238">
        <v>85.6</v>
      </c>
      <c r="F21" s="329">
        <v>0</v>
      </c>
      <c r="G21" s="130">
        <v>0</v>
      </c>
      <c r="H21" s="384" t="s">
        <v>913</v>
      </c>
      <c r="I21" s="365">
        <v>0</v>
      </c>
    </row>
    <row r="23" spans="1:9">
      <c r="A23" s="83" t="s">
        <v>1158</v>
      </c>
      <c r="B23" s="82"/>
      <c r="C23" s="82"/>
      <c r="D23" s="82"/>
      <c r="E23" s="82"/>
      <c r="F23" s="82"/>
      <c r="G23" s="82"/>
      <c r="H23" s="82"/>
      <c r="I23" s="82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83" bottom="0.74803149606299213" header="0.31496062992125984" footer="0.31496062992125984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1"/>
  <sheetViews>
    <sheetView showGridLines="0" workbookViewId="0">
      <selection activeCell="O3" sqref="O3"/>
    </sheetView>
  </sheetViews>
  <sheetFormatPr defaultColWidth="9.140625" defaultRowHeight="13.5"/>
  <cols>
    <col min="1" max="1" width="5.85546875" style="80" customWidth="1"/>
    <col min="2" max="2" width="25.7109375" style="80" customWidth="1"/>
    <col min="3" max="4" width="11.7109375" style="80" bestFit="1" customWidth="1"/>
    <col min="5" max="5" width="5.42578125" style="80" bestFit="1" customWidth="1"/>
    <col min="6" max="7" width="11.7109375" style="80" bestFit="1" customWidth="1"/>
    <col min="8" max="8" width="5.42578125" style="80" bestFit="1" customWidth="1"/>
    <col min="9" max="9" width="9.28515625" style="80" bestFit="1" customWidth="1"/>
    <col min="10" max="16384" width="9.140625" style="80"/>
  </cols>
  <sheetData>
    <row r="1" spans="1:9">
      <c r="A1" s="1797" t="s">
        <v>942</v>
      </c>
      <c r="B1" s="1797"/>
      <c r="C1" s="1797"/>
      <c r="D1" s="1797"/>
      <c r="E1" s="1797"/>
      <c r="F1" s="1797"/>
      <c r="G1" s="1797"/>
      <c r="H1" s="1797"/>
      <c r="I1" s="1797"/>
    </row>
    <row r="3" spans="1:9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76" t="s">
        <v>933</v>
      </c>
      <c r="C7" s="331">
        <v>3721064305.8899999</v>
      </c>
      <c r="D7" s="158">
        <v>3553063412.6900001</v>
      </c>
      <c r="E7" s="232">
        <v>95.5</v>
      </c>
      <c r="F7" s="159">
        <v>3296974672.7199998</v>
      </c>
      <c r="G7" s="158">
        <v>3208482865.6800003</v>
      </c>
      <c r="H7" s="51">
        <v>97.3</v>
      </c>
      <c r="I7" s="363">
        <v>90.3</v>
      </c>
    </row>
    <row r="8" spans="1:9" ht="19.899999999999999" customHeight="1">
      <c r="A8" s="233" t="s">
        <v>895</v>
      </c>
      <c r="B8" s="63" t="s">
        <v>99</v>
      </c>
      <c r="C8" s="333">
        <v>6109247.5599999996</v>
      </c>
      <c r="D8" s="155">
        <v>6025058.1699999999</v>
      </c>
      <c r="E8" s="234">
        <v>98.6</v>
      </c>
      <c r="F8" s="64">
        <v>651500</v>
      </c>
      <c r="G8" s="157">
        <v>651500</v>
      </c>
      <c r="H8" s="65">
        <v>100</v>
      </c>
      <c r="I8" s="364">
        <v>10.8</v>
      </c>
    </row>
    <row r="9" spans="1:9" ht="27">
      <c r="A9" s="233" t="s">
        <v>900</v>
      </c>
      <c r="B9" s="63" t="s">
        <v>103</v>
      </c>
      <c r="C9" s="333">
        <v>644495.19999999995</v>
      </c>
      <c r="D9" s="155">
        <v>644495.19999999995</v>
      </c>
      <c r="E9" s="234">
        <v>100</v>
      </c>
      <c r="F9" s="64">
        <v>0</v>
      </c>
      <c r="G9" s="157">
        <v>0</v>
      </c>
      <c r="H9" s="65" t="s">
        <v>273</v>
      </c>
      <c r="I9" s="364">
        <v>0</v>
      </c>
    </row>
    <row r="10" spans="1:9" ht="19.899999999999999" customHeight="1">
      <c r="A10" s="233" t="s">
        <v>903</v>
      </c>
      <c r="B10" s="63" t="s">
        <v>104</v>
      </c>
      <c r="C10" s="333">
        <v>122084432.48999999</v>
      </c>
      <c r="D10" s="155">
        <v>89379947.609999999</v>
      </c>
      <c r="E10" s="234">
        <v>73.2</v>
      </c>
      <c r="F10" s="64">
        <v>34593233.649999991</v>
      </c>
      <c r="G10" s="157">
        <v>30673231.759999998</v>
      </c>
      <c r="H10" s="65">
        <v>88.7</v>
      </c>
      <c r="I10" s="364">
        <v>34.299999999999997</v>
      </c>
    </row>
    <row r="11" spans="1:9" ht="19.899999999999999" customHeight="1">
      <c r="A11" s="233" t="s">
        <v>904</v>
      </c>
      <c r="B11" s="63" t="s">
        <v>105</v>
      </c>
      <c r="C11" s="333">
        <v>866958.46</v>
      </c>
      <c r="D11" s="155">
        <v>804511.55</v>
      </c>
      <c r="E11" s="234">
        <v>92.8</v>
      </c>
      <c r="F11" s="64">
        <v>0</v>
      </c>
      <c r="G11" s="157">
        <v>0</v>
      </c>
      <c r="H11" s="65" t="s">
        <v>273</v>
      </c>
      <c r="I11" s="364">
        <v>0</v>
      </c>
    </row>
    <row r="12" spans="1:9" ht="19.899999999999999" customHeight="1">
      <c r="A12" s="233" t="s">
        <v>905</v>
      </c>
      <c r="B12" s="63" t="s">
        <v>106</v>
      </c>
      <c r="C12" s="333">
        <v>14156673.619999999</v>
      </c>
      <c r="D12" s="155">
        <v>12114272.99</v>
      </c>
      <c r="E12" s="234">
        <v>85.6</v>
      </c>
      <c r="F12" s="64">
        <v>157592.28999999911</v>
      </c>
      <c r="G12" s="157">
        <v>157592.29000000097</v>
      </c>
      <c r="H12" s="65">
        <v>100</v>
      </c>
      <c r="I12" s="364">
        <v>1.3</v>
      </c>
    </row>
    <row r="13" spans="1:9" ht="19.899999999999999" customHeight="1">
      <c r="A13" s="233" t="s">
        <v>906</v>
      </c>
      <c r="B13" s="63" t="s">
        <v>107</v>
      </c>
      <c r="C13" s="333">
        <v>630237</v>
      </c>
      <c r="D13" s="155">
        <v>444937</v>
      </c>
      <c r="E13" s="234">
        <v>70.599999999999994</v>
      </c>
      <c r="F13" s="64">
        <v>76250</v>
      </c>
      <c r="G13" s="157">
        <v>26250</v>
      </c>
      <c r="H13" s="65">
        <v>34.4</v>
      </c>
      <c r="I13" s="364">
        <v>5.9</v>
      </c>
    </row>
    <row r="14" spans="1:9" ht="19.899999999999999" customHeight="1">
      <c r="A14" s="233" t="s">
        <v>907</v>
      </c>
      <c r="B14" s="63" t="s">
        <v>108</v>
      </c>
      <c r="C14" s="333">
        <v>159343.24</v>
      </c>
      <c r="D14" s="155">
        <v>15346.83</v>
      </c>
      <c r="E14" s="234">
        <v>9.6</v>
      </c>
      <c r="F14" s="64">
        <v>26359.880000000005</v>
      </c>
      <c r="G14" s="157">
        <v>7158.4</v>
      </c>
      <c r="H14" s="65">
        <v>27.2</v>
      </c>
      <c r="I14" s="364">
        <v>46.6</v>
      </c>
    </row>
    <row r="15" spans="1:9" ht="19.899999999999999" customHeight="1">
      <c r="A15" s="233" t="s">
        <v>909</v>
      </c>
      <c r="B15" s="63" t="s">
        <v>109</v>
      </c>
      <c r="C15" s="333">
        <v>1819289.1</v>
      </c>
      <c r="D15" s="155">
        <v>1025543.62</v>
      </c>
      <c r="E15" s="234">
        <v>56.4</v>
      </c>
      <c r="F15" s="64">
        <v>221690.64000000013</v>
      </c>
      <c r="G15" s="157">
        <v>227945.01</v>
      </c>
      <c r="H15" s="65">
        <v>102.8</v>
      </c>
      <c r="I15" s="364">
        <v>22.2</v>
      </c>
    </row>
    <row r="16" spans="1:9" ht="27">
      <c r="A16" s="233" t="s">
        <v>914</v>
      </c>
      <c r="B16" s="63" t="s">
        <v>112</v>
      </c>
      <c r="C16" s="333">
        <v>4308164.34</v>
      </c>
      <c r="D16" s="155">
        <v>3849036.15</v>
      </c>
      <c r="E16" s="234">
        <v>89.3</v>
      </c>
      <c r="F16" s="64">
        <v>14303</v>
      </c>
      <c r="G16" s="157">
        <v>5003</v>
      </c>
      <c r="H16" s="65">
        <v>35</v>
      </c>
      <c r="I16" s="364">
        <v>0.1</v>
      </c>
    </row>
    <row r="17" spans="1:9" ht="19.899999999999999" customHeight="1">
      <c r="A17" s="233" t="s">
        <v>918</v>
      </c>
      <c r="B17" s="63" t="s">
        <v>114</v>
      </c>
      <c r="C17" s="333">
        <v>190560459.28</v>
      </c>
      <c r="D17" s="155">
        <v>190567693.41999999</v>
      </c>
      <c r="E17" s="234">
        <v>100</v>
      </c>
      <c r="F17" s="64">
        <v>141289299.07999998</v>
      </c>
      <c r="G17" s="157">
        <v>141221559.28999999</v>
      </c>
      <c r="H17" s="65">
        <v>100</v>
      </c>
      <c r="I17" s="364">
        <v>74.099999999999994</v>
      </c>
    </row>
    <row r="18" spans="1:9" ht="19.899999999999999" customHeight="1">
      <c r="A18" s="233" t="s">
        <v>919</v>
      </c>
      <c r="B18" s="63" t="s">
        <v>115</v>
      </c>
      <c r="C18" s="333">
        <v>1117582033.6300001</v>
      </c>
      <c r="D18" s="155">
        <v>1102678333.98</v>
      </c>
      <c r="E18" s="234">
        <v>98.7</v>
      </c>
      <c r="F18" s="64">
        <v>1063405080.1900001</v>
      </c>
      <c r="G18" s="157">
        <v>1059026876.49</v>
      </c>
      <c r="H18" s="65">
        <v>99.6</v>
      </c>
      <c r="I18" s="364">
        <v>96</v>
      </c>
    </row>
    <row r="19" spans="1:9" ht="19.899999999999999" customHeight="1">
      <c r="A19" s="233" t="s">
        <v>921</v>
      </c>
      <c r="B19" s="63" t="s">
        <v>116</v>
      </c>
      <c r="C19" s="333">
        <v>4095840</v>
      </c>
      <c r="D19" s="155">
        <v>1033671.29</v>
      </c>
      <c r="E19" s="234">
        <v>25.2</v>
      </c>
      <c r="F19" s="64">
        <v>0</v>
      </c>
      <c r="G19" s="157">
        <v>15294</v>
      </c>
      <c r="H19" s="65" t="s">
        <v>273</v>
      </c>
      <c r="I19" s="364">
        <v>1.5</v>
      </c>
    </row>
    <row r="20" spans="1:9" ht="19.899999999999999" customHeight="1">
      <c r="A20" s="233" t="s">
        <v>922</v>
      </c>
      <c r="B20" s="63" t="s">
        <v>117</v>
      </c>
      <c r="C20" s="333">
        <v>1853173205.49</v>
      </c>
      <c r="D20" s="155">
        <v>1795333588.1400001</v>
      </c>
      <c r="E20" s="234">
        <v>96.9</v>
      </c>
      <c r="F20" s="64">
        <v>1830151866.25</v>
      </c>
      <c r="G20" s="157">
        <v>1778518553</v>
      </c>
      <c r="H20" s="65">
        <v>97.2</v>
      </c>
      <c r="I20" s="364">
        <v>99.1</v>
      </c>
    </row>
    <row r="21" spans="1:9" ht="27">
      <c r="A21" s="233" t="s">
        <v>923</v>
      </c>
      <c r="B21" s="63" t="s">
        <v>118</v>
      </c>
      <c r="C21" s="333">
        <v>296388.69</v>
      </c>
      <c r="D21" s="155">
        <v>243373.82</v>
      </c>
      <c r="E21" s="234">
        <v>82.1</v>
      </c>
      <c r="F21" s="64">
        <v>211317.85</v>
      </c>
      <c r="G21" s="157">
        <v>158250.95000000001</v>
      </c>
      <c r="H21" s="65">
        <v>74.900000000000006</v>
      </c>
      <c r="I21" s="364">
        <v>65</v>
      </c>
    </row>
    <row r="22" spans="1:9" ht="19.899999999999999" customHeight="1">
      <c r="A22" s="233" t="s">
        <v>924</v>
      </c>
      <c r="B22" s="63" t="s">
        <v>119</v>
      </c>
      <c r="C22" s="333">
        <v>183329910.44</v>
      </c>
      <c r="D22" s="155">
        <v>155238199.80000001</v>
      </c>
      <c r="E22" s="234">
        <v>84.7</v>
      </c>
      <c r="F22" s="64">
        <v>183329910.44</v>
      </c>
      <c r="G22" s="157">
        <v>155238199.80000001</v>
      </c>
      <c r="H22" s="65">
        <v>84.7</v>
      </c>
      <c r="I22" s="364">
        <v>100</v>
      </c>
    </row>
    <row r="23" spans="1:9" ht="19.899999999999999" customHeight="1">
      <c r="A23" s="233" t="s">
        <v>925</v>
      </c>
      <c r="B23" s="63" t="s">
        <v>120</v>
      </c>
      <c r="C23" s="333">
        <v>161236494.40000001</v>
      </c>
      <c r="D23" s="155">
        <v>148564837.27000001</v>
      </c>
      <c r="E23" s="234">
        <v>92.1</v>
      </c>
      <c r="F23" s="64">
        <v>41979689.340000004</v>
      </c>
      <c r="G23" s="157">
        <v>41731881.500000015</v>
      </c>
      <c r="H23" s="65">
        <v>99.4</v>
      </c>
      <c r="I23" s="364">
        <v>28.1</v>
      </c>
    </row>
    <row r="24" spans="1:9" ht="27">
      <c r="A24" s="233" t="s">
        <v>926</v>
      </c>
      <c r="B24" s="63" t="s">
        <v>121</v>
      </c>
      <c r="C24" s="333">
        <v>18896931.469999999</v>
      </c>
      <c r="D24" s="155">
        <v>14430310.67</v>
      </c>
      <c r="E24" s="234">
        <v>76.400000000000006</v>
      </c>
      <c r="F24" s="64">
        <v>476158.66999999806</v>
      </c>
      <c r="G24" s="157">
        <v>452630.6799999997</v>
      </c>
      <c r="H24" s="65">
        <v>95.1</v>
      </c>
      <c r="I24" s="364">
        <v>3.1</v>
      </c>
    </row>
    <row r="25" spans="1:9" ht="27">
      <c r="A25" s="233" t="s">
        <v>927</v>
      </c>
      <c r="B25" s="63" t="s">
        <v>122</v>
      </c>
      <c r="C25" s="333">
        <v>7196374.7599999998</v>
      </c>
      <c r="D25" s="155">
        <v>5170922.1399999997</v>
      </c>
      <c r="E25" s="234">
        <v>71.900000000000006</v>
      </c>
      <c r="F25" s="64">
        <v>314501.43999999948</v>
      </c>
      <c r="G25" s="157">
        <v>297662</v>
      </c>
      <c r="H25" s="65">
        <v>94.6</v>
      </c>
      <c r="I25" s="364">
        <v>5.8</v>
      </c>
    </row>
    <row r="26" spans="1:9" ht="40.5">
      <c r="A26" s="233" t="s">
        <v>928</v>
      </c>
      <c r="B26" s="63" t="s">
        <v>123</v>
      </c>
      <c r="C26" s="333">
        <v>75200</v>
      </c>
      <c r="D26" s="155">
        <v>73277.509999999995</v>
      </c>
      <c r="E26" s="234">
        <v>97.4</v>
      </c>
      <c r="F26" s="64">
        <v>75200</v>
      </c>
      <c r="G26" s="157">
        <v>73277.509999999995</v>
      </c>
      <c r="H26" s="65">
        <v>97.4</v>
      </c>
      <c r="I26" s="364">
        <v>100</v>
      </c>
    </row>
    <row r="27" spans="1:9" ht="19.899999999999999" customHeight="1">
      <c r="A27" s="235" t="s">
        <v>929</v>
      </c>
      <c r="B27" s="295" t="s">
        <v>124</v>
      </c>
      <c r="C27" s="335">
        <v>33842626.719999999</v>
      </c>
      <c r="D27" s="149">
        <v>25426055.530000001</v>
      </c>
      <c r="E27" s="238">
        <v>75.099999999999994</v>
      </c>
      <c r="F27" s="329">
        <v>720</v>
      </c>
      <c r="G27" s="130">
        <v>0</v>
      </c>
      <c r="H27" s="377">
        <v>0</v>
      </c>
      <c r="I27" s="365">
        <v>0</v>
      </c>
    </row>
    <row r="29" spans="1:9">
      <c r="A29" s="90" t="s">
        <v>1158</v>
      </c>
      <c r="B29" s="89"/>
      <c r="C29" s="89"/>
      <c r="D29" s="89"/>
      <c r="E29" s="89"/>
      <c r="F29" s="89"/>
      <c r="G29" s="89"/>
      <c r="H29" s="89"/>
      <c r="I29" s="89"/>
    </row>
    <row r="30" spans="1:9">
      <c r="C30" s="87" t="s">
        <v>3</v>
      </c>
    </row>
    <row r="31" spans="1:9">
      <c r="C31" s="80" t="s">
        <v>3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4"/>
  <sheetViews>
    <sheetView showGridLines="0" zoomScaleNormal="100" workbookViewId="0">
      <selection activeCell="O3" sqref="O3"/>
    </sheetView>
  </sheetViews>
  <sheetFormatPr defaultRowHeight="12.75"/>
  <cols>
    <col min="1" max="1" width="5.28515625" customWidth="1"/>
    <col min="2" max="2" width="40.42578125" customWidth="1"/>
    <col min="3" max="4" width="13.42578125" bestFit="1" customWidth="1"/>
    <col min="5" max="5" width="15.28515625" customWidth="1"/>
    <col min="6" max="6" width="11.7109375" bestFit="1" customWidth="1"/>
    <col min="7" max="7" width="13.85546875" customWidth="1"/>
    <col min="8" max="8" width="14.28515625" customWidth="1"/>
    <col min="9" max="9" width="12.5703125" bestFit="1" customWidth="1"/>
    <col min="10" max="10" width="17" customWidth="1"/>
  </cols>
  <sheetData>
    <row r="1" spans="1:10">
      <c r="A1" s="1889" t="s">
        <v>376</v>
      </c>
      <c r="B1" s="1889"/>
      <c r="C1" s="1889"/>
      <c r="D1" s="1889"/>
      <c r="E1" s="1889"/>
      <c r="F1" s="1889"/>
      <c r="G1" s="1889"/>
      <c r="H1" s="1889"/>
      <c r="I1" s="1889"/>
      <c r="J1" s="1889"/>
    </row>
    <row r="2" spans="1:10" ht="13.5">
      <c r="A2" s="181"/>
      <c r="B2" s="179"/>
      <c r="C2" s="180"/>
      <c r="D2" s="180"/>
      <c r="E2" s="180"/>
      <c r="F2" s="180"/>
      <c r="G2" s="180"/>
      <c r="H2" s="180"/>
      <c r="I2" s="180"/>
      <c r="J2" s="180"/>
    </row>
    <row r="3" spans="1:10" ht="13.5">
      <c r="A3" s="1899" t="s">
        <v>881</v>
      </c>
      <c r="B3" s="1902" t="s">
        <v>68</v>
      </c>
      <c r="C3" s="1899" t="s">
        <v>0</v>
      </c>
      <c r="D3" s="2129" t="s">
        <v>21</v>
      </c>
      <c r="E3" s="2129"/>
      <c r="F3" s="2129"/>
      <c r="G3" s="2129"/>
      <c r="H3" s="2129"/>
      <c r="I3" s="2129"/>
      <c r="J3" s="2130"/>
    </row>
    <row r="4" spans="1:10" ht="13.5">
      <c r="A4" s="1900"/>
      <c r="B4" s="1903"/>
      <c r="C4" s="1900"/>
      <c r="D4" s="2131" t="s">
        <v>739</v>
      </c>
      <c r="E4" s="2133" t="s">
        <v>734</v>
      </c>
      <c r="F4" s="2134"/>
      <c r="G4" s="2134"/>
      <c r="H4" s="2135"/>
      <c r="I4" s="2136" t="s">
        <v>740</v>
      </c>
      <c r="J4" s="571" t="s">
        <v>734</v>
      </c>
    </row>
    <row r="5" spans="1:10" ht="13.15" customHeight="1">
      <c r="A5" s="1900"/>
      <c r="B5" s="1903"/>
      <c r="C5" s="1900"/>
      <c r="D5" s="2131"/>
      <c r="E5" s="2132" t="s">
        <v>1162</v>
      </c>
      <c r="F5" s="2131" t="s">
        <v>1163</v>
      </c>
      <c r="G5" s="2131" t="s">
        <v>1164</v>
      </c>
      <c r="H5" s="2132" t="s">
        <v>976</v>
      </c>
      <c r="I5" s="2136"/>
      <c r="J5" s="2139" t="s">
        <v>977</v>
      </c>
    </row>
    <row r="6" spans="1:10">
      <c r="A6" s="1900"/>
      <c r="B6" s="1903"/>
      <c r="C6" s="2128"/>
      <c r="D6" s="2132"/>
      <c r="E6" s="2138"/>
      <c r="F6" s="2132"/>
      <c r="G6" s="2132"/>
      <c r="H6" s="2138"/>
      <c r="I6" s="2137"/>
      <c r="J6" s="2140"/>
    </row>
    <row r="7" spans="1:10" ht="13.5">
      <c r="A7" s="1901"/>
      <c r="B7" s="1904"/>
      <c r="C7" s="2141" t="s">
        <v>885</v>
      </c>
      <c r="D7" s="2142"/>
      <c r="E7" s="2142"/>
      <c r="F7" s="2142"/>
      <c r="G7" s="2142"/>
      <c r="H7" s="2142"/>
      <c r="I7" s="2142"/>
      <c r="J7" s="2143"/>
    </row>
    <row r="8" spans="1:10">
      <c r="A8" s="398" t="s">
        <v>887</v>
      </c>
      <c r="B8" s="606" t="s">
        <v>888</v>
      </c>
      <c r="C8" s="398" t="s">
        <v>889</v>
      </c>
      <c r="D8" s="398" t="s">
        <v>890</v>
      </c>
      <c r="E8" s="398" t="s">
        <v>891</v>
      </c>
      <c r="F8" s="398" t="s">
        <v>892</v>
      </c>
      <c r="G8" s="398" t="s">
        <v>893</v>
      </c>
      <c r="H8" s="398" t="s">
        <v>894</v>
      </c>
      <c r="I8" s="398" t="s">
        <v>932</v>
      </c>
      <c r="J8" s="428" t="s">
        <v>966</v>
      </c>
    </row>
    <row r="9" spans="1:10" ht="19.899999999999999" customHeight="1">
      <c r="A9" s="387"/>
      <c r="B9" s="1565" t="s">
        <v>933</v>
      </c>
      <c r="C9" s="414">
        <v>152788989425.54001</v>
      </c>
      <c r="D9" s="183">
        <v>129536091400.97</v>
      </c>
      <c r="E9" s="183">
        <v>47265734798.440002</v>
      </c>
      <c r="F9" s="183">
        <v>9311394088.5900002</v>
      </c>
      <c r="G9" s="183">
        <v>40860445591.82</v>
      </c>
      <c r="H9" s="183">
        <v>847494179.77999997</v>
      </c>
      <c r="I9" s="183">
        <v>23252898024.57</v>
      </c>
      <c r="J9" s="415">
        <v>6485626878.7799997</v>
      </c>
    </row>
    <row r="10" spans="1:10" ht="19.899999999999999" customHeight="1">
      <c r="A10" s="389" t="s">
        <v>895</v>
      </c>
      <c r="B10" s="404" t="s">
        <v>99</v>
      </c>
      <c r="C10" s="416">
        <v>3411183712.2399998</v>
      </c>
      <c r="D10" s="186">
        <v>1528572320.71</v>
      </c>
      <c r="E10" s="186">
        <v>61439548.200000003</v>
      </c>
      <c r="F10" s="186">
        <v>26913635.780000001</v>
      </c>
      <c r="G10" s="186">
        <v>5446060.1900000004</v>
      </c>
      <c r="H10" s="186">
        <v>1548535.27</v>
      </c>
      <c r="I10" s="186">
        <v>1882611391.53</v>
      </c>
      <c r="J10" s="417">
        <v>786535700.49000001</v>
      </c>
    </row>
    <row r="11" spans="1:10" ht="19.899999999999999" customHeight="1">
      <c r="A11" s="389" t="s">
        <v>896</v>
      </c>
      <c r="B11" s="404" t="s">
        <v>100</v>
      </c>
      <c r="C11" s="416">
        <v>17751174.899999999</v>
      </c>
      <c r="D11" s="186">
        <v>17297862.440000001</v>
      </c>
      <c r="E11" s="186">
        <v>4051153.44</v>
      </c>
      <c r="F11" s="186">
        <v>0</v>
      </c>
      <c r="G11" s="186">
        <v>45291.64</v>
      </c>
      <c r="H11" s="186">
        <v>422477.86</v>
      </c>
      <c r="I11" s="186">
        <v>453312.46</v>
      </c>
      <c r="J11" s="417">
        <v>0</v>
      </c>
    </row>
    <row r="12" spans="1:10" ht="19.899999999999999" customHeight="1">
      <c r="A12" s="389" t="s">
        <v>897</v>
      </c>
      <c r="B12" s="404" t="s">
        <v>101</v>
      </c>
      <c r="C12" s="416">
        <v>1274406.58</v>
      </c>
      <c r="D12" s="186">
        <v>575879.17000000004</v>
      </c>
      <c r="E12" s="186">
        <v>99268.24</v>
      </c>
      <c r="F12" s="186">
        <v>5000</v>
      </c>
      <c r="G12" s="186">
        <v>1049.21</v>
      </c>
      <c r="H12" s="186">
        <v>0</v>
      </c>
      <c r="I12" s="186">
        <v>698527.41</v>
      </c>
      <c r="J12" s="417">
        <v>254232.58</v>
      </c>
    </row>
    <row r="13" spans="1:10" ht="19.899999999999999" customHeight="1">
      <c r="A13" s="389" t="s">
        <v>898</v>
      </c>
      <c r="B13" s="404" t="s">
        <v>126</v>
      </c>
      <c r="C13" s="416">
        <v>54168.92</v>
      </c>
      <c r="D13" s="186">
        <v>54168.92</v>
      </c>
      <c r="E13" s="186">
        <v>6666</v>
      </c>
      <c r="F13" s="186">
        <v>0</v>
      </c>
      <c r="G13" s="186">
        <v>0</v>
      </c>
      <c r="H13" s="186">
        <v>0</v>
      </c>
      <c r="I13" s="186">
        <v>0</v>
      </c>
      <c r="J13" s="417">
        <v>0</v>
      </c>
    </row>
    <row r="14" spans="1:10" ht="19.899999999999999" customHeight="1">
      <c r="A14" s="389" t="s">
        <v>899</v>
      </c>
      <c r="B14" s="404" t="s">
        <v>102</v>
      </c>
      <c r="C14" s="416">
        <v>14429623.9</v>
      </c>
      <c r="D14" s="186">
        <v>2623983.3199999998</v>
      </c>
      <c r="E14" s="186">
        <v>953958.59</v>
      </c>
      <c r="F14" s="186">
        <v>30000</v>
      </c>
      <c r="G14" s="186">
        <v>3415.59</v>
      </c>
      <c r="H14" s="186">
        <v>596243.61</v>
      </c>
      <c r="I14" s="186">
        <v>11805640.58</v>
      </c>
      <c r="J14" s="417">
        <v>5468195.1299999999</v>
      </c>
    </row>
    <row r="15" spans="1:10" ht="27">
      <c r="A15" s="389" t="s">
        <v>900</v>
      </c>
      <c r="B15" s="404" t="s">
        <v>103</v>
      </c>
      <c r="C15" s="416">
        <v>627126181.5</v>
      </c>
      <c r="D15" s="186">
        <v>426824871.31</v>
      </c>
      <c r="E15" s="186">
        <v>102521170.09999999</v>
      </c>
      <c r="F15" s="186">
        <v>15484126.609999999</v>
      </c>
      <c r="G15" s="186">
        <v>922906.75</v>
      </c>
      <c r="H15" s="186">
        <v>67721.399999999994</v>
      </c>
      <c r="I15" s="186">
        <v>200301310.19</v>
      </c>
      <c r="J15" s="417">
        <v>68793684.819999993</v>
      </c>
    </row>
    <row r="16" spans="1:10" ht="19.899999999999999" customHeight="1">
      <c r="A16" s="389" t="s">
        <v>901</v>
      </c>
      <c r="B16" s="404" t="s">
        <v>216</v>
      </c>
      <c r="C16" s="416">
        <v>22996276.07</v>
      </c>
      <c r="D16" s="186">
        <v>11351534.529999999</v>
      </c>
      <c r="E16" s="186">
        <v>1662894.02</v>
      </c>
      <c r="F16" s="186">
        <v>259091.21</v>
      </c>
      <c r="G16" s="186">
        <v>1130.49</v>
      </c>
      <c r="H16" s="186">
        <v>330459.81</v>
      </c>
      <c r="I16" s="186">
        <v>11644741.539999999</v>
      </c>
      <c r="J16" s="417">
        <v>6080572.5899999999</v>
      </c>
    </row>
    <row r="17" spans="1:10" ht="19.899999999999999" customHeight="1">
      <c r="A17" s="389" t="s">
        <v>902</v>
      </c>
      <c r="B17" s="404" t="s">
        <v>354</v>
      </c>
      <c r="C17" s="416">
        <v>1223703.04</v>
      </c>
      <c r="D17" s="186">
        <v>1106228.9099999999</v>
      </c>
      <c r="E17" s="186">
        <v>626166.79</v>
      </c>
      <c r="F17" s="186">
        <v>0</v>
      </c>
      <c r="G17" s="186">
        <v>10668.21</v>
      </c>
      <c r="H17" s="186">
        <v>0</v>
      </c>
      <c r="I17" s="186">
        <v>117474.13</v>
      </c>
      <c r="J17" s="417">
        <v>0</v>
      </c>
    </row>
    <row r="18" spans="1:10" ht="19.899999999999999" customHeight="1">
      <c r="A18" s="389" t="s">
        <v>903</v>
      </c>
      <c r="B18" s="404" t="s">
        <v>104</v>
      </c>
      <c r="C18" s="416">
        <v>11448031542.870001</v>
      </c>
      <c r="D18" s="186">
        <v>3869122367.1500001</v>
      </c>
      <c r="E18" s="186">
        <v>125124239.45</v>
      </c>
      <c r="F18" s="186">
        <v>688446820.73000002</v>
      </c>
      <c r="G18" s="186">
        <v>1660106.23</v>
      </c>
      <c r="H18" s="186">
        <v>12300727.1</v>
      </c>
      <c r="I18" s="186">
        <v>7578909175.7200003</v>
      </c>
      <c r="J18" s="417">
        <v>1055140391.89</v>
      </c>
    </row>
    <row r="19" spans="1:10" ht="19.899999999999999" customHeight="1">
      <c r="A19" s="389" t="s">
        <v>904</v>
      </c>
      <c r="B19" s="404" t="s">
        <v>105</v>
      </c>
      <c r="C19" s="416">
        <v>508892620.95999998</v>
      </c>
      <c r="D19" s="186">
        <v>74346966.099999994</v>
      </c>
      <c r="E19" s="186">
        <v>15474832.82</v>
      </c>
      <c r="F19" s="186">
        <v>5469648.6299999999</v>
      </c>
      <c r="G19" s="186">
        <v>92708.51</v>
      </c>
      <c r="H19" s="186">
        <v>8184847.1100000003</v>
      </c>
      <c r="I19" s="186">
        <v>434545654.86000001</v>
      </c>
      <c r="J19" s="417">
        <v>306671549.00999999</v>
      </c>
    </row>
    <row r="20" spans="1:10" ht="19.899999999999999" customHeight="1">
      <c r="A20" s="389" t="s">
        <v>905</v>
      </c>
      <c r="B20" s="404" t="s">
        <v>106</v>
      </c>
      <c r="C20" s="416">
        <v>4145066228.75</v>
      </c>
      <c r="D20" s="186">
        <v>1859331665.9000001</v>
      </c>
      <c r="E20" s="186">
        <v>141837712.97</v>
      </c>
      <c r="F20" s="186">
        <v>68534412.959999993</v>
      </c>
      <c r="G20" s="186">
        <v>2557303.6</v>
      </c>
      <c r="H20" s="186">
        <v>2067503.05</v>
      </c>
      <c r="I20" s="186">
        <v>2285734562.8499999</v>
      </c>
      <c r="J20" s="417">
        <v>466950237.13</v>
      </c>
    </row>
    <row r="21" spans="1:10" ht="19.899999999999999" customHeight="1">
      <c r="A21" s="389" t="s">
        <v>906</v>
      </c>
      <c r="B21" s="404" t="s">
        <v>107</v>
      </c>
      <c r="C21" s="416">
        <v>431908687.77999997</v>
      </c>
      <c r="D21" s="186">
        <v>294170255.72000003</v>
      </c>
      <c r="E21" s="186">
        <v>40429768.850000001</v>
      </c>
      <c r="F21" s="186">
        <v>6306456.5599999996</v>
      </c>
      <c r="G21" s="186">
        <v>640836.46</v>
      </c>
      <c r="H21" s="186">
        <v>4338375.16</v>
      </c>
      <c r="I21" s="186">
        <v>137738432.06</v>
      </c>
      <c r="J21" s="417">
        <v>56565663.979999997</v>
      </c>
    </row>
    <row r="22" spans="1:10" ht="19.899999999999999" customHeight="1">
      <c r="A22" s="389" t="s">
        <v>907</v>
      </c>
      <c r="B22" s="404" t="s">
        <v>108</v>
      </c>
      <c r="C22" s="416">
        <v>29285723.149999999</v>
      </c>
      <c r="D22" s="186">
        <v>15522203.619999999</v>
      </c>
      <c r="E22" s="186">
        <v>669523.12</v>
      </c>
      <c r="F22" s="186">
        <v>62241.18</v>
      </c>
      <c r="G22" s="186">
        <v>144.47999999999999</v>
      </c>
      <c r="H22" s="186">
        <v>3445957.78</v>
      </c>
      <c r="I22" s="186">
        <v>13763519.529999999</v>
      </c>
      <c r="J22" s="417">
        <v>11609941.52</v>
      </c>
    </row>
    <row r="23" spans="1:10" ht="19.899999999999999" customHeight="1">
      <c r="A23" s="389" t="s">
        <v>908</v>
      </c>
      <c r="B23" s="404" t="s">
        <v>217</v>
      </c>
      <c r="C23" s="416">
        <v>11895366.49</v>
      </c>
      <c r="D23" s="186">
        <v>8043070.4299999997</v>
      </c>
      <c r="E23" s="186">
        <v>644733.98</v>
      </c>
      <c r="F23" s="186">
        <v>4529793.78</v>
      </c>
      <c r="G23" s="186">
        <v>1500394.67</v>
      </c>
      <c r="H23" s="186">
        <v>481249.81</v>
      </c>
      <c r="I23" s="186">
        <v>3852296.06</v>
      </c>
      <c r="J23" s="417">
        <v>2391225.5099999998</v>
      </c>
    </row>
    <row r="24" spans="1:10" ht="19.899999999999999" customHeight="1">
      <c r="A24" s="389" t="s">
        <v>909</v>
      </c>
      <c r="B24" s="404" t="s">
        <v>109</v>
      </c>
      <c r="C24" s="416">
        <v>12554171832.73</v>
      </c>
      <c r="D24" s="186">
        <v>12081379595.870001</v>
      </c>
      <c r="E24" s="186">
        <v>8911734714.5200005</v>
      </c>
      <c r="F24" s="186">
        <v>38467398.5</v>
      </c>
      <c r="G24" s="186">
        <v>581857799.21000004</v>
      </c>
      <c r="H24" s="186">
        <v>29437588.989999998</v>
      </c>
      <c r="I24" s="186">
        <v>472792236.86000001</v>
      </c>
      <c r="J24" s="417">
        <v>156965764.66999999</v>
      </c>
    </row>
    <row r="25" spans="1:10" ht="27">
      <c r="A25" s="389" t="s">
        <v>910</v>
      </c>
      <c r="B25" s="404" t="s">
        <v>110</v>
      </c>
      <c r="C25" s="416">
        <v>8910863.1899999995</v>
      </c>
      <c r="D25" s="186">
        <v>8910863.1899999995</v>
      </c>
      <c r="E25" s="186">
        <v>4697164.09</v>
      </c>
      <c r="F25" s="186">
        <v>0</v>
      </c>
      <c r="G25" s="186">
        <v>2118079.1</v>
      </c>
      <c r="H25" s="186">
        <v>0</v>
      </c>
      <c r="I25" s="186">
        <v>0</v>
      </c>
      <c r="J25" s="417">
        <v>0</v>
      </c>
    </row>
    <row r="26" spans="1:10" ht="19.899999999999999" customHeight="1">
      <c r="A26" s="389" t="s">
        <v>911</v>
      </c>
      <c r="B26" s="404" t="s">
        <v>111</v>
      </c>
      <c r="C26" s="416">
        <v>1426681.42</v>
      </c>
      <c r="D26" s="186">
        <v>1332183.68</v>
      </c>
      <c r="E26" s="186">
        <v>155061.16</v>
      </c>
      <c r="F26" s="186">
        <v>6000</v>
      </c>
      <c r="G26" s="186">
        <v>528916.93999999994</v>
      </c>
      <c r="H26" s="186">
        <v>0</v>
      </c>
      <c r="I26" s="186">
        <v>94497.74</v>
      </c>
      <c r="J26" s="417">
        <v>0</v>
      </c>
    </row>
    <row r="27" spans="1:10" ht="19.899999999999999" customHeight="1">
      <c r="A27" s="389" t="s">
        <v>912</v>
      </c>
      <c r="B27" s="404" t="s">
        <v>355</v>
      </c>
      <c r="C27" s="416">
        <v>3862.65</v>
      </c>
      <c r="D27" s="186">
        <v>3862.65</v>
      </c>
      <c r="E27" s="186">
        <v>3862.65</v>
      </c>
      <c r="F27" s="186">
        <v>0</v>
      </c>
      <c r="G27" s="186">
        <v>0</v>
      </c>
      <c r="H27" s="186">
        <v>0</v>
      </c>
      <c r="I27" s="186">
        <v>0</v>
      </c>
      <c r="J27" s="417">
        <v>0</v>
      </c>
    </row>
    <row r="28" spans="1:10" ht="13.5">
      <c r="A28" s="389" t="s">
        <v>914</v>
      </c>
      <c r="B28" s="404" t="s">
        <v>112</v>
      </c>
      <c r="C28" s="416">
        <v>1422188135.26</v>
      </c>
      <c r="D28" s="186">
        <v>922540089.28999996</v>
      </c>
      <c r="E28" s="186">
        <v>342072194.32999998</v>
      </c>
      <c r="F28" s="186">
        <v>47644657.729999997</v>
      </c>
      <c r="G28" s="186">
        <v>65154382.939999998</v>
      </c>
      <c r="H28" s="186">
        <v>3403901.95</v>
      </c>
      <c r="I28" s="186">
        <v>499648045.97000003</v>
      </c>
      <c r="J28" s="417">
        <v>43441744.159999996</v>
      </c>
    </row>
    <row r="29" spans="1:10" ht="19.899999999999999" customHeight="1">
      <c r="A29" s="389" t="s">
        <v>915</v>
      </c>
      <c r="B29" s="404" t="s">
        <v>113</v>
      </c>
      <c r="C29" s="416">
        <v>390039.44</v>
      </c>
      <c r="D29" s="186">
        <v>290039.44</v>
      </c>
      <c r="E29" s="186">
        <v>222.73</v>
      </c>
      <c r="F29" s="186">
        <v>0</v>
      </c>
      <c r="G29" s="186">
        <v>0</v>
      </c>
      <c r="H29" s="186">
        <v>0</v>
      </c>
      <c r="I29" s="186">
        <v>100000</v>
      </c>
      <c r="J29" s="417">
        <v>0</v>
      </c>
    </row>
    <row r="30" spans="1:10" ht="40.5">
      <c r="A30" s="389" t="s">
        <v>916</v>
      </c>
      <c r="B30" s="404" t="s">
        <v>356</v>
      </c>
      <c r="C30" s="416">
        <v>2707829.49</v>
      </c>
      <c r="D30" s="186">
        <v>2707829.49</v>
      </c>
      <c r="E30" s="186">
        <v>814268.46</v>
      </c>
      <c r="F30" s="186">
        <v>0</v>
      </c>
      <c r="G30" s="186">
        <v>961.6</v>
      </c>
      <c r="H30" s="186">
        <v>0</v>
      </c>
      <c r="I30" s="186">
        <v>0</v>
      </c>
      <c r="J30" s="417">
        <v>0</v>
      </c>
    </row>
    <row r="31" spans="1:10" ht="19.899999999999999" customHeight="1">
      <c r="A31" s="389" t="s">
        <v>917</v>
      </c>
      <c r="B31" s="404" t="s">
        <v>357</v>
      </c>
      <c r="C31" s="416">
        <v>492039122.49000001</v>
      </c>
      <c r="D31" s="186">
        <v>486883185.22000003</v>
      </c>
      <c r="E31" s="186">
        <v>0</v>
      </c>
      <c r="F31" s="186">
        <v>0</v>
      </c>
      <c r="G31" s="186">
        <v>0</v>
      </c>
      <c r="H31" s="186">
        <v>0</v>
      </c>
      <c r="I31" s="186">
        <v>5155937.2699999996</v>
      </c>
      <c r="J31" s="417">
        <v>0</v>
      </c>
    </row>
    <row r="32" spans="1:10" ht="19.899999999999999" customHeight="1">
      <c r="A32" s="389" t="s">
        <v>918</v>
      </c>
      <c r="B32" s="404" t="s">
        <v>114</v>
      </c>
      <c r="C32" s="416">
        <v>422474395.06999999</v>
      </c>
      <c r="D32" s="186">
        <v>388065532.16000003</v>
      </c>
      <c r="E32" s="186">
        <v>80195.289999999994</v>
      </c>
      <c r="F32" s="186">
        <v>3194588.57</v>
      </c>
      <c r="G32" s="186">
        <v>572679.37</v>
      </c>
      <c r="H32" s="186">
        <v>3367740.05</v>
      </c>
      <c r="I32" s="186">
        <v>34408862.909999996</v>
      </c>
      <c r="J32" s="417">
        <v>881342.83</v>
      </c>
    </row>
    <row r="33" spans="1:10" ht="19.899999999999999" customHeight="1">
      <c r="A33" s="389" t="s">
        <v>919</v>
      </c>
      <c r="B33" s="404" t="s">
        <v>115</v>
      </c>
      <c r="C33" s="416">
        <v>45077885276.18</v>
      </c>
      <c r="D33" s="186">
        <v>42899956375.440002</v>
      </c>
      <c r="E33" s="186">
        <v>30668886454.02</v>
      </c>
      <c r="F33" s="186">
        <v>4225047415.8800001</v>
      </c>
      <c r="G33" s="186">
        <v>904144463.08000004</v>
      </c>
      <c r="H33" s="186">
        <v>252099712.49000001</v>
      </c>
      <c r="I33" s="186">
        <v>2177928900.7399998</v>
      </c>
      <c r="J33" s="417">
        <v>398214087.95999998</v>
      </c>
    </row>
    <row r="34" spans="1:10" ht="19.899999999999999" customHeight="1">
      <c r="A34" s="389" t="s">
        <v>921</v>
      </c>
      <c r="B34" s="404" t="s">
        <v>116</v>
      </c>
      <c r="C34" s="416">
        <v>802764256.26999998</v>
      </c>
      <c r="D34" s="186">
        <v>644561160.12</v>
      </c>
      <c r="E34" s="186">
        <v>200198348.28999999</v>
      </c>
      <c r="F34" s="186">
        <v>124845871.54000001</v>
      </c>
      <c r="G34" s="186">
        <v>5950306.7199999997</v>
      </c>
      <c r="H34" s="186">
        <v>1916965.25</v>
      </c>
      <c r="I34" s="186">
        <v>158203096.15000001</v>
      </c>
      <c r="J34" s="417">
        <v>26890929.129999999</v>
      </c>
    </row>
    <row r="35" spans="1:10" ht="19.899999999999999" customHeight="1">
      <c r="A35" s="389" t="s">
        <v>922</v>
      </c>
      <c r="B35" s="404" t="s">
        <v>117</v>
      </c>
      <c r="C35" s="416">
        <v>7205252108.5299997</v>
      </c>
      <c r="D35" s="186">
        <v>7043277938.0900002</v>
      </c>
      <c r="E35" s="186">
        <v>2765388092.5599999</v>
      </c>
      <c r="F35" s="186">
        <v>196461384.94</v>
      </c>
      <c r="G35" s="186">
        <v>2038660690.9100001</v>
      </c>
      <c r="H35" s="186">
        <v>175652970.19999999</v>
      </c>
      <c r="I35" s="186">
        <v>161974170.44</v>
      </c>
      <c r="J35" s="417">
        <v>41322703.390000001</v>
      </c>
    </row>
    <row r="36" spans="1:10" ht="13.5">
      <c r="A36" s="389" t="s">
        <v>923</v>
      </c>
      <c r="B36" s="404" t="s">
        <v>118</v>
      </c>
      <c r="C36" s="416">
        <v>336427918.48000002</v>
      </c>
      <c r="D36" s="186">
        <v>264031081.34999999</v>
      </c>
      <c r="E36" s="186">
        <v>28543246.98</v>
      </c>
      <c r="F36" s="186">
        <v>22901888.649999999</v>
      </c>
      <c r="G36" s="186">
        <v>1973456.75</v>
      </c>
      <c r="H36" s="186">
        <v>181237035.19999999</v>
      </c>
      <c r="I36" s="186">
        <v>72396837.129999995</v>
      </c>
      <c r="J36" s="417">
        <v>44318164.479999997</v>
      </c>
    </row>
    <row r="37" spans="1:10" ht="19.899999999999999" customHeight="1">
      <c r="A37" s="389" t="s">
        <v>924</v>
      </c>
      <c r="B37" s="404" t="s">
        <v>119</v>
      </c>
      <c r="C37" s="416">
        <v>1288426460.21</v>
      </c>
      <c r="D37" s="186">
        <v>1276874606.53</v>
      </c>
      <c r="E37" s="186">
        <v>901672187.55999994</v>
      </c>
      <c r="F37" s="186">
        <v>48262093.149999999</v>
      </c>
      <c r="G37" s="186">
        <v>246787925.52000001</v>
      </c>
      <c r="H37" s="186">
        <v>3774254.23</v>
      </c>
      <c r="I37" s="186">
        <v>11551853.68</v>
      </c>
      <c r="J37" s="417">
        <v>3067827.47</v>
      </c>
    </row>
    <row r="38" spans="1:10" ht="19.899999999999999" customHeight="1">
      <c r="A38" s="389" t="s">
        <v>925</v>
      </c>
      <c r="B38" s="404" t="s">
        <v>120</v>
      </c>
      <c r="C38" s="416">
        <v>39743916981.809998</v>
      </c>
      <c r="D38" s="186">
        <v>39471982062.449997</v>
      </c>
      <c r="E38" s="186">
        <v>1614151690.95</v>
      </c>
      <c r="F38" s="186">
        <v>109904115.05</v>
      </c>
      <c r="G38" s="186">
        <v>36951859313.169998</v>
      </c>
      <c r="H38" s="186">
        <v>97167668.909999996</v>
      </c>
      <c r="I38" s="186">
        <v>271934919.36000001</v>
      </c>
      <c r="J38" s="417">
        <v>27451453.329999998</v>
      </c>
    </row>
    <row r="39" spans="1:10" ht="13.5">
      <c r="A39" s="389" t="s">
        <v>926</v>
      </c>
      <c r="B39" s="404" t="s">
        <v>121</v>
      </c>
      <c r="C39" s="416">
        <v>15107942665.049999</v>
      </c>
      <c r="D39" s="186">
        <v>10775854738.24</v>
      </c>
      <c r="E39" s="186">
        <v>713750371</v>
      </c>
      <c r="F39" s="186">
        <v>251971327.33000001</v>
      </c>
      <c r="G39" s="186">
        <v>9777687.2599999998</v>
      </c>
      <c r="H39" s="186">
        <v>39374400.240000002</v>
      </c>
      <c r="I39" s="186">
        <v>4332087926.8100004</v>
      </c>
      <c r="J39" s="417">
        <v>2252806109.98</v>
      </c>
    </row>
    <row r="40" spans="1:10" ht="13.5">
      <c r="A40" s="389" t="s">
        <v>927</v>
      </c>
      <c r="B40" s="404" t="s">
        <v>122</v>
      </c>
      <c r="C40" s="416">
        <v>4379532657.4899998</v>
      </c>
      <c r="D40" s="186">
        <v>3241405295.8899999</v>
      </c>
      <c r="E40" s="186">
        <v>42398890.729999997</v>
      </c>
      <c r="F40" s="186">
        <v>2848718085.6999998</v>
      </c>
      <c r="G40" s="186">
        <v>2867127.12</v>
      </c>
      <c r="H40" s="186">
        <v>23404156.850000001</v>
      </c>
      <c r="I40" s="186">
        <v>1138127361.5999999</v>
      </c>
      <c r="J40" s="417">
        <v>551269278.82000005</v>
      </c>
    </row>
    <row r="41" spans="1:10" ht="27">
      <c r="A41" s="389" t="s">
        <v>928</v>
      </c>
      <c r="B41" s="404" t="s">
        <v>123</v>
      </c>
      <c r="C41" s="416">
        <v>10478420.74</v>
      </c>
      <c r="D41" s="186">
        <v>9377038.3800000008</v>
      </c>
      <c r="E41" s="186">
        <v>2904552.89</v>
      </c>
      <c r="F41" s="186">
        <v>502322.13</v>
      </c>
      <c r="G41" s="186">
        <v>32976.050000000003</v>
      </c>
      <c r="H41" s="186">
        <v>0</v>
      </c>
      <c r="I41" s="186">
        <v>1101382.3600000001</v>
      </c>
      <c r="J41" s="417">
        <v>618627.99</v>
      </c>
    </row>
    <row r="42" spans="1:10" ht="19.899999999999999" customHeight="1">
      <c r="A42" s="392" t="s">
        <v>929</v>
      </c>
      <c r="B42" s="405" t="s">
        <v>124</v>
      </c>
      <c r="C42" s="418">
        <v>3260930501.8899999</v>
      </c>
      <c r="D42" s="394">
        <v>1907714545.26</v>
      </c>
      <c r="E42" s="394">
        <v>572741643.65999997</v>
      </c>
      <c r="F42" s="394">
        <v>577425711.98000002</v>
      </c>
      <c r="G42" s="394">
        <v>35276810.049999997</v>
      </c>
      <c r="H42" s="394">
        <v>2873687.46</v>
      </c>
      <c r="I42" s="394">
        <v>1353215956.6300001</v>
      </c>
      <c r="J42" s="419">
        <v>171917449.91999999</v>
      </c>
    </row>
    <row r="43" spans="1:10" ht="15.75">
      <c r="A43" s="1031" t="s">
        <v>1165</v>
      </c>
      <c r="B43" s="179"/>
      <c r="C43" s="180"/>
      <c r="D43" s="180"/>
      <c r="E43" s="180"/>
      <c r="F43" s="180"/>
      <c r="G43" s="180"/>
      <c r="H43" s="180"/>
      <c r="I43" s="180"/>
      <c r="J43" s="180"/>
    </row>
    <row r="44" spans="1:10" ht="13.5">
      <c r="A44" s="188" t="s">
        <v>1158</v>
      </c>
      <c r="B44" s="179"/>
      <c r="C44" s="180"/>
      <c r="D44" s="180"/>
      <c r="E44" s="180"/>
      <c r="F44" s="180"/>
      <c r="G44" s="180"/>
      <c r="H44" s="180"/>
      <c r="I44" s="180"/>
      <c r="J44" s="180"/>
    </row>
  </sheetData>
  <mergeCells count="14">
    <mergeCell ref="A1:J1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  <mergeCell ref="H5:H6"/>
    <mergeCell ref="J5:J6"/>
    <mergeCell ref="C7:J7"/>
  </mergeCells>
  <pageMargins left="0.70866141732283472" right="0.70866141732283472" top="0.74803149606299213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showGridLines="0" zoomScaleNormal="100" workbookViewId="0">
      <selection activeCell="O3" sqref="O3"/>
    </sheetView>
  </sheetViews>
  <sheetFormatPr defaultColWidth="9.140625" defaultRowHeight="13.5"/>
  <cols>
    <col min="1" max="1" width="36.42578125" style="224" customWidth="1"/>
    <col min="2" max="2" width="13.140625" style="224" bestFit="1" customWidth="1"/>
    <col min="3" max="4" width="14" style="224" bestFit="1" customWidth="1"/>
    <col min="5" max="5" width="7.140625" style="224" bestFit="1" customWidth="1"/>
    <col min="6" max="6" width="7" style="224" bestFit="1" customWidth="1"/>
    <col min="7" max="7" width="7.42578125" style="224" bestFit="1" customWidth="1"/>
    <col min="8" max="16384" width="9.140625" style="224"/>
  </cols>
  <sheetData>
    <row r="1" spans="1:7">
      <c r="A1" s="1811" t="s">
        <v>77</v>
      </c>
      <c r="B1" s="1811"/>
      <c r="C1" s="1811"/>
      <c r="D1" s="1811"/>
      <c r="E1" s="1811"/>
      <c r="F1" s="1812"/>
      <c r="G1" s="1813"/>
    </row>
    <row r="3" spans="1:7" ht="12.75" customHeight="1">
      <c r="A3" s="1814" t="s">
        <v>68</v>
      </c>
      <c r="B3" s="1817" t="s">
        <v>1143</v>
      </c>
      <c r="C3" s="1820" t="s">
        <v>1144</v>
      </c>
      <c r="D3" s="1823" t="s">
        <v>1037</v>
      </c>
      <c r="E3" s="1826" t="s">
        <v>1024</v>
      </c>
      <c r="F3" s="1820" t="s">
        <v>22</v>
      </c>
      <c r="G3" s="1829" t="s">
        <v>1025</v>
      </c>
    </row>
    <row r="4" spans="1:7">
      <c r="A4" s="1815"/>
      <c r="B4" s="1818"/>
      <c r="C4" s="1821"/>
      <c r="D4" s="1824"/>
      <c r="E4" s="1827"/>
      <c r="F4" s="1821"/>
      <c r="G4" s="1830"/>
    </row>
    <row r="5" spans="1:7">
      <c r="A5" s="1815"/>
      <c r="B5" s="1819"/>
      <c r="C5" s="1822"/>
      <c r="D5" s="1825"/>
      <c r="E5" s="1828"/>
      <c r="F5" s="1822"/>
      <c r="G5" s="1831"/>
    </row>
    <row r="6" spans="1:7" ht="12.6" customHeight="1">
      <c r="A6" s="1816"/>
      <c r="B6" s="1832" t="s">
        <v>4</v>
      </c>
      <c r="C6" s="1833"/>
      <c r="D6" s="1834"/>
      <c r="E6" s="1835" t="s">
        <v>72</v>
      </c>
      <c r="F6" s="1833"/>
      <c r="G6" s="1836"/>
    </row>
    <row r="7" spans="1:7">
      <c r="A7" s="275" t="s">
        <v>887</v>
      </c>
      <c r="B7" s="276" t="s">
        <v>888</v>
      </c>
      <c r="C7" s="277" t="s">
        <v>889</v>
      </c>
      <c r="D7" s="279" t="s">
        <v>890</v>
      </c>
      <c r="E7" s="285" t="s">
        <v>891</v>
      </c>
      <c r="F7" s="277" t="s">
        <v>892</v>
      </c>
      <c r="G7" s="278" t="s">
        <v>893</v>
      </c>
    </row>
    <row r="8" spans="1:7" ht="27">
      <c r="A8" s="270" t="s">
        <v>1146</v>
      </c>
      <c r="B8" s="266">
        <v>304930106493.07001</v>
      </c>
      <c r="C8" s="263">
        <v>324566985975.13</v>
      </c>
      <c r="D8" s="280">
        <v>333409105565.12</v>
      </c>
      <c r="E8" s="286">
        <v>102.72428188080333</v>
      </c>
      <c r="F8" s="264">
        <v>100</v>
      </c>
      <c r="G8" s="265">
        <v>109.33951697967129</v>
      </c>
    </row>
    <row r="9" spans="1:7" ht="27">
      <c r="A9" s="271" t="s">
        <v>1147</v>
      </c>
      <c r="B9" s="267">
        <v>146356483982.79001</v>
      </c>
      <c r="C9" s="253">
        <v>150168866596.72998</v>
      </c>
      <c r="D9" s="281">
        <v>158619647883.16998</v>
      </c>
      <c r="E9" s="287">
        <v>105.62751885790955</v>
      </c>
      <c r="F9" s="254">
        <v>47.575079755039589</v>
      </c>
      <c r="G9" s="255">
        <v>108.37896864331751</v>
      </c>
    </row>
    <row r="10" spans="1:7" ht="20.100000000000001" customHeight="1">
      <c r="A10" s="272" t="s">
        <v>78</v>
      </c>
      <c r="B10" s="268">
        <v>11325482541.27</v>
      </c>
      <c r="C10" s="256">
        <v>12194920232.02</v>
      </c>
      <c r="D10" s="282">
        <v>14299975171.870001</v>
      </c>
      <c r="E10" s="288">
        <v>117.26173603270314</v>
      </c>
      <c r="F10" s="257">
        <v>4.2890175862569508</v>
      </c>
      <c r="G10" s="258">
        <v>126.2637165327037</v>
      </c>
    </row>
    <row r="11" spans="1:7" ht="20.100000000000001" customHeight="1">
      <c r="A11" s="272" t="s">
        <v>79</v>
      </c>
      <c r="B11" s="268">
        <v>55077614588</v>
      </c>
      <c r="C11" s="256">
        <v>57882755783.059998</v>
      </c>
      <c r="D11" s="282">
        <v>62081419900</v>
      </c>
      <c r="E11" s="288">
        <v>107.25373914931808</v>
      </c>
      <c r="F11" s="257">
        <v>18.620193289194535</v>
      </c>
      <c r="G11" s="258">
        <v>112.71624663557225</v>
      </c>
    </row>
    <row r="12" spans="1:7" ht="20.100000000000001" customHeight="1">
      <c r="A12" s="272" t="s">
        <v>80</v>
      </c>
      <c r="B12" s="268">
        <v>1619205712.6199999</v>
      </c>
      <c r="C12" s="256">
        <v>1674211542.3199999</v>
      </c>
      <c r="D12" s="282">
        <v>1649122841.54</v>
      </c>
      <c r="E12" s="288">
        <v>98.501461724171733</v>
      </c>
      <c r="F12" s="257">
        <v>0.49462441607429364</v>
      </c>
      <c r="G12" s="258">
        <v>101.8476422536573</v>
      </c>
    </row>
    <row r="13" spans="1:7" ht="20.100000000000001" customHeight="1">
      <c r="A13" s="272" t="s">
        <v>81</v>
      </c>
      <c r="B13" s="268">
        <v>24215878170.009998</v>
      </c>
      <c r="C13" s="256">
        <v>25656450744.080002</v>
      </c>
      <c r="D13" s="282">
        <v>26117025842.630001</v>
      </c>
      <c r="E13" s="288">
        <v>101.79516295197719</v>
      </c>
      <c r="F13" s="257">
        <v>7.8333271067574177</v>
      </c>
      <c r="G13" s="258">
        <v>107.85083100960784</v>
      </c>
    </row>
    <row r="14" spans="1:7" ht="20.100000000000001" customHeight="1">
      <c r="A14" s="272" t="s">
        <v>82</v>
      </c>
      <c r="B14" s="268">
        <v>301294029.91000003</v>
      </c>
      <c r="C14" s="256">
        <v>307061441.56999999</v>
      </c>
      <c r="D14" s="282">
        <v>306470071.61000001</v>
      </c>
      <c r="E14" s="288">
        <v>99.807409892633757</v>
      </c>
      <c r="F14" s="257">
        <v>9.1920126503606134E-2</v>
      </c>
      <c r="G14" s="258">
        <v>101.71793702701184</v>
      </c>
    </row>
    <row r="15" spans="1:7" ht="20.100000000000001" customHeight="1">
      <c r="A15" s="272" t="s">
        <v>83</v>
      </c>
      <c r="B15" s="268">
        <v>1168726641.5699999</v>
      </c>
      <c r="C15" s="256">
        <v>1239384512.45</v>
      </c>
      <c r="D15" s="282">
        <v>1238614545.8800001</v>
      </c>
      <c r="E15" s="288">
        <v>99.937875085393969</v>
      </c>
      <c r="F15" s="257">
        <v>0.37149991563085233</v>
      </c>
      <c r="G15" s="258">
        <v>105.97983324963968</v>
      </c>
    </row>
    <row r="16" spans="1:7" ht="27">
      <c r="A16" s="272" t="s">
        <v>84</v>
      </c>
      <c r="B16" s="268">
        <v>66362377.140000001</v>
      </c>
      <c r="C16" s="256">
        <v>116962155.89</v>
      </c>
      <c r="D16" s="282">
        <v>184766374.08000001</v>
      </c>
      <c r="E16" s="288">
        <v>157.97107421119031</v>
      </c>
      <c r="F16" s="257">
        <v>5.5417314943101412E-2</v>
      </c>
      <c r="G16" s="258">
        <v>278.42036714599823</v>
      </c>
    </row>
    <row r="17" spans="1:7" ht="20.100000000000001" customHeight="1">
      <c r="A17" s="272" t="s">
        <v>85</v>
      </c>
      <c r="B17" s="268">
        <v>304501354.60000002</v>
      </c>
      <c r="C17" s="256">
        <v>327771390.75</v>
      </c>
      <c r="D17" s="282">
        <v>418026345.10000002</v>
      </c>
      <c r="E17" s="288">
        <v>127.53594636294537</v>
      </c>
      <c r="F17" s="257">
        <v>0.12537940269851236</v>
      </c>
      <c r="G17" s="258">
        <v>137.28226123956955</v>
      </c>
    </row>
    <row r="18" spans="1:7" ht="20.100000000000001" customHeight="1">
      <c r="A18" s="272" t="s">
        <v>86</v>
      </c>
      <c r="B18" s="268">
        <v>3004833950.0799999</v>
      </c>
      <c r="C18" s="256">
        <v>3309158927.6100001</v>
      </c>
      <c r="D18" s="282">
        <v>4482687087.8900003</v>
      </c>
      <c r="E18" s="288">
        <v>135.46303414105188</v>
      </c>
      <c r="F18" s="257">
        <v>1.3445004989566673</v>
      </c>
      <c r="G18" s="258">
        <v>149.18252264058233</v>
      </c>
    </row>
    <row r="19" spans="1:7" ht="20.100000000000001" customHeight="1">
      <c r="A19" s="272" t="s">
        <v>87</v>
      </c>
      <c r="B19" s="268">
        <v>485551019.61000001</v>
      </c>
      <c r="C19" s="256">
        <v>524063060.14999998</v>
      </c>
      <c r="D19" s="282">
        <v>578973629.45000005</v>
      </c>
      <c r="E19" s="288">
        <v>110.47785533372326</v>
      </c>
      <c r="F19" s="257">
        <v>0.17365261469648657</v>
      </c>
      <c r="G19" s="258">
        <v>119.24053416982588</v>
      </c>
    </row>
    <row r="20" spans="1:7" ht="20.100000000000001" customHeight="1">
      <c r="A20" s="272" t="s">
        <v>88</v>
      </c>
      <c r="B20" s="268">
        <v>420918027.63</v>
      </c>
      <c r="C20" s="256">
        <v>440496778.69</v>
      </c>
      <c r="D20" s="282">
        <v>426691728.93000001</v>
      </c>
      <c r="E20" s="288">
        <v>96.866027079459002</v>
      </c>
      <c r="F20" s="257">
        <v>0.12797842704588655</v>
      </c>
      <c r="G20" s="258">
        <v>101.37169256743626</v>
      </c>
    </row>
    <row r="21" spans="1:7" ht="20.100000000000001" customHeight="1">
      <c r="A21" s="272" t="s">
        <v>89</v>
      </c>
      <c r="B21" s="268">
        <v>115376125.48999999</v>
      </c>
      <c r="C21" s="256">
        <v>2481124.48</v>
      </c>
      <c r="D21" s="282">
        <v>1843571.47</v>
      </c>
      <c r="E21" s="288">
        <v>74.303868462093448</v>
      </c>
      <c r="F21" s="257">
        <v>5.5294574720003307E-4</v>
      </c>
      <c r="G21" s="258">
        <v>1.5978795111817028</v>
      </c>
    </row>
    <row r="22" spans="1:7" ht="20.100000000000001" customHeight="1">
      <c r="A22" s="272" t="s">
        <v>90</v>
      </c>
      <c r="B22" s="268">
        <v>8023387655.8400002</v>
      </c>
      <c r="C22" s="256">
        <v>9900063269.25</v>
      </c>
      <c r="D22" s="282">
        <v>10039354024.209999</v>
      </c>
      <c r="E22" s="288">
        <v>101.40696833112817</v>
      </c>
      <c r="F22" s="257">
        <v>3.0111217290222316</v>
      </c>
      <c r="G22" s="258">
        <v>125.12612446069002</v>
      </c>
    </row>
    <row r="23" spans="1:7" ht="20.100000000000001" customHeight="1">
      <c r="A23" s="272" t="s">
        <v>91</v>
      </c>
      <c r="B23" s="268">
        <v>40227351789.02002</v>
      </c>
      <c r="C23" s="256">
        <v>36593085634.409981</v>
      </c>
      <c r="D23" s="282">
        <v>36794676748.509995</v>
      </c>
      <c r="E23" s="288">
        <v>100.55089946804172</v>
      </c>
      <c r="F23" s="257">
        <v>11.035894381511852</v>
      </c>
      <c r="G23" s="258">
        <v>91.466813280393538</v>
      </c>
    </row>
    <row r="24" spans="1:7" ht="27">
      <c r="A24" s="271" t="s">
        <v>1145</v>
      </c>
      <c r="B24" s="267">
        <v>91544208075.440018</v>
      </c>
      <c r="C24" s="253">
        <v>95950319857.62999</v>
      </c>
      <c r="D24" s="281">
        <v>92471065707.949997</v>
      </c>
      <c r="E24" s="287">
        <v>96.373900415504124</v>
      </c>
      <c r="F24" s="254">
        <v>27.735015080411163</v>
      </c>
      <c r="G24" s="255">
        <v>101.01246998799331</v>
      </c>
    </row>
    <row r="25" spans="1:7" ht="20.100000000000001" customHeight="1">
      <c r="A25" s="272" t="s">
        <v>92</v>
      </c>
      <c r="B25" s="268">
        <v>73078024665.330017</v>
      </c>
      <c r="C25" s="253">
        <v>77391953427.839996</v>
      </c>
      <c r="D25" s="281">
        <v>77694918090.169998</v>
      </c>
      <c r="E25" s="288">
        <v>100.39146790966129</v>
      </c>
      <c r="F25" s="257">
        <v>23.303178225585373</v>
      </c>
      <c r="G25" s="258">
        <v>106.31775892408643</v>
      </c>
    </row>
    <row r="26" spans="1:7" ht="54">
      <c r="A26" s="273" t="s">
        <v>93</v>
      </c>
      <c r="B26" s="268">
        <v>18466183410.110001</v>
      </c>
      <c r="C26" s="259">
        <v>18558366429.790001</v>
      </c>
      <c r="D26" s="283">
        <v>14776147617.779999</v>
      </c>
      <c r="E26" s="288">
        <v>79.619872113642714</v>
      </c>
      <c r="F26" s="257">
        <v>4.4318368548257858</v>
      </c>
      <c r="G26" s="258">
        <v>80.017333791292501</v>
      </c>
    </row>
    <row r="27" spans="1:7" ht="20.100000000000001" customHeight="1">
      <c r="A27" s="274" t="s">
        <v>94</v>
      </c>
      <c r="B27" s="269">
        <v>67029414434.839996</v>
      </c>
      <c r="C27" s="260">
        <v>78447799520.770004</v>
      </c>
      <c r="D27" s="284">
        <v>82318391974</v>
      </c>
      <c r="E27" s="289">
        <v>104.93397198758292</v>
      </c>
      <c r="F27" s="261">
        <v>24.689905164549245</v>
      </c>
      <c r="G27" s="262">
        <v>122.80935566582127</v>
      </c>
    </row>
    <row r="28" spans="1:7" ht="21.75" customHeight="1">
      <c r="A28" s="164" t="s">
        <v>1026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showGridLines="0" zoomScaleNormal="100" workbookViewId="0">
      <selection activeCell="O3" sqref="O3"/>
    </sheetView>
  </sheetViews>
  <sheetFormatPr defaultRowHeight="12.75"/>
  <cols>
    <col min="1" max="1" width="7" customWidth="1"/>
    <col min="2" max="2" width="37.7109375" customWidth="1"/>
    <col min="3" max="5" width="12.42578125" bestFit="1" customWidth="1"/>
    <col min="6" max="6" width="11.7109375" bestFit="1" customWidth="1"/>
    <col min="7" max="7" width="12.42578125" bestFit="1" customWidth="1"/>
    <col min="8" max="8" width="10.5703125" bestFit="1" customWidth="1"/>
    <col min="9" max="9" width="12.42578125" bestFit="1" customWidth="1"/>
    <col min="10" max="10" width="11.7109375" bestFit="1" customWidth="1"/>
  </cols>
  <sheetData>
    <row r="1" spans="1:10">
      <c r="A1" s="1797" t="s">
        <v>377</v>
      </c>
      <c r="B1" s="1797"/>
      <c r="C1" s="1797"/>
      <c r="D1" s="1797"/>
      <c r="E1" s="1797"/>
      <c r="F1" s="1797"/>
      <c r="G1" s="1797"/>
      <c r="H1" s="1797"/>
      <c r="I1" s="1797"/>
      <c r="J1" s="1797"/>
    </row>
    <row r="3" spans="1:10" ht="13.5">
      <c r="A3" s="1798" t="s">
        <v>881</v>
      </c>
      <c r="B3" s="2148" t="s">
        <v>68</v>
      </c>
      <c r="C3" s="2149" t="s">
        <v>0</v>
      </c>
      <c r="D3" s="1874" t="s">
        <v>21</v>
      </c>
      <c r="E3" s="1874"/>
      <c r="F3" s="1874"/>
      <c r="G3" s="1874"/>
      <c r="H3" s="1874"/>
      <c r="I3" s="1874"/>
      <c r="J3" s="1875"/>
    </row>
    <row r="4" spans="1:10" ht="13.5">
      <c r="A4" s="1799"/>
      <c r="B4" s="2146"/>
      <c r="C4" s="2150"/>
      <c r="D4" s="2152" t="s">
        <v>739</v>
      </c>
      <c r="E4" s="2153" t="s">
        <v>734</v>
      </c>
      <c r="F4" s="2154"/>
      <c r="G4" s="2154"/>
      <c r="H4" s="2150"/>
      <c r="I4" s="2155" t="s">
        <v>740</v>
      </c>
      <c r="J4" s="1074" t="s">
        <v>734</v>
      </c>
    </row>
    <row r="5" spans="1:10" ht="13.15" customHeight="1">
      <c r="A5" s="1799"/>
      <c r="B5" s="2146"/>
      <c r="C5" s="2150"/>
      <c r="D5" s="2152"/>
      <c r="E5" s="2132" t="s">
        <v>1162</v>
      </c>
      <c r="F5" s="2131" t="s">
        <v>1163</v>
      </c>
      <c r="G5" s="2131" t="s">
        <v>1164</v>
      </c>
      <c r="H5" s="2144" t="s">
        <v>976</v>
      </c>
      <c r="I5" s="2155"/>
      <c r="J5" s="2146" t="s">
        <v>977</v>
      </c>
    </row>
    <row r="6" spans="1:10" ht="36" customHeight="1">
      <c r="A6" s="1799"/>
      <c r="B6" s="2146"/>
      <c r="C6" s="2151"/>
      <c r="D6" s="2144"/>
      <c r="E6" s="2138"/>
      <c r="F6" s="2132"/>
      <c r="G6" s="2132"/>
      <c r="H6" s="2145"/>
      <c r="I6" s="2156"/>
      <c r="J6" s="2147"/>
    </row>
    <row r="7" spans="1:10" ht="14.25" customHeight="1">
      <c r="A7" s="1872"/>
      <c r="B7" s="2147"/>
      <c r="C7" s="2047" t="s">
        <v>885</v>
      </c>
      <c r="D7" s="2048"/>
      <c r="E7" s="2048"/>
      <c r="F7" s="2048"/>
      <c r="G7" s="2048"/>
      <c r="H7" s="2048"/>
      <c r="I7" s="2048"/>
      <c r="J7" s="2049"/>
    </row>
    <row r="8" spans="1:10">
      <c r="A8" s="239" t="s">
        <v>887</v>
      </c>
      <c r="B8" s="239" t="s">
        <v>888</v>
      </c>
      <c r="C8" s="239" t="s">
        <v>889</v>
      </c>
      <c r="D8" s="239" t="s">
        <v>890</v>
      </c>
      <c r="E8" s="239" t="s">
        <v>891</v>
      </c>
      <c r="F8" s="239" t="s">
        <v>892</v>
      </c>
      <c r="G8" s="239" t="s">
        <v>893</v>
      </c>
      <c r="H8" s="239" t="s">
        <v>894</v>
      </c>
      <c r="I8" s="239" t="s">
        <v>932</v>
      </c>
      <c r="J8" s="249" t="s">
        <v>966</v>
      </c>
    </row>
    <row r="9" spans="1:10" ht="20.100000000000001" customHeight="1">
      <c r="A9" s="1078"/>
      <c r="B9" s="1566" t="s">
        <v>933</v>
      </c>
      <c r="C9" s="1080">
        <v>65835521547.599998</v>
      </c>
      <c r="D9" s="1079">
        <v>55253606074.860001</v>
      </c>
      <c r="E9" s="1079">
        <v>20329366569.669998</v>
      </c>
      <c r="F9" s="1079">
        <v>3211362447.4299998</v>
      </c>
      <c r="G9" s="1079">
        <v>18170479173.23</v>
      </c>
      <c r="H9" s="1079">
        <v>405860421.41000003</v>
      </c>
      <c r="I9" s="1079">
        <v>10581915472.74</v>
      </c>
      <c r="J9" s="1085">
        <v>2774177589.8099999</v>
      </c>
    </row>
    <row r="10" spans="1:10" ht="20.100000000000001" customHeight="1">
      <c r="A10" s="1075" t="s">
        <v>895</v>
      </c>
      <c r="B10" s="1083" t="s">
        <v>99</v>
      </c>
      <c r="C10" s="1081">
        <v>2576700722.0700002</v>
      </c>
      <c r="D10" s="1072">
        <v>1065398299.9</v>
      </c>
      <c r="E10" s="1072">
        <v>55305420.710000001</v>
      </c>
      <c r="F10" s="1072">
        <v>18321961.079999998</v>
      </c>
      <c r="G10" s="1072">
        <v>3865244.27</v>
      </c>
      <c r="H10" s="1072">
        <v>1302939.8600000001</v>
      </c>
      <c r="I10" s="1072">
        <v>1511302422.1700001</v>
      </c>
      <c r="J10" s="1086">
        <v>615060589.61000001</v>
      </c>
    </row>
    <row r="11" spans="1:10" ht="20.100000000000001" customHeight="1">
      <c r="A11" s="1075" t="s">
        <v>896</v>
      </c>
      <c r="B11" s="1083" t="s">
        <v>100</v>
      </c>
      <c r="C11" s="1081">
        <v>8240921.0199999996</v>
      </c>
      <c r="D11" s="1072">
        <v>7982139.5099999998</v>
      </c>
      <c r="E11" s="1072">
        <v>2096690.77</v>
      </c>
      <c r="F11" s="1072">
        <v>0</v>
      </c>
      <c r="G11" s="1072">
        <v>18194.27</v>
      </c>
      <c r="H11" s="1072">
        <v>0</v>
      </c>
      <c r="I11" s="1072">
        <v>258781.51</v>
      </c>
      <c r="J11" s="1086">
        <v>0</v>
      </c>
    </row>
    <row r="12" spans="1:10" ht="20.100000000000001" customHeight="1">
      <c r="A12" s="1075" t="s">
        <v>897</v>
      </c>
      <c r="B12" s="1083" t="s">
        <v>101</v>
      </c>
      <c r="C12" s="1081">
        <v>592461.98</v>
      </c>
      <c r="D12" s="1072">
        <v>290631.45</v>
      </c>
      <c r="E12" s="1072">
        <v>13500.12</v>
      </c>
      <c r="F12" s="1072">
        <v>0</v>
      </c>
      <c r="G12" s="1072">
        <v>0</v>
      </c>
      <c r="H12" s="1072">
        <v>0</v>
      </c>
      <c r="I12" s="1072">
        <v>301830.53000000003</v>
      </c>
      <c r="J12" s="1086">
        <v>57556.63</v>
      </c>
    </row>
    <row r="13" spans="1:10" ht="20.100000000000001" customHeight="1">
      <c r="A13" s="1075" t="s">
        <v>898</v>
      </c>
      <c r="B13" s="1083" t="s">
        <v>126</v>
      </c>
      <c r="C13" s="1081">
        <v>0</v>
      </c>
      <c r="D13" s="1072">
        <v>0</v>
      </c>
      <c r="E13" s="1072">
        <v>0</v>
      </c>
      <c r="F13" s="1072">
        <v>0</v>
      </c>
      <c r="G13" s="1072">
        <v>0</v>
      </c>
      <c r="H13" s="1072">
        <v>0</v>
      </c>
      <c r="I13" s="1072">
        <v>0</v>
      </c>
      <c r="J13" s="1086">
        <v>0</v>
      </c>
    </row>
    <row r="14" spans="1:10" ht="20.100000000000001" customHeight="1">
      <c r="A14" s="1075" t="s">
        <v>899</v>
      </c>
      <c r="B14" s="1083" t="s">
        <v>102</v>
      </c>
      <c r="C14" s="1081">
        <v>968404.38</v>
      </c>
      <c r="D14" s="1072">
        <v>589904.38</v>
      </c>
      <c r="E14" s="1072">
        <v>385157.54</v>
      </c>
      <c r="F14" s="1072">
        <v>0</v>
      </c>
      <c r="G14" s="1072">
        <v>159.6</v>
      </c>
      <c r="H14" s="1072">
        <v>0</v>
      </c>
      <c r="I14" s="1072">
        <v>378500</v>
      </c>
      <c r="J14" s="1086">
        <v>0</v>
      </c>
    </row>
    <row r="15" spans="1:10" ht="27">
      <c r="A15" s="1075" t="s">
        <v>900</v>
      </c>
      <c r="B15" s="1083" t="s">
        <v>103</v>
      </c>
      <c r="C15" s="1081">
        <v>437788290.08999997</v>
      </c>
      <c r="D15" s="1072">
        <v>319870959.43000001</v>
      </c>
      <c r="E15" s="1072">
        <v>79513434.670000002</v>
      </c>
      <c r="F15" s="1072">
        <v>12751286.380000001</v>
      </c>
      <c r="G15" s="1072">
        <v>662174.55000000005</v>
      </c>
      <c r="H15" s="1072">
        <v>58240.41</v>
      </c>
      <c r="I15" s="1072">
        <v>117917330.66</v>
      </c>
      <c r="J15" s="1086">
        <v>43623184.229999997</v>
      </c>
    </row>
    <row r="16" spans="1:10" ht="20.100000000000001" customHeight="1">
      <c r="A16" s="1075" t="s">
        <v>901</v>
      </c>
      <c r="B16" s="1083" t="s">
        <v>216</v>
      </c>
      <c r="C16" s="1081">
        <v>2352190.1800000002</v>
      </c>
      <c r="D16" s="1072">
        <v>637015.88</v>
      </c>
      <c r="E16" s="1072">
        <v>113375.52</v>
      </c>
      <c r="F16" s="1072">
        <v>0</v>
      </c>
      <c r="G16" s="1072">
        <v>136.75</v>
      </c>
      <c r="H16" s="1072">
        <v>0</v>
      </c>
      <c r="I16" s="1072">
        <v>1715174.3</v>
      </c>
      <c r="J16" s="1086">
        <v>1509103.72</v>
      </c>
    </row>
    <row r="17" spans="1:10" ht="20.100000000000001" customHeight="1">
      <c r="A17" s="1075" t="s">
        <v>902</v>
      </c>
      <c r="B17" s="1083" t="s">
        <v>354</v>
      </c>
      <c r="C17" s="1081">
        <v>0</v>
      </c>
      <c r="D17" s="1072">
        <v>0</v>
      </c>
      <c r="E17" s="1072">
        <v>0</v>
      </c>
      <c r="F17" s="1072">
        <v>0</v>
      </c>
      <c r="G17" s="1072">
        <v>0</v>
      </c>
      <c r="H17" s="1072">
        <v>0</v>
      </c>
      <c r="I17" s="1072">
        <v>0</v>
      </c>
      <c r="J17" s="1086">
        <v>0</v>
      </c>
    </row>
    <row r="18" spans="1:10" ht="20.100000000000001" customHeight="1">
      <c r="A18" s="1075" t="s">
        <v>903</v>
      </c>
      <c r="B18" s="1083" t="s">
        <v>104</v>
      </c>
      <c r="C18" s="1081">
        <v>4975852409.3800001</v>
      </c>
      <c r="D18" s="1072">
        <v>1623142035.8599999</v>
      </c>
      <c r="E18" s="1072">
        <v>50656812.740000002</v>
      </c>
      <c r="F18" s="1072">
        <v>331759510.95999998</v>
      </c>
      <c r="G18" s="1072">
        <v>700471.05</v>
      </c>
      <c r="H18" s="1072">
        <v>6135249.9500000002</v>
      </c>
      <c r="I18" s="1072">
        <v>3352710373.52</v>
      </c>
      <c r="J18" s="1086">
        <v>253819367.24000001</v>
      </c>
    </row>
    <row r="19" spans="1:10" ht="20.100000000000001" customHeight="1">
      <c r="A19" s="1075" t="s">
        <v>904</v>
      </c>
      <c r="B19" s="1083" t="s">
        <v>105</v>
      </c>
      <c r="C19" s="1081">
        <v>174136595.28</v>
      </c>
      <c r="D19" s="1072">
        <v>27984796.75</v>
      </c>
      <c r="E19" s="1072">
        <v>5638080.3099999996</v>
      </c>
      <c r="F19" s="1072">
        <v>1331714.1000000001</v>
      </c>
      <c r="G19" s="1072">
        <v>36230.019999999997</v>
      </c>
      <c r="H19" s="1072">
        <v>4057765.64</v>
      </c>
      <c r="I19" s="1072">
        <v>146151798.53</v>
      </c>
      <c r="J19" s="1086">
        <v>101579872.36</v>
      </c>
    </row>
    <row r="20" spans="1:10" ht="20.100000000000001" customHeight="1">
      <c r="A20" s="1075" t="s">
        <v>905</v>
      </c>
      <c r="B20" s="1083" t="s">
        <v>106</v>
      </c>
      <c r="C20" s="1081">
        <v>1135466432.21</v>
      </c>
      <c r="D20" s="1072">
        <v>419060049.10000002</v>
      </c>
      <c r="E20" s="1072">
        <v>34396426.939999998</v>
      </c>
      <c r="F20" s="1072">
        <v>6352465.04</v>
      </c>
      <c r="G20" s="1072">
        <v>561019.69999999995</v>
      </c>
      <c r="H20" s="1072">
        <v>681129.91</v>
      </c>
      <c r="I20" s="1072">
        <v>716406383.11000001</v>
      </c>
      <c r="J20" s="1086">
        <v>158460014.63999999</v>
      </c>
    </row>
    <row r="21" spans="1:10" ht="20.100000000000001" customHeight="1">
      <c r="A21" s="1075" t="s">
        <v>906</v>
      </c>
      <c r="B21" s="1083" t="s">
        <v>107</v>
      </c>
      <c r="C21" s="1081">
        <v>145550967.24000001</v>
      </c>
      <c r="D21" s="1072">
        <v>105457736.63</v>
      </c>
      <c r="E21" s="1072">
        <v>16022169.550000001</v>
      </c>
      <c r="F21" s="1072">
        <v>1614176.5</v>
      </c>
      <c r="G21" s="1072">
        <v>280433.84000000003</v>
      </c>
      <c r="H21" s="1072">
        <v>1659179.57</v>
      </c>
      <c r="I21" s="1072">
        <v>40093230.609999999</v>
      </c>
      <c r="J21" s="1086">
        <v>7666591.5199999996</v>
      </c>
    </row>
    <row r="22" spans="1:10" ht="20.100000000000001" customHeight="1">
      <c r="A22" s="1075" t="s">
        <v>907</v>
      </c>
      <c r="B22" s="1083" t="s">
        <v>108</v>
      </c>
      <c r="C22" s="1081">
        <v>14446697.289999999</v>
      </c>
      <c r="D22" s="1072">
        <v>8074576.5300000003</v>
      </c>
      <c r="E22" s="1072">
        <v>583015.56999999995</v>
      </c>
      <c r="F22" s="1072">
        <v>28576.14</v>
      </c>
      <c r="G22" s="1072">
        <v>144.47999999999999</v>
      </c>
      <c r="H22" s="1072">
        <v>1886950.6</v>
      </c>
      <c r="I22" s="1072">
        <v>6372120.7599999998</v>
      </c>
      <c r="J22" s="1086">
        <v>5072597.2699999996</v>
      </c>
    </row>
    <row r="23" spans="1:10" ht="20.100000000000001" customHeight="1">
      <c r="A23" s="1075" t="s">
        <v>908</v>
      </c>
      <c r="B23" s="1083" t="s">
        <v>217</v>
      </c>
      <c r="C23" s="1081">
        <v>370016</v>
      </c>
      <c r="D23" s="1072">
        <v>370016</v>
      </c>
      <c r="E23" s="1072">
        <v>0</v>
      </c>
      <c r="F23" s="1072">
        <v>0</v>
      </c>
      <c r="G23" s="1072">
        <v>370016</v>
      </c>
      <c r="H23" s="1072">
        <v>0</v>
      </c>
      <c r="I23" s="1072">
        <v>0</v>
      </c>
      <c r="J23" s="1086">
        <v>0</v>
      </c>
    </row>
    <row r="24" spans="1:10" ht="20.100000000000001" customHeight="1">
      <c r="A24" s="1075" t="s">
        <v>909</v>
      </c>
      <c r="B24" s="1083" t="s">
        <v>109</v>
      </c>
      <c r="C24" s="1081">
        <v>5888578841.9899998</v>
      </c>
      <c r="D24" s="1072">
        <v>5648795057.8999996</v>
      </c>
      <c r="E24" s="1072">
        <v>4137257935.8099999</v>
      </c>
      <c r="F24" s="1072">
        <v>10182559.18</v>
      </c>
      <c r="G24" s="1072">
        <v>302169989.68000001</v>
      </c>
      <c r="H24" s="1072">
        <v>9288429.8000000007</v>
      </c>
      <c r="I24" s="1072">
        <v>239783784.09</v>
      </c>
      <c r="J24" s="1086">
        <v>73584127.530000001</v>
      </c>
    </row>
    <row r="25" spans="1:10" ht="27">
      <c r="A25" s="1075" t="s">
        <v>910</v>
      </c>
      <c r="B25" s="1083" t="s">
        <v>110</v>
      </c>
      <c r="C25" s="1081">
        <v>4398859.71</v>
      </c>
      <c r="D25" s="1072">
        <v>4398859.71</v>
      </c>
      <c r="E25" s="1072">
        <v>2069237.48</v>
      </c>
      <c r="F25" s="1072">
        <v>0</v>
      </c>
      <c r="G25" s="1072">
        <v>1263047.6000000001</v>
      </c>
      <c r="H25" s="1072">
        <v>0</v>
      </c>
      <c r="I25" s="1072">
        <v>0</v>
      </c>
      <c r="J25" s="1086">
        <v>0</v>
      </c>
    </row>
    <row r="26" spans="1:10" ht="20.100000000000001" customHeight="1">
      <c r="A26" s="1075" t="s">
        <v>911</v>
      </c>
      <c r="B26" s="1083" t="s">
        <v>111</v>
      </c>
      <c r="C26" s="1081">
        <v>756100.07</v>
      </c>
      <c r="D26" s="1072">
        <v>693600.07</v>
      </c>
      <c r="E26" s="1072">
        <v>96416.73</v>
      </c>
      <c r="F26" s="1072">
        <v>0</v>
      </c>
      <c r="G26" s="1072">
        <v>221388.36</v>
      </c>
      <c r="H26" s="1072">
        <v>0</v>
      </c>
      <c r="I26" s="1072">
        <v>62500</v>
      </c>
      <c r="J26" s="1086">
        <v>0</v>
      </c>
    </row>
    <row r="27" spans="1:10" ht="13.5">
      <c r="A27" s="1075" t="s">
        <v>912</v>
      </c>
      <c r="B27" s="1083" t="s">
        <v>355</v>
      </c>
      <c r="C27" s="1081">
        <v>3862.65</v>
      </c>
      <c r="D27" s="1072">
        <v>3862.65</v>
      </c>
      <c r="E27" s="1072">
        <v>3862.65</v>
      </c>
      <c r="F27" s="1072">
        <v>0</v>
      </c>
      <c r="G27" s="1072">
        <v>0</v>
      </c>
      <c r="H27" s="1072">
        <v>0</v>
      </c>
      <c r="I27" s="1072">
        <v>0</v>
      </c>
      <c r="J27" s="1086">
        <v>0</v>
      </c>
    </row>
    <row r="28" spans="1:10" ht="13.5">
      <c r="A28" s="1075" t="s">
        <v>914</v>
      </c>
      <c r="B28" s="1083" t="s">
        <v>112</v>
      </c>
      <c r="C28" s="1081">
        <v>665676593.47000003</v>
      </c>
      <c r="D28" s="1072">
        <v>385068794.02999997</v>
      </c>
      <c r="E28" s="1072">
        <v>78582399.159999996</v>
      </c>
      <c r="F28" s="1072">
        <v>24274963.170000002</v>
      </c>
      <c r="G28" s="1072">
        <v>33125637.940000001</v>
      </c>
      <c r="H28" s="1072">
        <v>1743119.81</v>
      </c>
      <c r="I28" s="1072">
        <v>280607799.44</v>
      </c>
      <c r="J28" s="1086">
        <v>15238477.57</v>
      </c>
    </row>
    <row r="29" spans="1:10" ht="20.100000000000001" customHeight="1">
      <c r="A29" s="1075" t="s">
        <v>915</v>
      </c>
      <c r="B29" s="1083" t="s">
        <v>113</v>
      </c>
      <c r="C29" s="1081">
        <v>109355.54</v>
      </c>
      <c r="D29" s="1072">
        <v>109355.54</v>
      </c>
      <c r="E29" s="1072">
        <v>0</v>
      </c>
      <c r="F29" s="1072">
        <v>0</v>
      </c>
      <c r="G29" s="1072">
        <v>0</v>
      </c>
      <c r="H29" s="1072">
        <v>0</v>
      </c>
      <c r="I29" s="1072">
        <v>0</v>
      </c>
      <c r="J29" s="1086">
        <v>0</v>
      </c>
    </row>
    <row r="30" spans="1:10" ht="40.5">
      <c r="A30" s="1075" t="s">
        <v>916</v>
      </c>
      <c r="B30" s="1083" t="s">
        <v>356</v>
      </c>
      <c r="C30" s="1081">
        <v>1304710.18</v>
      </c>
      <c r="D30" s="1072">
        <v>1304710.18</v>
      </c>
      <c r="E30" s="1072">
        <v>243896.1</v>
      </c>
      <c r="F30" s="1072">
        <v>0</v>
      </c>
      <c r="G30" s="1072">
        <v>0</v>
      </c>
      <c r="H30" s="1072">
        <v>0</v>
      </c>
      <c r="I30" s="1072">
        <v>0</v>
      </c>
      <c r="J30" s="1086">
        <v>0</v>
      </c>
    </row>
    <row r="31" spans="1:10" ht="20.100000000000001" customHeight="1">
      <c r="A31" s="1075" t="s">
        <v>917</v>
      </c>
      <c r="B31" s="1083" t="s">
        <v>357</v>
      </c>
      <c r="C31" s="1081">
        <v>192219281.78999999</v>
      </c>
      <c r="D31" s="1072">
        <v>187276677.47999999</v>
      </c>
      <c r="E31" s="1072">
        <v>0</v>
      </c>
      <c r="F31" s="1072">
        <v>0</v>
      </c>
      <c r="G31" s="1072">
        <v>0</v>
      </c>
      <c r="H31" s="1072">
        <v>0</v>
      </c>
      <c r="I31" s="1072">
        <v>4942604.3099999996</v>
      </c>
      <c r="J31" s="1086">
        <v>0</v>
      </c>
    </row>
    <row r="32" spans="1:10" ht="20.100000000000001" customHeight="1">
      <c r="A32" s="1075" t="s">
        <v>918</v>
      </c>
      <c r="B32" s="1083" t="s">
        <v>114</v>
      </c>
      <c r="C32" s="1081">
        <v>256877127.56999999</v>
      </c>
      <c r="D32" s="1072">
        <v>249229714.93000001</v>
      </c>
      <c r="E32" s="1072">
        <v>30155.07</v>
      </c>
      <c r="F32" s="1072">
        <v>834857.15</v>
      </c>
      <c r="G32" s="1072">
        <v>152787.21</v>
      </c>
      <c r="H32" s="1072">
        <v>950448.6</v>
      </c>
      <c r="I32" s="1072">
        <v>7647412.6399999997</v>
      </c>
      <c r="J32" s="1086">
        <v>639082.14</v>
      </c>
    </row>
    <row r="33" spans="1:10" ht="20.100000000000001" customHeight="1">
      <c r="A33" s="1075" t="s">
        <v>919</v>
      </c>
      <c r="B33" s="1083" t="s">
        <v>115</v>
      </c>
      <c r="C33" s="1081">
        <v>19744164026.869999</v>
      </c>
      <c r="D33" s="1072">
        <v>18622511308.43</v>
      </c>
      <c r="E33" s="1072">
        <v>13336887739.83</v>
      </c>
      <c r="F33" s="1072">
        <v>1371200988.9200001</v>
      </c>
      <c r="G33" s="1072">
        <v>592793362.64999998</v>
      </c>
      <c r="H33" s="1072">
        <v>124415328.64</v>
      </c>
      <c r="I33" s="1072">
        <v>1121652718.4400001</v>
      </c>
      <c r="J33" s="1086">
        <v>206437618.34</v>
      </c>
    </row>
    <row r="34" spans="1:10" ht="20.100000000000001" customHeight="1">
      <c r="A34" s="1075" t="s">
        <v>920</v>
      </c>
      <c r="B34" s="1083" t="s">
        <v>358</v>
      </c>
      <c r="C34" s="1081">
        <v>0</v>
      </c>
      <c r="D34" s="1072">
        <v>0</v>
      </c>
      <c r="E34" s="1072">
        <v>0</v>
      </c>
      <c r="F34" s="1072">
        <v>0</v>
      </c>
      <c r="G34" s="1072">
        <v>0</v>
      </c>
      <c r="H34" s="1072">
        <v>0</v>
      </c>
      <c r="I34" s="1072">
        <v>0</v>
      </c>
      <c r="J34" s="1086">
        <v>0</v>
      </c>
    </row>
    <row r="35" spans="1:10" ht="20.100000000000001" customHeight="1">
      <c r="A35" s="1075" t="s">
        <v>921</v>
      </c>
      <c r="B35" s="1083" t="s">
        <v>116</v>
      </c>
      <c r="C35" s="1081">
        <v>284300417.18000001</v>
      </c>
      <c r="D35" s="1072">
        <v>233207271.25</v>
      </c>
      <c r="E35" s="1072">
        <v>72911172.239999995</v>
      </c>
      <c r="F35" s="1072">
        <v>26445522.870000001</v>
      </c>
      <c r="G35" s="1072">
        <v>2358246.25</v>
      </c>
      <c r="H35" s="1072">
        <v>506261.84</v>
      </c>
      <c r="I35" s="1072">
        <v>51093145.93</v>
      </c>
      <c r="J35" s="1086">
        <v>9237557.1899999995</v>
      </c>
    </row>
    <row r="36" spans="1:10" ht="20.100000000000001" customHeight="1">
      <c r="A36" s="1075" t="s">
        <v>922</v>
      </c>
      <c r="B36" s="1083" t="s">
        <v>117</v>
      </c>
      <c r="C36" s="1081">
        <v>2627149863.0500002</v>
      </c>
      <c r="D36" s="1072">
        <v>2546889407.46</v>
      </c>
      <c r="E36" s="1072">
        <v>1054446897.5</v>
      </c>
      <c r="F36" s="1072">
        <v>44334438.049999997</v>
      </c>
      <c r="G36" s="1072">
        <v>702033333.39999998</v>
      </c>
      <c r="H36" s="1072">
        <v>83302260.269999996</v>
      </c>
      <c r="I36" s="1072">
        <v>80260455.590000004</v>
      </c>
      <c r="J36" s="1086">
        <v>24081079.739999998</v>
      </c>
    </row>
    <row r="37" spans="1:10" ht="13.5">
      <c r="A37" s="1075" t="s">
        <v>923</v>
      </c>
      <c r="B37" s="1083" t="s">
        <v>118</v>
      </c>
      <c r="C37" s="1081">
        <v>142541268.34999999</v>
      </c>
      <c r="D37" s="1072">
        <v>113899500.97</v>
      </c>
      <c r="E37" s="1072">
        <v>10267698.43</v>
      </c>
      <c r="F37" s="1072">
        <v>4508290.96</v>
      </c>
      <c r="G37" s="1072">
        <v>748631.45</v>
      </c>
      <c r="H37" s="1072">
        <v>86100508.430000007</v>
      </c>
      <c r="I37" s="1072">
        <v>28641767.379999999</v>
      </c>
      <c r="J37" s="1086">
        <v>17487120.149999999</v>
      </c>
    </row>
    <row r="38" spans="1:10" ht="20.100000000000001" customHeight="1">
      <c r="A38" s="1075" t="s">
        <v>924</v>
      </c>
      <c r="B38" s="1083" t="s">
        <v>119</v>
      </c>
      <c r="C38" s="1081">
        <v>475059220.75999999</v>
      </c>
      <c r="D38" s="1072">
        <v>473070823.39999998</v>
      </c>
      <c r="E38" s="1072">
        <v>297546882.83999997</v>
      </c>
      <c r="F38" s="1072">
        <v>8205882.2199999997</v>
      </c>
      <c r="G38" s="1072">
        <v>136411608.30000001</v>
      </c>
      <c r="H38" s="1072">
        <v>3186854.28</v>
      </c>
      <c r="I38" s="1072">
        <v>1988397.36</v>
      </c>
      <c r="J38" s="1086">
        <v>619185.73</v>
      </c>
    </row>
    <row r="39" spans="1:10" ht="20.100000000000001" customHeight="1">
      <c r="A39" s="1075" t="s">
        <v>925</v>
      </c>
      <c r="B39" s="1083" t="s">
        <v>120</v>
      </c>
      <c r="C39" s="1081">
        <v>17465402603.279999</v>
      </c>
      <c r="D39" s="1072">
        <v>17348001972.77</v>
      </c>
      <c r="E39" s="1072">
        <v>638561592.58000004</v>
      </c>
      <c r="F39" s="1072">
        <v>25562359.050000001</v>
      </c>
      <c r="G39" s="1072">
        <v>16381715710.49</v>
      </c>
      <c r="H39" s="1072">
        <v>55022510.350000001</v>
      </c>
      <c r="I39" s="1072">
        <v>117400630.51000001</v>
      </c>
      <c r="J39" s="1086">
        <v>20032447.57</v>
      </c>
    </row>
    <row r="40" spans="1:10" ht="20.100000000000001" customHeight="1">
      <c r="A40" s="1075" t="s">
        <v>926</v>
      </c>
      <c r="B40" s="1083" t="s">
        <v>121</v>
      </c>
      <c r="C40" s="1081">
        <v>6029670609.1700001</v>
      </c>
      <c r="D40" s="1072">
        <v>4222992708.71</v>
      </c>
      <c r="E40" s="1072">
        <v>342471196.68000001</v>
      </c>
      <c r="F40" s="1072">
        <v>136672277.43000001</v>
      </c>
      <c r="G40" s="1072">
        <v>4935741.46</v>
      </c>
      <c r="H40" s="1072">
        <v>12913177.109999999</v>
      </c>
      <c r="I40" s="1072">
        <v>1806677900.46</v>
      </c>
      <c r="J40" s="1086">
        <v>947689813.57000005</v>
      </c>
    </row>
    <row r="41" spans="1:10" ht="20.100000000000001" customHeight="1">
      <c r="A41" s="1075" t="s">
        <v>927</v>
      </c>
      <c r="B41" s="1083" t="s">
        <v>122</v>
      </c>
      <c r="C41" s="1081">
        <v>1693282228.1500001</v>
      </c>
      <c r="D41" s="1072">
        <v>1228581317.98</v>
      </c>
      <c r="E41" s="1072">
        <v>24582540.170000002</v>
      </c>
      <c r="F41" s="1072">
        <v>1017482372.25</v>
      </c>
      <c r="G41" s="1072">
        <v>587392.36</v>
      </c>
      <c r="H41" s="1072">
        <v>12006050.48</v>
      </c>
      <c r="I41" s="1072">
        <v>464700910.17000002</v>
      </c>
      <c r="J41" s="1086">
        <v>208194649.80000001</v>
      </c>
    </row>
    <row r="42" spans="1:10" ht="27">
      <c r="A42" s="1075" t="s">
        <v>928</v>
      </c>
      <c r="B42" s="1083" t="s">
        <v>123</v>
      </c>
      <c r="C42" s="1081">
        <v>1455598.89</v>
      </c>
      <c r="D42" s="1072">
        <v>782970.9</v>
      </c>
      <c r="E42" s="1072">
        <v>26751.7</v>
      </c>
      <c r="F42" s="1072">
        <v>187640.83</v>
      </c>
      <c r="G42" s="1072">
        <v>0</v>
      </c>
      <c r="H42" s="1072">
        <v>0</v>
      </c>
      <c r="I42" s="1072">
        <v>672627.99</v>
      </c>
      <c r="J42" s="1086">
        <v>618627.99</v>
      </c>
    </row>
    <row r="43" spans="1:10" ht="20.100000000000001" customHeight="1">
      <c r="A43" s="1076" t="s">
        <v>929</v>
      </c>
      <c r="B43" s="1084" t="s">
        <v>124</v>
      </c>
      <c r="C43" s="1082">
        <v>890104871.80999994</v>
      </c>
      <c r="D43" s="1077">
        <v>407929999.07999998</v>
      </c>
      <c r="E43" s="1077">
        <v>88656110.260000005</v>
      </c>
      <c r="F43" s="1077">
        <v>169310605.15000001</v>
      </c>
      <c r="G43" s="1077">
        <v>5468071.5499999998</v>
      </c>
      <c r="H43" s="1077">
        <v>644015.86</v>
      </c>
      <c r="I43" s="1077">
        <v>482174872.73000002</v>
      </c>
      <c r="J43" s="1087">
        <v>63468925.270000003</v>
      </c>
    </row>
    <row r="44" spans="1:10" ht="15.75">
      <c r="A44" s="1031" t="s">
        <v>1165</v>
      </c>
    </row>
    <row r="45" spans="1:10" ht="13.5">
      <c r="A45" s="1073" t="s">
        <v>1158</v>
      </c>
      <c r="B45" s="1071"/>
      <c r="C45" s="1071"/>
      <c r="D45" s="1071"/>
      <c r="E45" s="1071"/>
      <c r="F45" s="1071"/>
      <c r="G45" s="1071"/>
      <c r="H45" s="1071"/>
      <c r="I45" s="1071"/>
      <c r="J45" s="1071"/>
    </row>
  </sheetData>
  <mergeCells count="14">
    <mergeCell ref="A1:J1"/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70866141732283472" top="0.74803149606299213" bottom="0.35433070866141736" header="0.31496062992125984" footer="0.31496062992125984"/>
  <pageSetup paperSize="9"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92D050"/>
  </sheetPr>
  <dimension ref="A2:L28"/>
  <sheetViews>
    <sheetView showGridLines="0" zoomScaleNormal="100" workbookViewId="0">
      <selection activeCell="P14" sqref="P14"/>
    </sheetView>
  </sheetViews>
  <sheetFormatPr defaultColWidth="8.85546875" defaultRowHeight="12"/>
  <cols>
    <col min="1" max="1" width="5.85546875" style="1" customWidth="1"/>
    <col min="2" max="2" width="21.5703125" style="1" customWidth="1"/>
    <col min="3" max="3" width="13.5703125" style="1" customWidth="1"/>
    <col min="4" max="4" width="15.140625" style="1" customWidth="1"/>
    <col min="5" max="5" width="12.5703125" style="1" bestFit="1" customWidth="1"/>
    <col min="6" max="6" width="13.7109375" style="1" customWidth="1"/>
    <col min="7" max="7" width="12.28515625" style="1" customWidth="1"/>
    <col min="8" max="8" width="10.7109375" style="1" bestFit="1" customWidth="1"/>
    <col min="9" max="9" width="12.85546875" style="1" customWidth="1"/>
    <col min="10" max="16384" width="8.85546875" style="1"/>
  </cols>
  <sheetData>
    <row r="2" spans="1:12" ht="12.75">
      <c r="A2" s="1889" t="s">
        <v>982</v>
      </c>
      <c r="B2" s="1889"/>
      <c r="C2" s="1889"/>
      <c r="D2" s="1889"/>
      <c r="E2" s="1889"/>
      <c r="F2" s="1889"/>
      <c r="G2" s="1889"/>
      <c r="H2" s="1889"/>
      <c r="I2" s="1889"/>
      <c r="J2" s="1889"/>
      <c r="K2" s="1889"/>
      <c r="L2" s="1889"/>
    </row>
    <row r="3" spans="1:12" ht="13.5">
      <c r="A3" s="181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13.5">
      <c r="A4" s="1899" t="s">
        <v>41</v>
      </c>
      <c r="B4" s="1902" t="s">
        <v>68</v>
      </c>
      <c r="C4" s="2157" t="s">
        <v>983</v>
      </c>
      <c r="D4" s="2160" t="s">
        <v>984</v>
      </c>
      <c r="E4" s="2129" t="s">
        <v>21</v>
      </c>
      <c r="F4" s="2129"/>
      <c r="G4" s="2129"/>
      <c r="H4" s="2129"/>
      <c r="I4" s="2130"/>
      <c r="J4" s="2166" t="s">
        <v>979</v>
      </c>
      <c r="K4" s="2129"/>
      <c r="L4" s="2130"/>
    </row>
    <row r="5" spans="1:12" ht="13.5">
      <c r="A5" s="1900"/>
      <c r="B5" s="1903"/>
      <c r="C5" s="2158"/>
      <c r="D5" s="2161"/>
      <c r="E5" s="2131" t="s">
        <v>739</v>
      </c>
      <c r="F5" s="2136" t="s">
        <v>734</v>
      </c>
      <c r="G5" s="2136"/>
      <c r="H5" s="2136" t="s">
        <v>740</v>
      </c>
      <c r="I5" s="571" t="s">
        <v>734</v>
      </c>
      <c r="J5" s="2135"/>
      <c r="K5" s="2136"/>
      <c r="L5" s="2167"/>
    </row>
    <row r="6" spans="1:12" ht="11.45" customHeight="1">
      <c r="A6" s="1900"/>
      <c r="B6" s="1903"/>
      <c r="C6" s="2158"/>
      <c r="D6" s="2161"/>
      <c r="E6" s="2131"/>
      <c r="F6" s="2131" t="s">
        <v>1162</v>
      </c>
      <c r="G6" s="2131" t="s">
        <v>980</v>
      </c>
      <c r="H6" s="2136"/>
      <c r="I6" s="2139" t="s">
        <v>981</v>
      </c>
      <c r="J6" s="2135"/>
      <c r="K6" s="2136"/>
      <c r="L6" s="2167"/>
    </row>
    <row r="7" spans="1:12" s="18" customFormat="1" ht="43.15" customHeight="1">
      <c r="A7" s="1900"/>
      <c r="B7" s="1903"/>
      <c r="C7" s="2159"/>
      <c r="D7" s="2162"/>
      <c r="E7" s="2168"/>
      <c r="F7" s="2168"/>
      <c r="G7" s="2168"/>
      <c r="H7" s="2169"/>
      <c r="I7" s="2170"/>
      <c r="J7" s="609" t="s">
        <v>931</v>
      </c>
      <c r="K7" s="607" t="s">
        <v>883</v>
      </c>
      <c r="L7" s="608" t="s">
        <v>985</v>
      </c>
    </row>
    <row r="8" spans="1:12" ht="15" customHeight="1">
      <c r="A8" s="1901"/>
      <c r="B8" s="1904"/>
      <c r="C8" s="610"/>
      <c r="D8" s="2163" t="s">
        <v>885</v>
      </c>
      <c r="E8" s="2164"/>
      <c r="F8" s="2164"/>
      <c r="G8" s="2164"/>
      <c r="H8" s="2164"/>
      <c r="I8" s="2165"/>
      <c r="J8" s="2163" t="s">
        <v>5</v>
      </c>
      <c r="K8" s="2164"/>
      <c r="L8" s="2165"/>
    </row>
    <row r="9" spans="1:12" ht="15" customHeight="1">
      <c r="A9" s="398" t="s">
        <v>887</v>
      </c>
      <c r="B9" s="401" t="s">
        <v>888</v>
      </c>
      <c r="C9" s="398" t="s">
        <v>889</v>
      </c>
      <c r="D9" s="399" t="s">
        <v>890</v>
      </c>
      <c r="E9" s="400" t="s">
        <v>891</v>
      </c>
      <c r="F9" s="400" t="s">
        <v>892</v>
      </c>
      <c r="G9" s="400" t="s">
        <v>893</v>
      </c>
      <c r="H9" s="400" t="s">
        <v>894</v>
      </c>
      <c r="I9" s="402" t="s">
        <v>932</v>
      </c>
      <c r="J9" s="399" t="s">
        <v>966</v>
      </c>
      <c r="K9" s="400" t="s">
        <v>967</v>
      </c>
      <c r="L9" s="402" t="s">
        <v>969</v>
      </c>
    </row>
    <row r="10" spans="1:12" ht="19.899999999999999" customHeight="1">
      <c r="A10" s="387"/>
      <c r="B10" s="1565" t="s">
        <v>933</v>
      </c>
      <c r="C10" s="414">
        <v>152788989425.54001</v>
      </c>
      <c r="D10" s="182">
        <v>12554171832.73</v>
      </c>
      <c r="E10" s="183">
        <v>12081379595.870001</v>
      </c>
      <c r="F10" s="183">
        <v>8911734714.5200005</v>
      </c>
      <c r="G10" s="183">
        <v>29437588.989999998</v>
      </c>
      <c r="H10" s="183">
        <v>472792236.86000001</v>
      </c>
      <c r="I10" s="415">
        <v>156965764.66999999</v>
      </c>
      <c r="J10" s="408">
        <v>8.1999999999999993</v>
      </c>
      <c r="K10" s="184">
        <v>96.2</v>
      </c>
      <c r="L10" s="388">
        <v>71</v>
      </c>
    </row>
    <row r="11" spans="1:12" ht="19.899999999999999" customHeight="1">
      <c r="A11" s="389" t="s">
        <v>6</v>
      </c>
      <c r="B11" s="404" t="s">
        <v>26</v>
      </c>
      <c r="C11" s="416">
        <v>11958317974.01</v>
      </c>
      <c r="D11" s="185">
        <v>1050427381.78</v>
      </c>
      <c r="E11" s="186">
        <v>1022574109.38</v>
      </c>
      <c r="F11" s="186">
        <v>748154066.99000001</v>
      </c>
      <c r="G11" s="186">
        <v>2310515.89</v>
      </c>
      <c r="H11" s="186">
        <v>27853272.399999999</v>
      </c>
      <c r="I11" s="417">
        <v>5473686.8799999999</v>
      </c>
      <c r="J11" s="409">
        <v>8.8000000000000007</v>
      </c>
      <c r="K11" s="187">
        <v>97.3</v>
      </c>
      <c r="L11" s="390">
        <v>71.2</v>
      </c>
    </row>
    <row r="12" spans="1:12" ht="19.899999999999999" customHeight="1">
      <c r="A12" s="389" t="s">
        <v>7</v>
      </c>
      <c r="B12" s="404" t="s">
        <v>42</v>
      </c>
      <c r="C12" s="416">
        <v>8067437420.8199997</v>
      </c>
      <c r="D12" s="185">
        <v>641618583.63</v>
      </c>
      <c r="E12" s="186">
        <v>625175376.41999996</v>
      </c>
      <c r="F12" s="186">
        <v>453054573.30000001</v>
      </c>
      <c r="G12" s="186">
        <v>1462445.37</v>
      </c>
      <c r="H12" s="186">
        <v>16443207.210000001</v>
      </c>
      <c r="I12" s="417">
        <v>3966728.17</v>
      </c>
      <c r="J12" s="409">
        <v>8</v>
      </c>
      <c r="K12" s="187">
        <v>97.4</v>
      </c>
      <c r="L12" s="390">
        <v>70.599999999999994</v>
      </c>
    </row>
    <row r="13" spans="1:12" ht="19.899999999999999" customHeight="1">
      <c r="A13" s="389" t="s">
        <v>8</v>
      </c>
      <c r="B13" s="404" t="s">
        <v>27</v>
      </c>
      <c r="C13" s="416">
        <v>8657620850.3500004</v>
      </c>
      <c r="D13" s="185">
        <v>742704237.62</v>
      </c>
      <c r="E13" s="186">
        <v>719335474.03999996</v>
      </c>
      <c r="F13" s="186">
        <v>542849275.63</v>
      </c>
      <c r="G13" s="186">
        <v>703982.72</v>
      </c>
      <c r="H13" s="186">
        <v>23368763.579999998</v>
      </c>
      <c r="I13" s="417">
        <v>12558374.4</v>
      </c>
      <c r="J13" s="409">
        <v>8.6</v>
      </c>
      <c r="K13" s="187">
        <v>96.9</v>
      </c>
      <c r="L13" s="390">
        <v>73.099999999999994</v>
      </c>
    </row>
    <row r="14" spans="1:12" ht="19.899999999999999" customHeight="1">
      <c r="A14" s="389" t="s">
        <v>9</v>
      </c>
      <c r="B14" s="404" t="s">
        <v>28</v>
      </c>
      <c r="C14" s="416">
        <v>4327497747.5299997</v>
      </c>
      <c r="D14" s="185">
        <v>375446289.67000002</v>
      </c>
      <c r="E14" s="186">
        <v>360047551</v>
      </c>
      <c r="F14" s="186">
        <v>263350834.03</v>
      </c>
      <c r="G14" s="186">
        <v>1209844.49</v>
      </c>
      <c r="H14" s="186">
        <v>15398738.67</v>
      </c>
      <c r="I14" s="417">
        <v>6223439.9100000001</v>
      </c>
      <c r="J14" s="409">
        <v>8.6999999999999993</v>
      </c>
      <c r="K14" s="187">
        <v>95.9</v>
      </c>
      <c r="L14" s="390">
        <v>70.099999999999994</v>
      </c>
    </row>
    <row r="15" spans="1:12" ht="19.899999999999999" customHeight="1">
      <c r="A15" s="389" t="s">
        <v>1</v>
      </c>
      <c r="B15" s="404" t="s">
        <v>29</v>
      </c>
      <c r="C15" s="416">
        <v>9793463368.75</v>
      </c>
      <c r="D15" s="185">
        <v>819877496.41999996</v>
      </c>
      <c r="E15" s="186">
        <v>795525377.71000004</v>
      </c>
      <c r="F15" s="186">
        <v>596344431.24000001</v>
      </c>
      <c r="G15" s="186">
        <v>1678339.99</v>
      </c>
      <c r="H15" s="186">
        <v>24352118.710000001</v>
      </c>
      <c r="I15" s="417">
        <v>6190279.3799999999</v>
      </c>
      <c r="J15" s="409">
        <v>8.4</v>
      </c>
      <c r="K15" s="187">
        <v>97</v>
      </c>
      <c r="L15" s="390">
        <v>72.7</v>
      </c>
    </row>
    <row r="16" spans="1:12" ht="19.899999999999999" customHeight="1">
      <c r="A16" s="389" t="s">
        <v>2</v>
      </c>
      <c r="B16" s="404" t="s">
        <v>30</v>
      </c>
      <c r="C16" s="416">
        <v>14516630603.639999</v>
      </c>
      <c r="D16" s="185">
        <v>1061199321.0599999</v>
      </c>
      <c r="E16" s="186">
        <v>1017217177.71</v>
      </c>
      <c r="F16" s="186">
        <v>751692330.51999998</v>
      </c>
      <c r="G16" s="186">
        <v>2914484.19</v>
      </c>
      <c r="H16" s="186">
        <v>43982143.350000001</v>
      </c>
      <c r="I16" s="417">
        <v>14221603.24</v>
      </c>
      <c r="J16" s="409">
        <v>7.3</v>
      </c>
      <c r="K16" s="187">
        <v>95.9</v>
      </c>
      <c r="L16" s="390">
        <v>70.8</v>
      </c>
    </row>
    <row r="17" spans="1:12" ht="19.899999999999999" customHeight="1">
      <c r="A17" s="389" t="s">
        <v>10</v>
      </c>
      <c r="B17" s="404" t="s">
        <v>31</v>
      </c>
      <c r="C17" s="416">
        <v>20201569720.709999</v>
      </c>
      <c r="D17" s="185">
        <v>1661844984.48</v>
      </c>
      <c r="E17" s="186">
        <v>1598646157.1700001</v>
      </c>
      <c r="F17" s="186">
        <v>1188659994.3399999</v>
      </c>
      <c r="G17" s="186">
        <v>4159750.88</v>
      </c>
      <c r="H17" s="186">
        <v>63198827.310000002</v>
      </c>
      <c r="I17" s="417">
        <v>14741009.4</v>
      </c>
      <c r="J17" s="409">
        <v>8.1999999999999993</v>
      </c>
      <c r="K17" s="187">
        <v>96.2</v>
      </c>
      <c r="L17" s="390">
        <v>71.5</v>
      </c>
    </row>
    <row r="18" spans="1:12" ht="19.899999999999999" customHeight="1">
      <c r="A18" s="389" t="s">
        <v>11</v>
      </c>
      <c r="B18" s="404" t="s">
        <v>32</v>
      </c>
      <c r="C18" s="416">
        <v>4477135198.3199997</v>
      </c>
      <c r="D18" s="185">
        <v>405727309.76999998</v>
      </c>
      <c r="E18" s="186">
        <v>390239685.93000001</v>
      </c>
      <c r="F18" s="186">
        <v>291570021.88999999</v>
      </c>
      <c r="G18" s="186">
        <v>1887560.59</v>
      </c>
      <c r="H18" s="186">
        <v>15487623.84</v>
      </c>
      <c r="I18" s="417">
        <v>2983711.58</v>
      </c>
      <c r="J18" s="409">
        <v>9.1</v>
      </c>
      <c r="K18" s="187">
        <v>96.2</v>
      </c>
      <c r="L18" s="390">
        <v>71.900000000000006</v>
      </c>
    </row>
    <row r="19" spans="1:12" ht="19.899999999999999" customHeight="1">
      <c r="A19" s="389" t="s">
        <v>12</v>
      </c>
      <c r="B19" s="404" t="s">
        <v>33</v>
      </c>
      <c r="C19" s="416">
        <v>10069661049.35</v>
      </c>
      <c r="D19" s="185">
        <v>787139907.99000001</v>
      </c>
      <c r="E19" s="186">
        <v>755762617.49000001</v>
      </c>
      <c r="F19" s="186">
        <v>573778955.44000006</v>
      </c>
      <c r="G19" s="186">
        <v>1259721.5</v>
      </c>
      <c r="H19" s="186">
        <v>31377290.5</v>
      </c>
      <c r="I19" s="417">
        <v>11934915.210000001</v>
      </c>
      <c r="J19" s="409">
        <v>7.8</v>
      </c>
      <c r="K19" s="187">
        <v>96</v>
      </c>
      <c r="L19" s="390">
        <v>72.900000000000006</v>
      </c>
    </row>
    <row r="20" spans="1:12" ht="19.899999999999999" customHeight="1">
      <c r="A20" s="389" t="s">
        <v>13</v>
      </c>
      <c r="B20" s="404" t="s">
        <v>34</v>
      </c>
      <c r="C20" s="416">
        <v>4245427801.9400001</v>
      </c>
      <c r="D20" s="185">
        <v>360449835.25</v>
      </c>
      <c r="E20" s="186">
        <v>349828693.62</v>
      </c>
      <c r="F20" s="186">
        <v>256756877.72999999</v>
      </c>
      <c r="G20" s="186">
        <v>484131.72</v>
      </c>
      <c r="H20" s="186">
        <v>10621141.630000001</v>
      </c>
      <c r="I20" s="417">
        <v>290320</v>
      </c>
      <c r="J20" s="409">
        <v>8.5</v>
      </c>
      <c r="K20" s="187">
        <v>97.1</v>
      </c>
      <c r="L20" s="390">
        <v>71.2</v>
      </c>
    </row>
    <row r="21" spans="1:12" ht="19.899999999999999" customHeight="1">
      <c r="A21" s="389" t="s">
        <v>14</v>
      </c>
      <c r="B21" s="404" t="s">
        <v>35</v>
      </c>
      <c r="C21" s="416">
        <v>9818463975.8299999</v>
      </c>
      <c r="D21" s="185">
        <v>716439805.73000002</v>
      </c>
      <c r="E21" s="186">
        <v>697497060.38999999</v>
      </c>
      <c r="F21" s="186">
        <v>507929891.07999998</v>
      </c>
      <c r="G21" s="186">
        <v>1332797.71</v>
      </c>
      <c r="H21" s="186">
        <v>18942745.34</v>
      </c>
      <c r="I21" s="417">
        <v>890726.03</v>
      </c>
      <c r="J21" s="409">
        <v>7.3</v>
      </c>
      <c r="K21" s="187">
        <v>97.4</v>
      </c>
      <c r="L21" s="390">
        <v>70.900000000000006</v>
      </c>
    </row>
    <row r="22" spans="1:12" ht="19.899999999999999" customHeight="1">
      <c r="A22" s="389" t="s">
        <v>15</v>
      </c>
      <c r="B22" s="404" t="s">
        <v>36</v>
      </c>
      <c r="C22" s="416">
        <v>11520331430.51</v>
      </c>
      <c r="D22" s="185">
        <v>990224770.16999996</v>
      </c>
      <c r="E22" s="186">
        <v>964519290.46000004</v>
      </c>
      <c r="F22" s="186">
        <v>711030018.04999995</v>
      </c>
      <c r="G22" s="186">
        <v>4354116.3099999996</v>
      </c>
      <c r="H22" s="186">
        <v>25705479.710000001</v>
      </c>
      <c r="I22" s="417">
        <v>4303974.07</v>
      </c>
      <c r="J22" s="409">
        <v>8.6</v>
      </c>
      <c r="K22" s="187">
        <v>97.4</v>
      </c>
      <c r="L22" s="390">
        <v>71.8</v>
      </c>
    </row>
    <row r="23" spans="1:12" ht="19.899999999999999" customHeight="1">
      <c r="A23" s="389" t="s">
        <v>16</v>
      </c>
      <c r="B23" s="404" t="s">
        <v>37</v>
      </c>
      <c r="C23" s="416">
        <v>5639269146.6000004</v>
      </c>
      <c r="D23" s="185">
        <v>506519089.50999999</v>
      </c>
      <c r="E23" s="186">
        <v>479636134.70999998</v>
      </c>
      <c r="F23" s="186">
        <v>358800605.29000002</v>
      </c>
      <c r="G23" s="186">
        <v>763447.96</v>
      </c>
      <c r="H23" s="186">
        <v>26882954.800000001</v>
      </c>
      <c r="I23" s="417">
        <v>12804875.99</v>
      </c>
      <c r="J23" s="409">
        <v>9</v>
      </c>
      <c r="K23" s="187">
        <v>94.7</v>
      </c>
      <c r="L23" s="390">
        <v>70.8</v>
      </c>
    </row>
    <row r="24" spans="1:12" ht="19.899999999999999" customHeight="1">
      <c r="A24" s="389" t="s">
        <v>17</v>
      </c>
      <c r="B24" s="404" t="s">
        <v>43</v>
      </c>
      <c r="C24" s="416">
        <v>6529074803.6199999</v>
      </c>
      <c r="D24" s="185">
        <v>562703676.77999997</v>
      </c>
      <c r="E24" s="186">
        <v>519321250.57999998</v>
      </c>
      <c r="F24" s="186">
        <v>377297984.83999997</v>
      </c>
      <c r="G24" s="186">
        <v>2728316.46</v>
      </c>
      <c r="H24" s="186">
        <v>43382426.200000003</v>
      </c>
      <c r="I24" s="417">
        <v>33566575.420000002</v>
      </c>
      <c r="J24" s="409">
        <v>8.6</v>
      </c>
      <c r="K24" s="187">
        <v>92.3</v>
      </c>
      <c r="L24" s="390">
        <v>67.099999999999994</v>
      </c>
    </row>
    <row r="25" spans="1:12" ht="19.899999999999999" customHeight="1">
      <c r="A25" s="389" t="s">
        <v>18</v>
      </c>
      <c r="B25" s="404" t="s">
        <v>38</v>
      </c>
      <c r="C25" s="416">
        <v>16129944243.889999</v>
      </c>
      <c r="D25" s="185">
        <v>1271625792.47</v>
      </c>
      <c r="E25" s="186">
        <v>1201450352.49</v>
      </c>
      <c r="F25" s="186">
        <v>867565654.32000005</v>
      </c>
      <c r="G25" s="186">
        <v>1235426.81</v>
      </c>
      <c r="H25" s="186">
        <v>70175439.980000004</v>
      </c>
      <c r="I25" s="417">
        <v>26599737.850000001</v>
      </c>
      <c r="J25" s="409">
        <v>7.9</v>
      </c>
      <c r="K25" s="187">
        <v>94.5</v>
      </c>
      <c r="L25" s="390">
        <v>68.2</v>
      </c>
    </row>
    <row r="26" spans="1:12" ht="19.899999999999999" customHeight="1">
      <c r="A26" s="392" t="s">
        <v>19</v>
      </c>
      <c r="B26" s="405" t="s">
        <v>39</v>
      </c>
      <c r="C26" s="418">
        <v>6837144089.6700001</v>
      </c>
      <c r="D26" s="393">
        <v>600223350.39999998</v>
      </c>
      <c r="E26" s="394">
        <v>584603286.76999998</v>
      </c>
      <c r="F26" s="394">
        <v>422899199.82999998</v>
      </c>
      <c r="G26" s="394">
        <v>952706.4</v>
      </c>
      <c r="H26" s="394">
        <v>15620063.630000001</v>
      </c>
      <c r="I26" s="419">
        <v>215807.14</v>
      </c>
      <c r="J26" s="411">
        <v>8.8000000000000007</v>
      </c>
      <c r="K26" s="395">
        <v>97.4</v>
      </c>
      <c r="L26" s="396">
        <v>70.5</v>
      </c>
    </row>
    <row r="27" spans="1:12" ht="15.75">
      <c r="A27" s="188" t="s">
        <v>1165</v>
      </c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2" ht="13.5">
      <c r="A28" s="188" t="s">
        <v>1158</v>
      </c>
      <c r="B28" s="179"/>
      <c r="C28" s="180"/>
      <c r="D28" s="180"/>
      <c r="E28" s="180"/>
      <c r="F28" s="180"/>
      <c r="G28" s="180"/>
      <c r="H28" s="180"/>
      <c r="I28" s="180"/>
      <c r="J28" s="180"/>
      <c r="K28" s="180"/>
      <c r="L28" s="180"/>
    </row>
  </sheetData>
  <mergeCells count="15">
    <mergeCell ref="A2:L2"/>
    <mergeCell ref="A4:A8"/>
    <mergeCell ref="B4:B8"/>
    <mergeCell ref="C4:C7"/>
    <mergeCell ref="D4:D7"/>
    <mergeCell ref="E4:I4"/>
    <mergeCell ref="D8:I8"/>
    <mergeCell ref="J8:L8"/>
    <mergeCell ref="J4:L6"/>
    <mergeCell ref="E5:E7"/>
    <mergeCell ref="F5:G5"/>
    <mergeCell ref="H5:H7"/>
    <mergeCell ref="F6:F7"/>
    <mergeCell ref="G6:G7"/>
    <mergeCell ref="I6:I7"/>
  </mergeCells>
  <phoneticPr fontId="0" type="noConversion"/>
  <printOptions horizontalCentered="1"/>
  <pageMargins left="0.31496062992125984" right="0.15748031496062992" top="0.78740157480314965" bottom="0.78740157480314965" header="0.43307086614173229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92D050"/>
    <pageSetUpPr fitToPage="1"/>
  </sheetPr>
  <dimension ref="A2:I27"/>
  <sheetViews>
    <sheetView showGridLines="0" workbookViewId="0">
      <selection activeCell="P9" sqref="P9"/>
    </sheetView>
  </sheetViews>
  <sheetFormatPr defaultRowHeight="12.75"/>
  <cols>
    <col min="1" max="1" width="5.5703125" customWidth="1"/>
    <col min="2" max="2" width="17" customWidth="1"/>
    <col min="3" max="3" width="10.28515625" customWidth="1"/>
    <col min="4" max="4" width="13.7109375" bestFit="1" customWidth="1"/>
    <col min="5" max="5" width="12.42578125" customWidth="1"/>
    <col min="6" max="6" width="13.5703125" customWidth="1"/>
    <col min="7" max="7" width="14" customWidth="1"/>
    <col min="8" max="8" width="12.42578125" customWidth="1"/>
    <col min="9" max="9" width="12.5703125" customWidth="1"/>
  </cols>
  <sheetData>
    <row r="2" spans="1:9" ht="13.15" customHeight="1">
      <c r="A2" s="1889" t="s">
        <v>974</v>
      </c>
      <c r="B2" s="1889"/>
      <c r="C2" s="1889"/>
      <c r="D2" s="1889"/>
      <c r="E2" s="1889"/>
      <c r="F2" s="1889"/>
      <c r="G2" s="1889"/>
      <c r="H2" s="1889"/>
      <c r="I2" s="1889"/>
    </row>
    <row r="4" spans="1:9" ht="13.15" customHeight="1">
      <c r="A4" s="1899" t="s">
        <v>41</v>
      </c>
      <c r="B4" s="1902" t="s">
        <v>68</v>
      </c>
      <c r="C4" s="1808" t="s">
        <v>959</v>
      </c>
      <c r="D4" s="2171" t="s">
        <v>45</v>
      </c>
      <c r="E4" s="1907" t="s">
        <v>46</v>
      </c>
      <c r="F4" s="1909" t="s">
        <v>47</v>
      </c>
      <c r="G4" s="1905" t="s">
        <v>48</v>
      </c>
      <c r="H4" s="1907" t="s">
        <v>49</v>
      </c>
      <c r="I4" s="1911" t="s">
        <v>50</v>
      </c>
    </row>
    <row r="5" spans="1:9" ht="41.45" customHeight="1">
      <c r="A5" s="1900"/>
      <c r="B5" s="1903"/>
      <c r="C5" s="1809"/>
      <c r="D5" s="2172"/>
      <c r="E5" s="1908"/>
      <c r="F5" s="1910"/>
      <c r="G5" s="1906"/>
      <c r="H5" s="1908"/>
      <c r="I5" s="1912"/>
    </row>
    <row r="6" spans="1:9" ht="13.5">
      <c r="A6" s="1901"/>
      <c r="B6" s="1904"/>
      <c r="C6" s="1810"/>
      <c r="D6" s="1853" t="s">
        <v>4</v>
      </c>
      <c r="E6" s="1854"/>
      <c r="F6" s="426" t="s">
        <v>5</v>
      </c>
      <c r="G6" s="1913" t="s">
        <v>4</v>
      </c>
      <c r="H6" s="1854"/>
      <c r="I6" s="322" t="s">
        <v>5</v>
      </c>
    </row>
    <row r="7" spans="1:9">
      <c r="A7" s="398" t="s">
        <v>887</v>
      </c>
      <c r="B7" s="403" t="s">
        <v>888</v>
      </c>
      <c r="C7" s="428" t="s">
        <v>889</v>
      </c>
      <c r="D7" s="399" t="s">
        <v>890</v>
      </c>
      <c r="E7" s="400" t="s">
        <v>891</v>
      </c>
      <c r="F7" s="401" t="s">
        <v>892</v>
      </c>
      <c r="G7" s="398" t="s">
        <v>893</v>
      </c>
      <c r="H7" s="400" t="s">
        <v>894</v>
      </c>
      <c r="I7" s="402" t="s">
        <v>932</v>
      </c>
    </row>
    <row r="8" spans="1:9" ht="21" customHeight="1">
      <c r="A8" s="420"/>
      <c r="B8" s="1563" t="s">
        <v>933</v>
      </c>
      <c r="C8" s="429">
        <v>25754378</v>
      </c>
      <c r="D8" s="182">
        <v>23252898024.57</v>
      </c>
      <c r="E8" s="189">
        <v>902.9</v>
      </c>
      <c r="F8" s="191">
        <v>15.2</v>
      </c>
      <c r="G8" s="414">
        <v>21782472780.189999</v>
      </c>
      <c r="H8" s="189">
        <v>845.8</v>
      </c>
      <c r="I8" s="421">
        <v>14.3</v>
      </c>
    </row>
    <row r="9" spans="1:9" ht="21" customHeight="1">
      <c r="A9" s="389" t="s">
        <v>6</v>
      </c>
      <c r="B9" s="193" t="s">
        <v>26</v>
      </c>
      <c r="C9" s="430">
        <v>1962651</v>
      </c>
      <c r="D9" s="185">
        <v>1972277204.45</v>
      </c>
      <c r="E9" s="190">
        <v>1004.9</v>
      </c>
      <c r="F9" s="192">
        <v>16.5</v>
      </c>
      <c r="G9" s="416">
        <v>1779950345.6099999</v>
      </c>
      <c r="H9" s="190">
        <v>906.9</v>
      </c>
      <c r="I9" s="422">
        <v>14.9</v>
      </c>
    </row>
    <row r="10" spans="1:9" ht="21" customHeight="1">
      <c r="A10" s="389" t="s">
        <v>7</v>
      </c>
      <c r="B10" s="193" t="s">
        <v>42</v>
      </c>
      <c r="C10" s="430">
        <v>1317113</v>
      </c>
      <c r="D10" s="185">
        <v>1322490268.8</v>
      </c>
      <c r="E10" s="190">
        <v>1004.08</v>
      </c>
      <c r="F10" s="192">
        <v>16.399999999999999</v>
      </c>
      <c r="G10" s="416">
        <v>1170160624.1099999</v>
      </c>
      <c r="H10" s="190">
        <v>888.4</v>
      </c>
      <c r="I10" s="422">
        <v>14.5</v>
      </c>
    </row>
    <row r="11" spans="1:9" ht="21" customHeight="1">
      <c r="A11" s="389" t="s">
        <v>8</v>
      </c>
      <c r="B11" s="193" t="s">
        <v>27</v>
      </c>
      <c r="C11" s="430">
        <v>1575810</v>
      </c>
      <c r="D11" s="185">
        <v>1391554342.1099999</v>
      </c>
      <c r="E11" s="190">
        <v>883.07</v>
      </c>
      <c r="F11" s="192">
        <v>16.100000000000001</v>
      </c>
      <c r="G11" s="416">
        <v>1376667382.3499999</v>
      </c>
      <c r="H11" s="190">
        <v>873.6</v>
      </c>
      <c r="I11" s="422">
        <v>15.9</v>
      </c>
    </row>
    <row r="12" spans="1:9" ht="21" customHeight="1">
      <c r="A12" s="389" t="s">
        <v>9</v>
      </c>
      <c r="B12" s="193" t="s">
        <v>28</v>
      </c>
      <c r="C12" s="430">
        <v>743664</v>
      </c>
      <c r="D12" s="185">
        <v>664025507.73000002</v>
      </c>
      <c r="E12" s="190">
        <v>892.91</v>
      </c>
      <c r="F12" s="192">
        <v>15.3</v>
      </c>
      <c r="G12" s="416">
        <v>590414634.95000005</v>
      </c>
      <c r="H12" s="190">
        <v>793.9</v>
      </c>
      <c r="I12" s="422">
        <v>13.6</v>
      </c>
    </row>
    <row r="13" spans="1:9" ht="21" customHeight="1">
      <c r="A13" s="389" t="s">
        <v>1</v>
      </c>
      <c r="B13" s="193" t="s">
        <v>29</v>
      </c>
      <c r="C13" s="430">
        <v>1645880</v>
      </c>
      <c r="D13" s="185">
        <v>1615565053.24</v>
      </c>
      <c r="E13" s="190">
        <v>981.58</v>
      </c>
      <c r="F13" s="192">
        <v>16.5</v>
      </c>
      <c r="G13" s="416">
        <v>1566257361.4000001</v>
      </c>
      <c r="H13" s="190">
        <v>951.6</v>
      </c>
      <c r="I13" s="422">
        <v>16</v>
      </c>
    </row>
    <row r="14" spans="1:9" ht="21" customHeight="1">
      <c r="A14" s="389" t="s">
        <v>2</v>
      </c>
      <c r="B14" s="193" t="s">
        <v>30</v>
      </c>
      <c r="C14" s="430">
        <v>2439419</v>
      </c>
      <c r="D14" s="185">
        <v>2286574561.7399998</v>
      </c>
      <c r="E14" s="190">
        <v>937.34</v>
      </c>
      <c r="F14" s="192">
        <v>15.8</v>
      </c>
      <c r="G14" s="416">
        <v>2183190975.71</v>
      </c>
      <c r="H14" s="190">
        <v>895</v>
      </c>
      <c r="I14" s="422">
        <v>15</v>
      </c>
    </row>
    <row r="15" spans="1:9" ht="21" customHeight="1">
      <c r="A15" s="389" t="s">
        <v>10</v>
      </c>
      <c r="B15" s="193" t="s">
        <v>31</v>
      </c>
      <c r="C15" s="430">
        <v>3173829</v>
      </c>
      <c r="D15" s="185">
        <v>2979759273.6300001</v>
      </c>
      <c r="E15" s="190">
        <v>938.85</v>
      </c>
      <c r="F15" s="192">
        <v>14.8</v>
      </c>
      <c r="G15" s="416">
        <v>2898566752.4099998</v>
      </c>
      <c r="H15" s="190">
        <v>913.3</v>
      </c>
      <c r="I15" s="422">
        <v>14.3</v>
      </c>
    </row>
    <row r="16" spans="1:9" ht="21" customHeight="1">
      <c r="A16" s="389" t="s">
        <v>11</v>
      </c>
      <c r="B16" s="193" t="s">
        <v>32</v>
      </c>
      <c r="C16" s="430">
        <v>848935</v>
      </c>
      <c r="D16" s="185">
        <v>585835073.71000004</v>
      </c>
      <c r="E16" s="190">
        <v>690.08</v>
      </c>
      <c r="F16" s="192">
        <v>13.1</v>
      </c>
      <c r="G16" s="416">
        <v>479663761.23000002</v>
      </c>
      <c r="H16" s="190">
        <v>565</v>
      </c>
      <c r="I16" s="422">
        <v>10.7</v>
      </c>
    </row>
    <row r="17" spans="1:9" ht="21" customHeight="1">
      <c r="A17" s="389" t="s">
        <v>12</v>
      </c>
      <c r="B17" s="193" t="s">
        <v>33</v>
      </c>
      <c r="C17" s="430">
        <v>1772508</v>
      </c>
      <c r="D17" s="185">
        <v>1487200737.75</v>
      </c>
      <c r="E17" s="190">
        <v>839.04</v>
      </c>
      <c r="F17" s="192">
        <v>14.8</v>
      </c>
      <c r="G17" s="416">
        <v>1421548032.0899999</v>
      </c>
      <c r="H17" s="190">
        <v>802</v>
      </c>
      <c r="I17" s="422">
        <v>14.1</v>
      </c>
    </row>
    <row r="18" spans="1:9" ht="21" customHeight="1">
      <c r="A18" s="389" t="s">
        <v>13</v>
      </c>
      <c r="B18" s="193" t="s">
        <v>34</v>
      </c>
      <c r="C18" s="430">
        <v>744116</v>
      </c>
      <c r="D18" s="185">
        <v>740967396.23000002</v>
      </c>
      <c r="E18" s="190">
        <v>995.77</v>
      </c>
      <c r="F18" s="192">
        <v>17.5</v>
      </c>
      <c r="G18" s="416">
        <v>735718896.23000002</v>
      </c>
      <c r="H18" s="190">
        <v>988.7</v>
      </c>
      <c r="I18" s="422">
        <v>17.3</v>
      </c>
    </row>
    <row r="19" spans="1:9" ht="21" customHeight="1">
      <c r="A19" s="389" t="s">
        <v>14</v>
      </c>
      <c r="B19" s="193" t="s">
        <v>35</v>
      </c>
      <c r="C19" s="430">
        <v>1505831</v>
      </c>
      <c r="D19" s="185">
        <v>1593544777.8699999</v>
      </c>
      <c r="E19" s="190">
        <v>1058.25</v>
      </c>
      <c r="F19" s="192">
        <v>16.2</v>
      </c>
      <c r="G19" s="416">
        <v>1429753256.6199999</v>
      </c>
      <c r="H19" s="190">
        <v>949.5</v>
      </c>
      <c r="I19" s="422">
        <v>14.6</v>
      </c>
    </row>
    <row r="20" spans="1:9" ht="21" customHeight="1">
      <c r="A20" s="389" t="s">
        <v>15</v>
      </c>
      <c r="B20" s="193" t="s">
        <v>36</v>
      </c>
      <c r="C20" s="430">
        <v>1994235</v>
      </c>
      <c r="D20" s="185">
        <v>1594386310.4100001</v>
      </c>
      <c r="E20" s="190">
        <v>799.5</v>
      </c>
      <c r="F20" s="192">
        <v>13.8</v>
      </c>
      <c r="G20" s="416">
        <v>1507607463.3299999</v>
      </c>
      <c r="H20" s="190">
        <v>756</v>
      </c>
      <c r="I20" s="422">
        <v>13.1</v>
      </c>
    </row>
    <row r="21" spans="1:9" ht="21" customHeight="1">
      <c r="A21" s="389" t="s">
        <v>16</v>
      </c>
      <c r="B21" s="193" t="s">
        <v>37</v>
      </c>
      <c r="C21" s="430">
        <v>1031211</v>
      </c>
      <c r="D21" s="185">
        <v>892978983.36000001</v>
      </c>
      <c r="E21" s="190">
        <v>865.95</v>
      </c>
      <c r="F21" s="192">
        <v>15.8</v>
      </c>
      <c r="G21" s="416">
        <v>867391736.80999994</v>
      </c>
      <c r="H21" s="190">
        <v>841.1</v>
      </c>
      <c r="I21" s="422">
        <v>15.4</v>
      </c>
    </row>
    <row r="22" spans="1:9" ht="21" customHeight="1">
      <c r="A22" s="389" t="s">
        <v>17</v>
      </c>
      <c r="B22" s="193" t="s">
        <v>43</v>
      </c>
      <c r="C22" s="430">
        <v>1126664</v>
      </c>
      <c r="D22" s="185">
        <v>982659045.03999996</v>
      </c>
      <c r="E22" s="190">
        <v>872.18</v>
      </c>
      <c r="F22" s="192">
        <v>15.1</v>
      </c>
      <c r="G22" s="416">
        <v>902176741.63999999</v>
      </c>
      <c r="H22" s="190">
        <v>800.8</v>
      </c>
      <c r="I22" s="422">
        <v>13.8</v>
      </c>
    </row>
    <row r="23" spans="1:9" ht="21" customHeight="1">
      <c r="A23" s="389" t="s">
        <v>18</v>
      </c>
      <c r="B23" s="193" t="s">
        <v>38</v>
      </c>
      <c r="C23" s="430">
        <v>2729903</v>
      </c>
      <c r="D23" s="185">
        <v>2189409463.54</v>
      </c>
      <c r="E23" s="190">
        <v>802.01</v>
      </c>
      <c r="F23" s="192">
        <v>13.6</v>
      </c>
      <c r="G23" s="416">
        <v>2045257950.26</v>
      </c>
      <c r="H23" s="190">
        <v>749.2</v>
      </c>
      <c r="I23" s="422">
        <v>12.7</v>
      </c>
    </row>
    <row r="24" spans="1:9" ht="21" customHeight="1">
      <c r="A24" s="392" t="s">
        <v>19</v>
      </c>
      <c r="B24" s="427" t="s">
        <v>39</v>
      </c>
      <c r="C24" s="431">
        <v>1142609</v>
      </c>
      <c r="D24" s="393">
        <v>953670024.96000004</v>
      </c>
      <c r="E24" s="423">
        <v>834.64</v>
      </c>
      <c r="F24" s="424">
        <v>13.9</v>
      </c>
      <c r="G24" s="418">
        <v>828146865.44000006</v>
      </c>
      <c r="H24" s="423">
        <v>724.8</v>
      </c>
      <c r="I24" s="425">
        <v>12.1</v>
      </c>
    </row>
    <row r="26" spans="1:9" s="11" customFormat="1" ht="13.5">
      <c r="A26" s="106" t="s">
        <v>934</v>
      </c>
      <c r="B26" s="106" t="s">
        <v>935</v>
      </c>
      <c r="C26" s="106"/>
      <c r="D26" s="106"/>
      <c r="E26" s="106"/>
      <c r="F26" s="106"/>
      <c r="G26" s="106"/>
      <c r="H26" s="106"/>
      <c r="I26" s="106"/>
    </row>
    <row r="27" spans="1:9" s="11" customFormat="1" ht="13.5">
      <c r="A27" s="106"/>
      <c r="B27" s="106" t="s">
        <v>936</v>
      </c>
      <c r="C27" s="106"/>
      <c r="D27" s="106"/>
      <c r="E27" s="106"/>
      <c r="F27" s="106"/>
      <c r="G27" s="106"/>
      <c r="H27" s="106"/>
      <c r="I27" s="106"/>
    </row>
  </sheetData>
  <mergeCells count="12">
    <mergeCell ref="A2:I2"/>
    <mergeCell ref="A4:A6"/>
    <mergeCell ref="B4:B6"/>
    <mergeCell ref="D4:D5"/>
    <mergeCell ref="E4:E5"/>
    <mergeCell ref="C4:C6"/>
    <mergeCell ref="F4:F5"/>
    <mergeCell ref="G4:G5"/>
    <mergeCell ref="H4:H5"/>
    <mergeCell ref="I4:I5"/>
    <mergeCell ref="D6:E6"/>
    <mergeCell ref="G6:H6"/>
  </mergeCells>
  <phoneticPr fontId="0" type="noConversion"/>
  <pageMargins left="0.75" right="0.75" top="1" bottom="1" header="0.5" footer="0.5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5"/>
  <sheetViews>
    <sheetView showGridLines="0" topLeftCell="A79" zoomScaleNormal="100" zoomScaleSheetLayoutView="100" workbookViewId="0">
      <selection activeCell="A84" sqref="A84"/>
    </sheetView>
  </sheetViews>
  <sheetFormatPr defaultColWidth="9.140625" defaultRowHeight="13.5"/>
  <cols>
    <col min="1" max="1" width="30.28515625" style="1107" customWidth="1"/>
    <col min="2" max="4" width="12.28515625" style="1107" bestFit="1" customWidth="1"/>
    <col min="5" max="5" width="11.42578125" style="1107" bestFit="1" customWidth="1"/>
    <col min="6" max="7" width="9.28515625" style="1107" bestFit="1" customWidth="1"/>
    <col min="8" max="8" width="9.5703125" style="1107" bestFit="1" customWidth="1"/>
    <col min="9" max="11" width="9.28515625" style="1107" bestFit="1" customWidth="1"/>
    <col min="12" max="14" width="9.140625" style="1107"/>
    <col min="15" max="16384" width="9.140625" style="1513"/>
  </cols>
  <sheetData>
    <row r="1" spans="1:12">
      <c r="A1" s="2003" t="s">
        <v>1115</v>
      </c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</row>
    <row r="3" spans="1:12" ht="67.5">
      <c r="A3" s="1988" t="s">
        <v>218</v>
      </c>
      <c r="B3" s="1290" t="s">
        <v>1080</v>
      </c>
      <c r="C3" s="1290" t="s">
        <v>1081</v>
      </c>
      <c r="D3" s="1290" t="s">
        <v>1082</v>
      </c>
      <c r="E3" s="1292" t="s">
        <v>219</v>
      </c>
      <c r="F3" s="1290" t="s">
        <v>1079</v>
      </c>
      <c r="G3" s="1290" t="s">
        <v>221</v>
      </c>
    </row>
    <row r="4" spans="1:12">
      <c r="A4" s="1989"/>
      <c r="B4" s="1990" t="s">
        <v>4</v>
      </c>
      <c r="C4" s="1990"/>
      <c r="D4" s="1990"/>
      <c r="E4" s="1991" t="s">
        <v>5</v>
      </c>
      <c r="F4" s="1990"/>
      <c r="G4" s="1992"/>
    </row>
    <row r="5" spans="1:12">
      <c r="A5" s="1328" t="s">
        <v>887</v>
      </c>
      <c r="B5" s="1517" t="s">
        <v>888</v>
      </c>
      <c r="C5" s="1517" t="s">
        <v>889</v>
      </c>
      <c r="D5" s="1517" t="s">
        <v>890</v>
      </c>
      <c r="E5" s="1520" t="s">
        <v>891</v>
      </c>
      <c r="F5" s="1517" t="s">
        <v>892</v>
      </c>
      <c r="G5" s="1519" t="s">
        <v>893</v>
      </c>
    </row>
    <row r="6" spans="1:12">
      <c r="A6" s="1392" t="s">
        <v>222</v>
      </c>
      <c r="B6" s="1590">
        <f>35446064078.63</f>
        <v>35446064078.629997</v>
      </c>
      <c r="C6" s="1590">
        <f>36053277512.58</f>
        <v>36053277512.580002</v>
      </c>
      <c r="D6" s="1590">
        <f>35816490633.85</f>
        <v>35816490633.849998</v>
      </c>
      <c r="E6" s="1591">
        <v>100</v>
      </c>
      <c r="F6" s="1526">
        <v>101.71306307127082</v>
      </c>
      <c r="G6" s="1591"/>
    </row>
    <row r="7" spans="1:12" ht="27">
      <c r="A7" s="1392" t="s">
        <v>223</v>
      </c>
      <c r="B7" s="1590">
        <f>B6-B12-B32</f>
        <v>12930818057.619995</v>
      </c>
      <c r="C7" s="1590">
        <f>C6-C12-C32</f>
        <v>13747399431.110004</v>
      </c>
      <c r="D7" s="1590">
        <f>D6-D12-D32</f>
        <v>13589159822.349998</v>
      </c>
      <c r="E7" s="1591">
        <v>38.130789707851527</v>
      </c>
      <c r="F7" s="1526">
        <v>106.3150016483977</v>
      </c>
      <c r="G7" s="1591">
        <v>100</v>
      </c>
    </row>
    <row r="8" spans="1:12">
      <c r="A8" s="1636" t="s">
        <v>225</v>
      </c>
      <c r="B8" s="1593">
        <f>6414628183.68</f>
        <v>6414628183.6800003</v>
      </c>
      <c r="C8" s="1593">
        <f>6940195025</f>
        <v>6940195025</v>
      </c>
      <c r="D8" s="1593">
        <f>6797787641.56</f>
        <v>6797787641.5600004</v>
      </c>
      <c r="E8" s="1594">
        <v>19.24983109393694</v>
      </c>
      <c r="F8" s="1637">
        <v>108.19325495212861</v>
      </c>
      <c r="G8" s="1594">
        <v>50.483693732608948</v>
      </c>
    </row>
    <row r="9" spans="1:12">
      <c r="A9" s="1636" t="s">
        <v>224</v>
      </c>
      <c r="B9" s="1593">
        <f>256025410.63</f>
        <v>256025410.63</v>
      </c>
      <c r="C9" s="1593">
        <f>339635141.92</f>
        <v>339635141.92000002</v>
      </c>
      <c r="D9" s="1593">
        <f>336797567.33</f>
        <v>336797567.32999998</v>
      </c>
      <c r="E9" s="1594">
        <v>0.94203680040321369</v>
      </c>
      <c r="F9" s="1637">
        <v>132.65680976128976</v>
      </c>
      <c r="G9" s="1594">
        <v>2.4705410184810268</v>
      </c>
    </row>
    <row r="10" spans="1:12">
      <c r="A10" s="1636" t="s">
        <v>90</v>
      </c>
      <c r="B10" s="1593">
        <f>377651602.58</f>
        <v>377651602.57999998</v>
      </c>
      <c r="C10" s="1595">
        <f>360824841.7</f>
        <v>360824841.69999999</v>
      </c>
      <c r="D10" s="1593">
        <f>348743937.91</f>
        <v>348743937.91000003</v>
      </c>
      <c r="E10" s="1594">
        <v>1.0008100971516336</v>
      </c>
      <c r="F10" s="1637">
        <v>95.544369263881123</v>
      </c>
      <c r="G10" s="1594">
        <v>2.6246770780767661</v>
      </c>
    </row>
    <row r="11" spans="1:12">
      <c r="A11" s="1636" t="s">
        <v>231</v>
      </c>
      <c r="B11" s="1593">
        <f>B7-B9-B8-B10</f>
        <v>5882512860.7299957</v>
      </c>
      <c r="C11" s="1593">
        <f>C7-C9-C8-C10</f>
        <v>6106744422.4900045</v>
      </c>
      <c r="D11" s="1593">
        <f>D7-D9-D8-D10</f>
        <v>6105830675.5499983</v>
      </c>
      <c r="E11" s="1594">
        <v>16.938111716359739</v>
      </c>
      <c r="F11" s="1637">
        <v>103.81183292019497</v>
      </c>
      <c r="G11" s="1594">
        <v>44.421088170833258</v>
      </c>
    </row>
    <row r="12" spans="1:12">
      <c r="A12" s="1392" t="s">
        <v>1114</v>
      </c>
      <c r="B12" s="1590">
        <f>B13+B28+B30</f>
        <v>7827599596.0100012</v>
      </c>
      <c r="C12" s="1590">
        <f>C13+C28+C30</f>
        <v>7343478321.4699984</v>
      </c>
      <c r="D12" s="1590">
        <f>D13+D28+D30</f>
        <v>7316129011.499999</v>
      </c>
      <c r="E12" s="1591">
        <v>20.36840705788164</v>
      </c>
      <c r="F12" s="1591">
        <v>93.815201344908147</v>
      </c>
      <c r="G12" s="1094"/>
    </row>
    <row r="13" spans="1:12" ht="27">
      <c r="A13" s="1392" t="s">
        <v>233</v>
      </c>
      <c r="B13" s="1590">
        <f>B14+B16+B18+B20+B22+B24+B26</f>
        <v>6329918504.1500006</v>
      </c>
      <c r="C13" s="1590">
        <f>C14+C16+C18+C20+C22+C24+C26</f>
        <v>6153768896.079999</v>
      </c>
      <c r="D13" s="1590">
        <f>D14+D16+D18+D20+D22+D24+D26</f>
        <v>6131833295.829999</v>
      </c>
      <c r="E13" s="1591">
        <v>17.068542225967601</v>
      </c>
      <c r="F13" s="1591">
        <v>97.217189953480201</v>
      </c>
      <c r="G13" s="1331"/>
    </row>
    <row r="14" spans="1:12">
      <c r="A14" s="1636" t="s">
        <v>234</v>
      </c>
      <c r="B14" s="1593">
        <f>3681428808.25</f>
        <v>3681428808.25</v>
      </c>
      <c r="C14" s="1593">
        <f>3587177716.41</f>
        <v>3587177716.4099998</v>
      </c>
      <c r="D14" s="1593">
        <f>3587107231.89</f>
        <v>3587107231.8899999</v>
      </c>
      <c r="E14" s="1594">
        <v>9.9496577396003261</v>
      </c>
      <c r="F14" s="1594">
        <v>97.439823048355976</v>
      </c>
      <c r="G14" s="1331"/>
    </row>
    <row r="15" spans="1:12">
      <c r="A15" s="1638" t="s">
        <v>235</v>
      </c>
      <c r="B15" s="1593">
        <f>147390495.75</f>
        <v>147390495.75</v>
      </c>
      <c r="C15" s="1593">
        <f>80920625.11</f>
        <v>80920625.109999999</v>
      </c>
      <c r="D15" s="1593">
        <f>80926142.28</f>
        <v>80926142.280000001</v>
      </c>
      <c r="E15" s="1594">
        <v>0.22444734762814425</v>
      </c>
      <c r="F15" s="1594">
        <v>54.902200239054423</v>
      </c>
      <c r="G15" s="1331"/>
    </row>
    <row r="16" spans="1:12">
      <c r="A16" s="1636" t="s">
        <v>236</v>
      </c>
      <c r="B16" s="1593">
        <f>913744980.82</f>
        <v>913744980.82000005</v>
      </c>
      <c r="C16" s="1593">
        <f>871649249.53</f>
        <v>871649249.52999997</v>
      </c>
      <c r="D16" s="1593">
        <f>871994240.11</f>
        <v>871994240.11000001</v>
      </c>
      <c r="E16" s="1594">
        <v>2.4176699309122647</v>
      </c>
      <c r="F16" s="1594">
        <v>95.393054717277565</v>
      </c>
      <c r="G16" s="1331"/>
    </row>
    <row r="17" spans="1:7">
      <c r="A17" s="1638" t="s">
        <v>235</v>
      </c>
      <c r="B17" s="1593">
        <f>140548281.13</f>
        <v>140548281.13</v>
      </c>
      <c r="C17" s="1593">
        <f>102074493.37</f>
        <v>102074493.37</v>
      </c>
      <c r="D17" s="1593">
        <f>102090152.86</f>
        <v>102090152.86</v>
      </c>
      <c r="E17" s="1594">
        <v>0.28312125945937466</v>
      </c>
      <c r="F17" s="1594">
        <v>72.625927936881922</v>
      </c>
      <c r="G17" s="1331"/>
    </row>
    <row r="18" spans="1:7" ht="27">
      <c r="A18" s="1636" t="s">
        <v>363</v>
      </c>
      <c r="B18" s="1593">
        <f>69739816.21</f>
        <v>69739816.209999993</v>
      </c>
      <c r="C18" s="1593">
        <f>57098858.73</f>
        <v>57098858.729999997</v>
      </c>
      <c r="D18" s="1593">
        <f>58528140.37</f>
        <v>58528140.369999997</v>
      </c>
      <c r="E18" s="1594">
        <v>0.15837355899217928</v>
      </c>
      <c r="F18" s="1594">
        <v>81.874117015256189</v>
      </c>
      <c r="G18" s="1331"/>
    </row>
    <row r="19" spans="1:7">
      <c r="A19" s="1638" t="s">
        <v>235</v>
      </c>
      <c r="B19" s="1593">
        <f>5732006</f>
        <v>5732006</v>
      </c>
      <c r="C19" s="1593">
        <f>3913897.12</f>
        <v>3913897.12</v>
      </c>
      <c r="D19" s="1593">
        <f>3913897.12</f>
        <v>3913897.12</v>
      </c>
      <c r="E19" s="1594">
        <v>1.0855870506181668E-2</v>
      </c>
      <c r="F19" s="1594">
        <v>68.281455392754296</v>
      </c>
      <c r="G19" s="1331"/>
    </row>
    <row r="20" spans="1:7" ht="27">
      <c r="A20" s="1636" t="s">
        <v>362</v>
      </c>
      <c r="B20" s="1593">
        <f>387376058.07</f>
        <v>387376058.06999999</v>
      </c>
      <c r="C20" s="1593">
        <f>375659464.04</f>
        <v>375659464.04000002</v>
      </c>
      <c r="D20" s="1593">
        <f>375862436.46</f>
        <v>375862436.45999998</v>
      </c>
      <c r="E20" s="1594">
        <v>1.0419564876145362</v>
      </c>
      <c r="F20" s="1594">
        <v>96.975395410760584</v>
      </c>
      <c r="G20" s="1331"/>
    </row>
    <row r="21" spans="1:7">
      <c r="A21" s="1638" t="s">
        <v>235</v>
      </c>
      <c r="B21" s="1593">
        <f>59841805.5</f>
        <v>59841805.5</v>
      </c>
      <c r="C21" s="1593">
        <f>56195492.74</f>
        <v>56195492.740000002</v>
      </c>
      <c r="D21" s="1593">
        <f>56247992.46</f>
        <v>56247992.460000001</v>
      </c>
      <c r="E21" s="1594">
        <v>0.15586791719668708</v>
      </c>
      <c r="F21" s="1594">
        <v>93.906746747472383</v>
      </c>
      <c r="G21" s="1331"/>
    </row>
    <row r="22" spans="1:7" ht="40.5">
      <c r="A22" s="1636" t="s">
        <v>237</v>
      </c>
      <c r="B22" s="1593">
        <f>767496242.22</f>
        <v>767496242.22000003</v>
      </c>
      <c r="C22" s="1593">
        <f>649176977.56</f>
        <v>649176977.55999994</v>
      </c>
      <c r="D22" s="1593">
        <f>651015777.07</f>
        <v>651015777.07000005</v>
      </c>
      <c r="E22" s="1594">
        <v>1.8006046116985726</v>
      </c>
      <c r="F22" s="1594">
        <v>84.583733684772326</v>
      </c>
      <c r="G22" s="1331"/>
    </row>
    <row r="23" spans="1:7">
      <c r="A23" s="1638" t="s">
        <v>235</v>
      </c>
      <c r="B23" s="1593">
        <f>623059723.12</f>
        <v>623059723.12</v>
      </c>
      <c r="C23" s="1593">
        <f>519512068.25</f>
        <v>519512068.25</v>
      </c>
      <c r="D23" s="1593">
        <f>521064253.85</f>
        <v>521064253.85000002</v>
      </c>
      <c r="E23" s="1594">
        <v>1.4409565623228779</v>
      </c>
      <c r="F23" s="1594">
        <v>83.380781805076339</v>
      </c>
      <c r="G23" s="1331"/>
    </row>
    <row r="24" spans="1:7">
      <c r="A24" s="1636" t="s">
        <v>238</v>
      </c>
      <c r="B24" s="1593">
        <f>88522673.27</f>
        <v>88522673.269999996</v>
      </c>
      <c r="C24" s="1593">
        <f>76132915.52</f>
        <v>76132915.519999996</v>
      </c>
      <c r="D24" s="1593">
        <f>75838474.36</f>
        <v>75838474.359999999</v>
      </c>
      <c r="E24" s="1594">
        <v>0.21116780712498354</v>
      </c>
      <c r="F24" s="1594">
        <v>86.003859472012991</v>
      </c>
      <c r="G24" s="1331"/>
    </row>
    <row r="25" spans="1:7">
      <c r="A25" s="1638" t="s">
        <v>235</v>
      </c>
      <c r="B25" s="1593">
        <f>69695700.63</f>
        <v>69695700.629999995</v>
      </c>
      <c r="C25" s="1593">
        <f>57492521.28</f>
        <v>57492521.280000001</v>
      </c>
      <c r="D25" s="1593">
        <f>57071962.35</f>
        <v>57071962.350000001</v>
      </c>
      <c r="E25" s="1594">
        <v>0.15946545015204025</v>
      </c>
      <c r="F25" s="1594">
        <v>82.490771683630612</v>
      </c>
      <c r="G25" s="1331"/>
    </row>
    <row r="26" spans="1:7" ht="40.5">
      <c r="A26" s="1592" t="s">
        <v>1101</v>
      </c>
      <c r="B26" s="1593">
        <f>421609925.31</f>
        <v>421609925.31</v>
      </c>
      <c r="C26" s="1593">
        <f>536873714.29</f>
        <v>536873714.28999996</v>
      </c>
      <c r="D26" s="1593">
        <f>511486995.57</f>
        <v>511486995.56999999</v>
      </c>
      <c r="E26" s="1594">
        <v>1.489112090024741</v>
      </c>
      <c r="F26" s="1594">
        <v>127.33896477775023</v>
      </c>
      <c r="G26" s="1331"/>
    </row>
    <row r="27" spans="1:7">
      <c r="A27" s="1638" t="s">
        <v>235</v>
      </c>
      <c r="B27" s="1593">
        <f>373244161.2</f>
        <v>373244161.19999999</v>
      </c>
      <c r="C27" s="1593">
        <f>488384966.43</f>
        <v>488384966.43000001</v>
      </c>
      <c r="D27" s="1593">
        <f>462933438.18</f>
        <v>462933438.18000001</v>
      </c>
      <c r="E27" s="1594">
        <v>1.3546201625069698</v>
      </c>
      <c r="F27" s="1594">
        <v>130.84865543772102</v>
      </c>
      <c r="G27" s="1331"/>
    </row>
    <row r="28" spans="1:7">
      <c r="A28" s="1392" t="s">
        <v>239</v>
      </c>
      <c r="B28" s="1590">
        <f>132245785.02</f>
        <v>132245785.02</v>
      </c>
      <c r="C28" s="1590">
        <f>82580323.61</f>
        <v>82580323.609999999</v>
      </c>
      <c r="D28" s="1590">
        <f>78936772.75</f>
        <v>78936772.75</v>
      </c>
      <c r="E28" s="1594">
        <v>0.22905080843533684</v>
      </c>
      <c r="F28" s="1594">
        <v>62.444578931200788</v>
      </c>
      <c r="G28" s="1331"/>
    </row>
    <row r="29" spans="1:7">
      <c r="A29" s="1638" t="s">
        <v>240</v>
      </c>
      <c r="B29" s="1593">
        <f>56856970.24</f>
        <v>56856970.240000002</v>
      </c>
      <c r="C29" s="1593">
        <f>28046929.17</f>
        <v>28046929.170000002</v>
      </c>
      <c r="D29" s="1593">
        <f>27996065.67</f>
        <v>27996065.670000002</v>
      </c>
      <c r="E29" s="1594">
        <v>7.7793008306148145E-2</v>
      </c>
      <c r="F29" s="1594">
        <v>49.32891965859347</v>
      </c>
      <c r="G29" s="1331"/>
    </row>
    <row r="30" spans="1:7">
      <c r="A30" s="1392" t="s">
        <v>241</v>
      </c>
      <c r="B30" s="1593">
        <f>1365435306.84</f>
        <v>1365435306.8399999</v>
      </c>
      <c r="C30" s="1593">
        <f>1107129101.78</f>
        <v>1107129101.78</v>
      </c>
      <c r="D30" s="1593">
        <f>1105358942.92</f>
        <v>1105358942.9200001</v>
      </c>
      <c r="E30" s="1594">
        <v>3.070814023478702</v>
      </c>
      <c r="F30" s="1594">
        <v>81.082501399660387</v>
      </c>
      <c r="G30" s="1331"/>
    </row>
    <row r="31" spans="1:7">
      <c r="A31" s="1638" t="s">
        <v>242</v>
      </c>
      <c r="B31" s="1593">
        <f>735206118.59</f>
        <v>735206118.59000003</v>
      </c>
      <c r="C31" s="1593">
        <f>585197663.61</f>
        <v>585197663.61000001</v>
      </c>
      <c r="D31" s="1593">
        <f>583185445.03</f>
        <v>583185445.02999997</v>
      </c>
      <c r="E31" s="1594">
        <v>1.6231469202926365</v>
      </c>
      <c r="F31" s="1594">
        <v>79.59640824702457</v>
      </c>
      <c r="G31" s="1331"/>
    </row>
    <row r="32" spans="1:7" ht="27">
      <c r="A32" s="1392" t="s">
        <v>243</v>
      </c>
      <c r="B32" s="1590">
        <f>B33+B34+B35+B36</f>
        <v>14687646425</v>
      </c>
      <c r="C32" s="1590">
        <f>C33+C34+C35+C36</f>
        <v>14962399760</v>
      </c>
      <c r="D32" s="1590">
        <f>D33+D34+D35+D36</f>
        <v>14911201800</v>
      </c>
      <c r="E32" s="1591">
        <v>41.50080323426684</v>
      </c>
      <c r="F32" s="1591">
        <v>101.87064235514507</v>
      </c>
      <c r="G32" s="1331"/>
    </row>
    <row r="33" spans="1:12">
      <c r="A33" s="1636" t="s">
        <v>245</v>
      </c>
      <c r="B33" s="1593">
        <f>10167253609</f>
        <v>10167253609</v>
      </c>
      <c r="C33" s="1593">
        <f>10166280734</f>
        <v>10166280734</v>
      </c>
      <c r="D33" s="1593">
        <f>10117814569</f>
        <v>10117814569</v>
      </c>
      <c r="E33" s="1594">
        <v>28.19793770608705</v>
      </c>
      <c r="F33" s="1594">
        <v>99.990431290125997</v>
      </c>
      <c r="G33" s="1331"/>
    </row>
    <row r="34" spans="1:12">
      <c r="A34" s="1636" t="s">
        <v>247</v>
      </c>
      <c r="B34" s="1593">
        <f>785689133</f>
        <v>785689133</v>
      </c>
      <c r="C34" s="1593">
        <f>785688651</f>
        <v>785688651</v>
      </c>
      <c r="D34" s="1593">
        <f>782956856</f>
        <v>782956856</v>
      </c>
      <c r="E34" s="1594">
        <v>2.179243345423592</v>
      </c>
      <c r="F34" s="1594">
        <v>99.999938652581562</v>
      </c>
      <c r="G34" s="1331"/>
    </row>
    <row r="35" spans="1:12">
      <c r="A35" s="1636" t="s">
        <v>244</v>
      </c>
      <c r="B35" s="1593">
        <f>2867650575</f>
        <v>2867650575</v>
      </c>
      <c r="C35" s="1593">
        <f>2867650575</f>
        <v>2867650575</v>
      </c>
      <c r="D35" s="1593">
        <f>2867650575</f>
        <v>2867650575</v>
      </c>
      <c r="E35" s="1594">
        <v>7.9539247825649033</v>
      </c>
      <c r="F35" s="1594">
        <v>100</v>
      </c>
      <c r="G35" s="1331"/>
    </row>
    <row r="36" spans="1:12">
      <c r="A36" s="1636" t="s">
        <v>249</v>
      </c>
      <c r="B36" s="1593">
        <f>867053108</f>
        <v>867053108</v>
      </c>
      <c r="C36" s="1593">
        <f>1142779800</f>
        <v>1142779800</v>
      </c>
      <c r="D36" s="1593">
        <f>1142779800</f>
        <v>1142779800</v>
      </c>
      <c r="E36" s="1594">
        <v>3.1696974001912919</v>
      </c>
      <c r="F36" s="1594">
        <v>131.80043868777645</v>
      </c>
      <c r="G36" s="1331"/>
    </row>
    <row r="37" spans="1:12">
      <c r="A37" s="1527"/>
      <c r="B37" s="1358"/>
      <c r="C37" s="1358"/>
      <c r="D37" s="1358"/>
      <c r="E37" s="1094"/>
      <c r="F37" s="1094"/>
      <c r="G37" s="1331"/>
    </row>
    <row r="38" spans="1:12">
      <c r="A38" s="1393" t="s">
        <v>222</v>
      </c>
      <c r="B38" s="1590">
        <f>+B6</f>
        <v>35446064078.629997</v>
      </c>
      <c r="C38" s="1590">
        <f>+C6</f>
        <v>36053277512.580002</v>
      </c>
      <c r="D38" s="1590">
        <f>+D6</f>
        <v>35816490633.849998</v>
      </c>
      <c r="E38" s="1591">
        <v>100</v>
      </c>
      <c r="F38" s="1591">
        <v>101.71306307127082</v>
      </c>
    </row>
    <row r="39" spans="1:12">
      <c r="A39" s="1639" t="s">
        <v>740</v>
      </c>
      <c r="B39" s="1593">
        <f>3826969336.77</f>
        <v>3826969336.77</v>
      </c>
      <c r="C39" s="1593">
        <f>3595498278.92</f>
        <v>3595498278.9200001</v>
      </c>
      <c r="D39" s="1593">
        <f>3569880747.93</f>
        <v>3569880747.9299998</v>
      </c>
      <c r="E39" s="1594">
        <v>9.9727362586256678</v>
      </c>
      <c r="F39" s="1594">
        <v>93.951583159394644</v>
      </c>
    </row>
    <row r="40" spans="1:12">
      <c r="A40" s="1639" t="s">
        <v>739</v>
      </c>
      <c r="B40" s="1593">
        <f>B38-B39</f>
        <v>31619094741.859997</v>
      </c>
      <c r="C40" s="1593">
        <f>C38-C39</f>
        <v>32457779233.660004</v>
      </c>
      <c r="D40" s="1593">
        <f>D38-D39</f>
        <v>32246609885.919998</v>
      </c>
      <c r="E40" s="1594">
        <v>90.027263741374341</v>
      </c>
      <c r="F40" s="1594">
        <v>102.65246206017937</v>
      </c>
      <c r="H40" s="1090"/>
      <c r="I40" s="1090"/>
      <c r="J40" s="1091"/>
      <c r="K40" s="1091"/>
      <c r="L40" s="1443"/>
    </row>
    <row r="41" spans="1:12">
      <c r="A41" s="1993" t="s">
        <v>3</v>
      </c>
      <c r="B41" s="1993"/>
      <c r="C41" s="1993"/>
      <c r="D41" s="1993"/>
      <c r="E41" s="1993"/>
      <c r="F41" s="1993"/>
      <c r="G41" s="1993"/>
      <c r="H41" s="1993"/>
      <c r="I41" s="1993"/>
      <c r="J41" s="1993"/>
      <c r="K41" s="1993"/>
      <c r="L41" s="1993"/>
    </row>
    <row r="42" spans="1:12">
      <c r="A42" s="1092"/>
      <c r="B42" s="1088"/>
      <c r="C42" s="1089"/>
      <c r="D42" s="1089"/>
      <c r="E42" s="1090"/>
      <c r="F42" s="1090"/>
      <c r="G42" s="1090"/>
      <c r="H42" s="1090"/>
      <c r="I42" s="1090"/>
      <c r="J42" s="1091"/>
      <c r="K42" s="1091"/>
      <c r="L42" s="1443"/>
    </row>
    <row r="43" spans="1:12" ht="34.9" customHeight="1">
      <c r="A43" s="1994" t="s">
        <v>218</v>
      </c>
      <c r="B43" s="1995" t="s">
        <v>1080</v>
      </c>
      <c r="C43" s="1995" t="s">
        <v>1088</v>
      </c>
      <c r="D43" s="1995" t="s">
        <v>1089</v>
      </c>
      <c r="E43" s="1995" t="s">
        <v>250</v>
      </c>
      <c r="F43" s="1995"/>
      <c r="G43" s="1995"/>
      <c r="H43" s="1995" t="s">
        <v>1090</v>
      </c>
      <c r="I43" s="1995"/>
      <c r="J43" s="1995" t="s">
        <v>219</v>
      </c>
      <c r="K43" s="1997" t="s">
        <v>1094</v>
      </c>
    </row>
    <row r="44" spans="1:12">
      <c r="A44" s="1994"/>
      <c r="B44" s="1995"/>
      <c r="C44" s="1996"/>
      <c r="D44" s="1995"/>
      <c r="E44" s="1995" t="s">
        <v>1091</v>
      </c>
      <c r="F44" s="1996" t="s">
        <v>252</v>
      </c>
      <c r="G44" s="1996"/>
      <c r="H44" s="1995"/>
      <c r="I44" s="1995"/>
      <c r="J44" s="1995"/>
      <c r="K44" s="1997"/>
      <c r="L44" s="1101"/>
    </row>
    <row r="45" spans="1:12" ht="54">
      <c r="A45" s="1994"/>
      <c r="B45" s="1995"/>
      <c r="C45" s="1996"/>
      <c r="D45" s="1995"/>
      <c r="E45" s="1996"/>
      <c r="F45" s="1104" t="s">
        <v>1092</v>
      </c>
      <c r="G45" s="1104" t="s">
        <v>1093</v>
      </c>
      <c r="H45" s="1995"/>
      <c r="I45" s="1995"/>
      <c r="J45" s="1995"/>
      <c r="K45" s="1997"/>
      <c r="L45" s="1101"/>
    </row>
    <row r="46" spans="1:12">
      <c r="A46" s="1994"/>
      <c r="B46" s="2005" t="s">
        <v>4</v>
      </c>
      <c r="C46" s="2005"/>
      <c r="D46" s="2005"/>
      <c r="E46" s="2005"/>
      <c r="F46" s="2005"/>
      <c r="G46" s="2005"/>
      <c r="H46" s="2005"/>
      <c r="I46" s="2005"/>
      <c r="J46" s="2005" t="s">
        <v>5</v>
      </c>
      <c r="K46" s="2005"/>
    </row>
    <row r="47" spans="1:12">
      <c r="A47" s="1122" t="s">
        <v>887</v>
      </c>
      <c r="B47" s="1600" t="s">
        <v>888</v>
      </c>
      <c r="C47" s="1600" t="s">
        <v>889</v>
      </c>
      <c r="D47" s="1600" t="s">
        <v>890</v>
      </c>
      <c r="E47" s="1122" t="s">
        <v>891</v>
      </c>
      <c r="F47" s="1122" t="s">
        <v>892</v>
      </c>
      <c r="G47" s="1600" t="s">
        <v>893</v>
      </c>
      <c r="H47" s="2004" t="s">
        <v>894</v>
      </c>
      <c r="I47" s="2004"/>
      <c r="J47" s="1122" t="s">
        <v>932</v>
      </c>
      <c r="K47" s="1600" t="s">
        <v>966</v>
      </c>
    </row>
    <row r="48" spans="1:12" ht="27">
      <c r="A48" s="1098" t="s">
        <v>253</v>
      </c>
      <c r="B48" s="1601">
        <f>37650554854.01</f>
        <v>37650554854.010002</v>
      </c>
      <c r="C48" s="1601">
        <f>34188839590.71</f>
        <v>34188839590.709999</v>
      </c>
      <c r="D48" s="1601">
        <f>34172719054.97</f>
        <v>34172719054.970001</v>
      </c>
      <c r="E48" s="1601">
        <f>1673749505.15</f>
        <v>1673749505.1500001</v>
      </c>
      <c r="F48" s="1601">
        <f>193103.76</f>
        <v>193103.76</v>
      </c>
      <c r="G48" s="1601">
        <f>1250416.3</f>
        <v>1250416.3</v>
      </c>
      <c r="H48" s="1998">
        <f>422872578.5</f>
        <v>422872578.5</v>
      </c>
      <c r="I48" s="1998"/>
      <c r="J48" s="1602">
        <v>100</v>
      </c>
      <c r="K48" s="1602">
        <v>90.762856450521625</v>
      </c>
    </row>
    <row r="49" spans="1:14">
      <c r="A49" s="1098" t="s">
        <v>254</v>
      </c>
      <c r="B49" s="1603">
        <f>7170546515.15</f>
        <v>7170546515.1499996</v>
      </c>
      <c r="C49" s="1603">
        <f>5431791173.17</f>
        <v>5431791173.1700001</v>
      </c>
      <c r="D49" s="1603">
        <f>5427666219.13</f>
        <v>5427666219.1300001</v>
      </c>
      <c r="E49" s="1603">
        <f>48671087.57</f>
        <v>48671087.57</v>
      </c>
      <c r="F49" s="1603">
        <f>61.64</f>
        <v>61.64</v>
      </c>
      <c r="G49" s="1603">
        <f>0</f>
        <v>0</v>
      </c>
      <c r="H49" s="1987">
        <f>384142027.94</f>
        <v>384142027.94</v>
      </c>
      <c r="I49" s="1987"/>
      <c r="J49" s="1602">
        <v>15.883038778386624</v>
      </c>
      <c r="K49" s="1602">
        <v>75.693898751822815</v>
      </c>
    </row>
    <row r="50" spans="1:14">
      <c r="A50" s="1592" t="s">
        <v>255</v>
      </c>
      <c r="B50" s="1593">
        <f>7059136014.35</f>
        <v>7059136014.3500004</v>
      </c>
      <c r="C50" s="1593">
        <f>5328158092.09</f>
        <v>5328158092.0900002</v>
      </c>
      <c r="D50" s="1593">
        <f>5324033138.05</f>
        <v>5324033138.0500002</v>
      </c>
      <c r="E50" s="1593">
        <f>48671087.57</f>
        <v>48671087.57</v>
      </c>
      <c r="F50" s="1593">
        <f>61.64</f>
        <v>61.64</v>
      </c>
      <c r="G50" s="1593">
        <f>0</f>
        <v>0</v>
      </c>
      <c r="H50" s="1986">
        <f>384142027.94</f>
        <v>384142027.94</v>
      </c>
      <c r="I50" s="1986"/>
      <c r="J50" s="1604">
        <v>15.579776164389486</v>
      </c>
      <c r="K50" s="1604">
        <v>75.420464023177388</v>
      </c>
    </row>
    <row r="51" spans="1:14" ht="27">
      <c r="A51" s="1098" t="s">
        <v>256</v>
      </c>
      <c r="B51" s="1603">
        <f t="shared" ref="B51:H51" si="0">B48-B49</f>
        <v>30480008338.860001</v>
      </c>
      <c r="C51" s="1603">
        <f t="shared" si="0"/>
        <v>28757048417.540001</v>
      </c>
      <c r="D51" s="1603">
        <f t="shared" si="0"/>
        <v>28745052835.84</v>
      </c>
      <c r="E51" s="1603">
        <f t="shared" si="0"/>
        <v>1625078417.5800002</v>
      </c>
      <c r="F51" s="1603">
        <f t="shared" si="0"/>
        <v>193042.12</v>
      </c>
      <c r="G51" s="1603">
        <f t="shared" si="0"/>
        <v>1250416.3</v>
      </c>
      <c r="H51" s="1987">
        <f t="shared" si="0"/>
        <v>38730550.560000002</v>
      </c>
      <c r="I51" s="1987"/>
      <c r="J51" s="1602">
        <v>84.11696122161338</v>
      </c>
      <c r="K51" s="1602">
        <v>94.307890326893229</v>
      </c>
    </row>
    <row r="52" spans="1:14" ht="27">
      <c r="A52" s="1592" t="s">
        <v>257</v>
      </c>
      <c r="B52" s="1593">
        <f>18512961691.75</f>
        <v>18512961691.75</v>
      </c>
      <c r="C52" s="1593">
        <f>18100709991.72</f>
        <v>18100709991.720001</v>
      </c>
      <c r="D52" s="1593">
        <f>18095365444.58</f>
        <v>18095365444.580002</v>
      </c>
      <c r="E52" s="1593">
        <f>1409690282.06</f>
        <v>1409690282.0599999</v>
      </c>
      <c r="F52" s="1593">
        <f>0</f>
        <v>0</v>
      </c>
      <c r="G52" s="1593">
        <f>3928.71</f>
        <v>3928.71</v>
      </c>
      <c r="H52" s="1986">
        <f>22440</f>
        <v>22440</v>
      </c>
      <c r="I52" s="1986"/>
      <c r="J52" s="1604">
        <v>52.95266500588356</v>
      </c>
      <c r="K52" s="1604">
        <v>97.744303401459035</v>
      </c>
    </row>
    <row r="53" spans="1:14">
      <c r="A53" s="1592" t="s">
        <v>258</v>
      </c>
      <c r="B53" s="1605">
        <f>2290908427.97</f>
        <v>2290908427.9699998</v>
      </c>
      <c r="C53" s="1605">
        <f>2174610588.37</f>
        <v>2174610588.3699999</v>
      </c>
      <c r="D53" s="1605">
        <f>2174504683.52</f>
        <v>2174504683.52</v>
      </c>
      <c r="E53" s="1605">
        <f>1647815.21</f>
        <v>1647815.21</v>
      </c>
      <c r="F53" s="1605">
        <f>0</f>
        <v>0</v>
      </c>
      <c r="G53" s="1605">
        <f>950635.7</f>
        <v>950635.7</v>
      </c>
      <c r="H53" s="2001">
        <f>0</f>
        <v>0</v>
      </c>
      <c r="I53" s="2001"/>
      <c r="J53" s="1604">
        <v>6.3632767413740376</v>
      </c>
      <c r="K53" s="1604">
        <v>94.918882700468899</v>
      </c>
    </row>
    <row r="54" spans="1:14">
      <c r="A54" s="1592" t="s">
        <v>259</v>
      </c>
      <c r="B54" s="1593">
        <f>132521987.33</f>
        <v>132521987.33</v>
      </c>
      <c r="C54" s="1593">
        <f>86984061.16</f>
        <v>86984061.159999996</v>
      </c>
      <c r="D54" s="1593">
        <f>86738403.26</f>
        <v>86738403.260000005</v>
      </c>
      <c r="E54" s="1593">
        <f>2264436.86</f>
        <v>2264436.86</v>
      </c>
      <c r="F54" s="1593">
        <f>0</f>
        <v>0</v>
      </c>
      <c r="G54" s="1593">
        <f>0</f>
        <v>0</v>
      </c>
      <c r="H54" s="1986">
        <f>0</f>
        <v>0</v>
      </c>
      <c r="I54" s="1986"/>
      <c r="J54" s="1604">
        <v>0.25382353426566145</v>
      </c>
      <c r="K54" s="1604">
        <v>65.452084599371517</v>
      </c>
    </row>
    <row r="55" spans="1:14" ht="27">
      <c r="A55" s="1592" t="s">
        <v>260</v>
      </c>
      <c r="B55" s="1605">
        <f>32850799.72</f>
        <v>32850799.719999999</v>
      </c>
      <c r="C55" s="1605">
        <f>4099732.39</f>
        <v>4099732.39</v>
      </c>
      <c r="D55" s="1605">
        <f>4099732.39</f>
        <v>4099732.39</v>
      </c>
      <c r="E55" s="1605">
        <f>40800</f>
        <v>40800</v>
      </c>
      <c r="F55" s="1605">
        <f>0</f>
        <v>0</v>
      </c>
      <c r="G55" s="1605">
        <f>0</f>
        <v>0</v>
      </c>
      <c r="H55" s="2001">
        <f>0</f>
        <v>0</v>
      </c>
      <c r="I55" s="2001"/>
      <c r="J55" s="1604">
        <v>1.1997091549563845E-2</v>
      </c>
      <c r="K55" s="1604">
        <v>12.479855665443752</v>
      </c>
    </row>
    <row r="56" spans="1:14">
      <c r="A56" s="1592" t="s">
        <v>261</v>
      </c>
      <c r="B56" s="1605">
        <f>1258289947.26</f>
        <v>1258289947.26</v>
      </c>
      <c r="C56" s="1605">
        <f>1191829566.45</f>
        <v>1191829566.45</v>
      </c>
      <c r="D56" s="1605">
        <f>1191309388.98</f>
        <v>1191309388.98</v>
      </c>
      <c r="E56" s="1605">
        <f>9961282.32999999</f>
        <v>9961282.3299999908</v>
      </c>
      <c r="F56" s="1605">
        <f>0</f>
        <v>0</v>
      </c>
      <c r="G56" s="1605">
        <f>0</f>
        <v>0</v>
      </c>
      <c r="H56" s="2001">
        <f>7200</f>
        <v>7200</v>
      </c>
      <c r="I56" s="2002"/>
      <c r="J56" s="1604">
        <v>3.4861416414177282</v>
      </c>
      <c r="K56" s="1604">
        <v>94.676858189493288</v>
      </c>
    </row>
    <row r="57" spans="1:14">
      <c r="A57" s="1592" t="s">
        <v>262</v>
      </c>
      <c r="B57" s="1593">
        <f t="shared" ref="B57:H57" si="1">B51-B52-B53-B54-B55-B56</f>
        <v>8252475484.8300018</v>
      </c>
      <c r="C57" s="1593">
        <f t="shared" si="1"/>
        <v>7198814477.4499998</v>
      </c>
      <c r="D57" s="1593">
        <f t="shared" si="1"/>
        <v>7193035183.1099968</v>
      </c>
      <c r="E57" s="1593">
        <f t="shared" si="1"/>
        <v>201473801.12000021</v>
      </c>
      <c r="F57" s="1593">
        <f t="shared" si="1"/>
        <v>193042.12</v>
      </c>
      <c r="G57" s="1593">
        <f t="shared" si="1"/>
        <v>295851.89000000013</v>
      </c>
      <c r="H57" s="2001">
        <f t="shared" si="1"/>
        <v>38700910.560000002</v>
      </c>
      <c r="I57" s="2002"/>
      <c r="J57" s="1604">
        <v>21.049057207122821</v>
      </c>
      <c r="K57" s="1604">
        <v>87.162151482091559</v>
      </c>
    </row>
    <row r="58" spans="1:14">
      <c r="A58" s="1098" t="s">
        <v>263</v>
      </c>
      <c r="B58" s="1603">
        <f>B6-B48</f>
        <v>-2204490775.3800049</v>
      </c>
      <c r="C58" s="1603"/>
      <c r="D58" s="1603">
        <f>C6-D48</f>
        <v>1880558457.6100006</v>
      </c>
      <c r="E58" s="1103"/>
      <c r="H58" s="1513"/>
      <c r="I58" s="1513"/>
      <c r="J58" s="1513"/>
      <c r="K58" s="1513"/>
      <c r="L58" s="1513"/>
      <c r="M58" s="1513"/>
      <c r="N58" s="1513"/>
    </row>
    <row r="59" spans="1:14" ht="40.5">
      <c r="A59" s="1530" t="s">
        <v>1116</v>
      </c>
      <c r="B59" s="1603">
        <f>B40-B51</f>
        <v>1139086402.9999962</v>
      </c>
      <c r="C59" s="1640"/>
      <c r="D59" s="1603">
        <f>C40-D51</f>
        <v>3712726397.8200035</v>
      </c>
      <c r="H59" s="1513"/>
      <c r="I59" s="1513"/>
      <c r="J59" s="1513"/>
      <c r="K59" s="1513"/>
      <c r="L59" s="1513"/>
      <c r="M59" s="1513"/>
      <c r="N59" s="1513"/>
    </row>
    <row r="60" spans="1:14">
      <c r="A60" s="1394"/>
      <c r="B60" s="1395"/>
      <c r="C60" s="1395"/>
      <c r="D60" s="1395"/>
      <c r="E60" s="1443"/>
      <c r="F60" s="1443"/>
      <c r="G60" s="1443"/>
      <c r="H60" s="1443"/>
    </row>
    <row r="61" spans="1:14">
      <c r="A61" s="1400" t="s">
        <v>1074</v>
      </c>
      <c r="B61" s="1395"/>
      <c r="C61" s="1395"/>
      <c r="D61" s="1395"/>
      <c r="E61" s="1443"/>
      <c r="F61" s="1443"/>
      <c r="G61" s="1443"/>
      <c r="H61" s="1443"/>
    </row>
    <row r="62" spans="1:14">
      <c r="A62" s="1392" t="s">
        <v>1110</v>
      </c>
      <c r="B62" s="1603">
        <f>2125767221.87</f>
        <v>2125767221.8699999</v>
      </c>
      <c r="C62" s="1603">
        <f>1586376944.18</f>
        <v>1586376944.1800001</v>
      </c>
      <c r="D62" s="1603">
        <f>1585057171.79</f>
        <v>1585057171.79</v>
      </c>
      <c r="E62" s="1603">
        <f>13022406.5</f>
        <v>13022406.5</v>
      </c>
      <c r="F62" s="1603">
        <f>0</f>
        <v>0</v>
      </c>
      <c r="G62" s="1603">
        <f>0</f>
        <v>0</v>
      </c>
      <c r="H62" s="1603">
        <f>14553513.34</f>
        <v>14553513.34</v>
      </c>
      <c r="I62" s="1603">
        <f>0</f>
        <v>0</v>
      </c>
      <c r="J62" s="1602">
        <v>100</v>
      </c>
      <c r="K62" s="1602">
        <v>74.564004726521901</v>
      </c>
    </row>
    <row r="63" spans="1:14">
      <c r="A63" s="1641" t="s">
        <v>740</v>
      </c>
      <c r="B63" s="1605">
        <f>1059704435.81</f>
        <v>1059704435.8099999</v>
      </c>
      <c r="C63" s="1605">
        <f>842012216.869999</f>
        <v>842012216.86999905</v>
      </c>
      <c r="D63" s="1605">
        <f>841970128.609999</f>
        <v>841970128.60999894</v>
      </c>
      <c r="E63" s="1605">
        <f>6760352.93</f>
        <v>6760352.9299999997</v>
      </c>
      <c r="F63" s="1605">
        <f>0</f>
        <v>0</v>
      </c>
      <c r="G63" s="1605">
        <f>0</f>
        <v>0</v>
      </c>
      <c r="H63" s="1605">
        <f>13585841.19</f>
        <v>13585841.189999999</v>
      </c>
      <c r="I63" s="1605">
        <f>0</f>
        <v>0</v>
      </c>
      <c r="J63" s="1604">
        <v>53.119227722187759</v>
      </c>
      <c r="K63" s="1604">
        <v>79.453298500768028</v>
      </c>
    </row>
    <row r="64" spans="1:14">
      <c r="A64" s="1641" t="s">
        <v>739</v>
      </c>
      <c r="B64" s="1605">
        <f>B62-B63</f>
        <v>1066062786.0599999</v>
      </c>
      <c r="C64" s="1605">
        <f t="shared" ref="C64:I64" si="2">C62-C63</f>
        <v>744364727.31000102</v>
      </c>
      <c r="D64" s="1605">
        <f t="shared" si="2"/>
        <v>743087043.18000102</v>
      </c>
      <c r="E64" s="1605">
        <f t="shared" si="2"/>
        <v>6262053.5700000003</v>
      </c>
      <c r="F64" s="1605">
        <f t="shared" si="2"/>
        <v>0</v>
      </c>
      <c r="G64" s="1605">
        <f t="shared" si="2"/>
        <v>0</v>
      </c>
      <c r="H64" s="1605">
        <f t="shared" si="2"/>
        <v>967672.15000000037</v>
      </c>
      <c r="I64" s="1605">
        <f t="shared" si="2"/>
        <v>0</v>
      </c>
      <c r="J64" s="1604">
        <v>46.880772277812241</v>
      </c>
      <c r="K64" s="1604">
        <v>69.703872313781218</v>
      </c>
    </row>
    <row r="65" spans="1:14">
      <c r="A65" s="1528"/>
      <c r="B65" s="1515"/>
      <c r="C65" s="1515"/>
      <c r="D65" s="1515"/>
      <c r="E65" s="1515"/>
      <c r="F65" s="1515"/>
      <c r="G65" s="1515"/>
      <c r="H65" s="1515"/>
      <c r="I65" s="1515"/>
      <c r="J65" s="1331"/>
      <c r="K65" s="1331"/>
    </row>
    <row r="66" spans="1:14">
      <c r="A66" s="1528"/>
      <c r="B66" s="1515"/>
      <c r="C66" s="1515"/>
      <c r="D66" s="1515"/>
      <c r="E66" s="1515"/>
      <c r="F66" s="1515"/>
      <c r="G66" s="1515"/>
      <c r="H66" s="1515"/>
      <c r="I66" s="1515"/>
      <c r="J66" s="1331"/>
      <c r="K66" s="1331"/>
    </row>
    <row r="67" spans="1:14">
      <c r="A67" s="1528"/>
      <c r="B67" s="1515"/>
      <c r="C67" s="1515"/>
      <c r="D67" s="1515"/>
      <c r="E67" s="1515"/>
      <c r="F67" s="1515"/>
      <c r="G67" s="1515"/>
      <c r="H67" s="1515"/>
      <c r="I67" s="1515"/>
      <c r="J67" s="1331"/>
      <c r="K67" s="1331"/>
    </row>
    <row r="68" spans="1:14">
      <c r="A68" s="1993" t="s">
        <v>3</v>
      </c>
      <c r="B68" s="1993"/>
      <c r="C68" s="1993"/>
      <c r="D68" s="1993"/>
      <c r="E68" s="1993"/>
      <c r="F68" s="1993"/>
      <c r="G68" s="1993"/>
      <c r="H68" s="1993"/>
      <c r="I68" s="1993"/>
      <c r="J68" s="1993"/>
      <c r="K68" s="1993"/>
      <c r="L68" s="1993"/>
    </row>
    <row r="69" spans="1:14" ht="27">
      <c r="A69" s="1995" t="s">
        <v>68</v>
      </c>
      <c r="B69" s="1104" t="s">
        <v>1095</v>
      </c>
      <c r="C69" s="1608" t="s">
        <v>264</v>
      </c>
      <c r="D69" s="1608" t="s">
        <v>22</v>
      </c>
      <c r="E69" s="1608" t="s">
        <v>265</v>
      </c>
      <c r="M69" s="1513"/>
      <c r="N69" s="1513"/>
    </row>
    <row r="70" spans="1:14">
      <c r="A70" s="1995"/>
      <c r="B70" s="1999" t="s">
        <v>4</v>
      </c>
      <c r="C70" s="1999"/>
      <c r="D70" s="2000" t="s">
        <v>5</v>
      </c>
      <c r="E70" s="2000"/>
      <c r="M70" s="1513"/>
      <c r="N70" s="1513"/>
    </row>
    <row r="71" spans="1:14">
      <c r="A71" s="1200" t="s">
        <v>887</v>
      </c>
      <c r="B71" s="1609" t="s">
        <v>888</v>
      </c>
      <c r="C71" s="1609" t="s">
        <v>889</v>
      </c>
      <c r="D71" s="1609" t="s">
        <v>890</v>
      </c>
      <c r="E71" s="1609" t="s">
        <v>891</v>
      </c>
      <c r="M71" s="1513"/>
      <c r="N71" s="1513"/>
    </row>
    <row r="72" spans="1:14" ht="27">
      <c r="A72" s="1610" t="s">
        <v>266</v>
      </c>
      <c r="B72" s="1601">
        <f>3635630105.09</f>
        <v>3635630105.0900002</v>
      </c>
      <c r="C72" s="1601">
        <f>5789605732.48</f>
        <v>5789605732.4799995</v>
      </c>
      <c r="D72" s="1642">
        <v>100.00000000000001</v>
      </c>
      <c r="E72" s="1602">
        <v>159.24628097820963</v>
      </c>
      <c r="M72" s="1513"/>
      <c r="N72" s="1513"/>
    </row>
    <row r="73" spans="1:14" ht="27">
      <c r="A73" s="1612" t="s">
        <v>267</v>
      </c>
      <c r="B73" s="1595">
        <f>633714210.13</f>
        <v>633714210.13</v>
      </c>
      <c r="C73" s="1595">
        <f>555251208.25</f>
        <v>555251208.25</v>
      </c>
      <c r="D73" s="1643">
        <v>9.5904839449603774</v>
      </c>
      <c r="E73" s="1604">
        <v>87.618550976803235</v>
      </c>
      <c r="M73" s="1513"/>
      <c r="N73" s="1513"/>
    </row>
    <row r="74" spans="1:14">
      <c r="A74" s="1614" t="s">
        <v>268</v>
      </c>
      <c r="B74" s="1595">
        <f>29773000</f>
        <v>29773000</v>
      </c>
      <c r="C74" s="1595">
        <f>29773000</f>
        <v>29773000</v>
      </c>
      <c r="D74" s="1643">
        <v>0.51424917992207775</v>
      </c>
      <c r="E74" s="1604">
        <v>100</v>
      </c>
      <c r="M74" s="1513"/>
      <c r="N74" s="1513"/>
    </row>
    <row r="75" spans="1:14">
      <c r="A75" s="1612" t="s">
        <v>269</v>
      </c>
      <c r="B75" s="1595">
        <f>43271276.72</f>
        <v>43271276.719999999</v>
      </c>
      <c r="C75" s="1595">
        <f>38077810.64</f>
        <v>38077810.640000001</v>
      </c>
      <c r="D75" s="1643">
        <v>0.6576926374516564</v>
      </c>
      <c r="E75" s="1604">
        <v>87.997890347433227</v>
      </c>
      <c r="M75" s="1513"/>
      <c r="N75" s="1513"/>
    </row>
    <row r="76" spans="1:14">
      <c r="A76" s="1612" t="s">
        <v>270</v>
      </c>
      <c r="B76" s="1595">
        <f>297220759.56</f>
        <v>297220759.56</v>
      </c>
      <c r="C76" s="1595">
        <f>895016250.75</f>
        <v>895016250.75</v>
      </c>
      <c r="D76" s="1643">
        <v>15.459019009341356</v>
      </c>
      <c r="E76" s="1604">
        <v>301.12844475431837</v>
      </c>
      <c r="M76" s="1513"/>
      <c r="N76" s="1513"/>
    </row>
    <row r="77" spans="1:14" ht="40.5">
      <c r="A77" s="1612" t="s">
        <v>1102</v>
      </c>
      <c r="B77" s="1595">
        <f>1452906677.92</f>
        <v>1452906677.9200001</v>
      </c>
      <c r="C77" s="1595">
        <f>2007367383.77</f>
        <v>2007367383.77</v>
      </c>
      <c r="D77" s="1643">
        <v>34.671918547208854</v>
      </c>
      <c r="E77" s="1604">
        <v>138.16216927599046</v>
      </c>
      <c r="M77" s="1513"/>
      <c r="N77" s="1513"/>
    </row>
    <row r="78" spans="1:14">
      <c r="A78" s="1612" t="s">
        <v>272</v>
      </c>
      <c r="B78" s="1595">
        <f>0</f>
        <v>0</v>
      </c>
      <c r="C78" s="1595">
        <f>0</f>
        <v>0</v>
      </c>
      <c r="D78" s="1643">
        <v>0</v>
      </c>
      <c r="E78" s="1604" t="s">
        <v>273</v>
      </c>
      <c r="M78" s="1513"/>
      <c r="N78" s="1513"/>
    </row>
    <row r="79" spans="1:14" ht="27">
      <c r="A79" s="1612" t="s">
        <v>361</v>
      </c>
      <c r="B79" s="1595">
        <f>1183486159.05</f>
        <v>1183486159.05</v>
      </c>
      <c r="C79" s="1595">
        <f>2268862057.36</f>
        <v>2268862057.3600001</v>
      </c>
      <c r="D79" s="1643">
        <v>39.188541710734498</v>
      </c>
      <c r="E79" s="1604">
        <v>191.71006268305206</v>
      </c>
      <c r="M79" s="1513"/>
      <c r="N79" s="1513"/>
    </row>
    <row r="80" spans="1:14">
      <c r="A80" s="1614" t="s">
        <v>275</v>
      </c>
      <c r="B80" s="1595">
        <f>25031021.71</f>
        <v>25031021.710000001</v>
      </c>
      <c r="C80" s="1595">
        <f>25031021.71</f>
        <v>25031021.710000001</v>
      </c>
      <c r="D80" s="1643">
        <v>0.43234415030326889</v>
      </c>
      <c r="E80" s="1604">
        <v>100</v>
      </c>
      <c r="M80" s="1513"/>
      <c r="N80" s="1513"/>
    </row>
    <row r="81" spans="1:14" ht="27">
      <c r="A81" s="1610" t="s">
        <v>276</v>
      </c>
      <c r="B81" s="1601">
        <f>1379951012.38</f>
        <v>1379951012.3800001</v>
      </c>
      <c r="C81" s="1601">
        <f>1228076464.74</f>
        <v>1228076464.74</v>
      </c>
      <c r="D81" s="1642">
        <v>100</v>
      </c>
      <c r="E81" s="1602">
        <v>88.994207310441965</v>
      </c>
      <c r="M81" s="1513"/>
      <c r="N81" s="1513"/>
    </row>
    <row r="82" spans="1:14" ht="27">
      <c r="A82" s="1612" t="s">
        <v>378</v>
      </c>
      <c r="B82" s="1595">
        <f>842691462.03</f>
        <v>842691462.02999997</v>
      </c>
      <c r="C82" s="1595">
        <f>839832421.05</f>
        <v>839832421.04999995</v>
      </c>
      <c r="D82" s="1643">
        <v>68.3860040610585</v>
      </c>
      <c r="E82" s="1604">
        <v>99.660725056699562</v>
      </c>
      <c r="M82" s="1513"/>
      <c r="N82" s="1513"/>
    </row>
    <row r="83" spans="1:14">
      <c r="A83" s="1612" t="s">
        <v>278</v>
      </c>
      <c r="B83" s="1595">
        <f>26520000</f>
        <v>26520000</v>
      </c>
      <c r="C83" s="1595">
        <f>26562000</f>
        <v>26562000</v>
      </c>
      <c r="D83" s="1643">
        <v>2.1628946374787441</v>
      </c>
      <c r="E83" s="1604">
        <v>100.15837104072398</v>
      </c>
      <c r="M83" s="1513"/>
      <c r="N83" s="1513"/>
    </row>
    <row r="84" spans="1:14">
      <c r="A84" s="1612" t="s">
        <v>279</v>
      </c>
      <c r="B84" s="1595">
        <f>78567009.22</f>
        <v>78567009.219999999</v>
      </c>
      <c r="C84" s="1595">
        <f>58576390.69</f>
        <v>58576390.689999998</v>
      </c>
      <c r="D84" s="1643">
        <v>4.769767385974732</v>
      </c>
      <c r="E84" s="1604">
        <v>74.555963465500994</v>
      </c>
      <c r="M84" s="1513"/>
      <c r="N84" s="1513"/>
    </row>
    <row r="85" spans="1:14">
      <c r="A85" s="1612" t="s">
        <v>280</v>
      </c>
      <c r="B85" s="1595">
        <f>458692541.13</f>
        <v>458692541.13</v>
      </c>
      <c r="C85" s="1595">
        <f>329667653</f>
        <v>329667653</v>
      </c>
      <c r="D85" s="1643">
        <v>26.844228552966772</v>
      </c>
      <c r="E85" s="1604">
        <v>71.87116062272473</v>
      </c>
      <c r="M85" s="1513"/>
      <c r="N85" s="1513"/>
    </row>
  </sheetData>
  <mergeCells count="32">
    <mergeCell ref="D70:E70"/>
    <mergeCell ref="H57:I57"/>
    <mergeCell ref="A68:L68"/>
    <mergeCell ref="A1:L1"/>
    <mergeCell ref="A69:A70"/>
    <mergeCell ref="B70:C70"/>
    <mergeCell ref="H52:I52"/>
    <mergeCell ref="H53:I53"/>
    <mergeCell ref="H54:I54"/>
    <mergeCell ref="H55:I55"/>
    <mergeCell ref="H56:I56"/>
    <mergeCell ref="H47:I47"/>
    <mergeCell ref="H48:I48"/>
    <mergeCell ref="H49:I49"/>
    <mergeCell ref="B46:I46"/>
    <mergeCell ref="J46:K46"/>
    <mergeCell ref="H50:I50"/>
    <mergeCell ref="H51:I51"/>
    <mergeCell ref="A3:A4"/>
    <mergeCell ref="B4:D4"/>
    <mergeCell ref="E4:G4"/>
    <mergeCell ref="A41:L41"/>
    <mergeCell ref="A43:A46"/>
    <mergeCell ref="B43:B45"/>
    <mergeCell ref="C43:C45"/>
    <mergeCell ref="D43:D45"/>
    <mergeCell ref="E43:G43"/>
    <mergeCell ref="H43:I45"/>
    <mergeCell ref="J43:J45"/>
    <mergeCell ref="K43:K45"/>
    <mergeCell ref="E44:E45"/>
    <mergeCell ref="F44:G44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89" orientation="landscape" r:id="rId1"/>
  <headerFooter alignWithMargins="0"/>
  <rowBreaks count="1" manualBreakCount="1">
    <brk id="31" max="16383" man="1"/>
  </rowBreaks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71"/>
  <sheetViews>
    <sheetView showGridLines="0" zoomScaleNormal="100" zoomScaleSheetLayoutView="75" workbookViewId="0">
      <selection activeCell="U18" sqref="U18"/>
    </sheetView>
  </sheetViews>
  <sheetFormatPr defaultColWidth="9.140625" defaultRowHeight="13.5"/>
  <cols>
    <col min="1" max="1" width="25.42578125" style="1430" customWidth="1"/>
    <col min="2" max="3" width="11.42578125" style="1430" bestFit="1" customWidth="1"/>
    <col min="4" max="7" width="10.28515625" style="1430" bestFit="1" customWidth="1"/>
    <col min="8" max="8" width="9.5703125" style="1430" bestFit="1" customWidth="1"/>
    <col min="9" max="9" width="11" style="1430" customWidth="1"/>
    <col min="10" max="10" width="11.42578125" style="1430" bestFit="1" customWidth="1"/>
    <col min="11" max="11" width="10.28515625" style="1430" bestFit="1" customWidth="1"/>
    <col min="12" max="12" width="12.7109375" style="1430" customWidth="1"/>
    <col min="13" max="13" width="10.28515625" style="1430" bestFit="1" customWidth="1"/>
    <col min="14" max="14" width="11.7109375" style="1430" customWidth="1"/>
    <col min="15" max="17" width="9.28515625" style="1430" bestFit="1" customWidth="1"/>
    <col min="18" max="18" width="9.140625" style="1430"/>
    <col min="19" max="16384" width="9.140625" style="1511"/>
  </cols>
  <sheetData>
    <row r="2" spans="1:18">
      <c r="A2" s="1978" t="s">
        <v>281</v>
      </c>
      <c r="B2" s="1978"/>
      <c r="C2" s="1978"/>
      <c r="D2" s="1978"/>
      <c r="E2" s="1978"/>
      <c r="F2" s="1978"/>
      <c r="G2" s="1978"/>
      <c r="H2" s="1978"/>
      <c r="I2" s="1978"/>
      <c r="J2" s="1978"/>
      <c r="K2" s="1978"/>
      <c r="L2" s="1978"/>
      <c r="M2" s="1978"/>
    </row>
    <row r="3" spans="1:18"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8">
      <c r="A4" s="2006" t="s">
        <v>68</v>
      </c>
      <c r="B4" s="2006" t="s">
        <v>282</v>
      </c>
      <c r="C4" s="2006" t="s">
        <v>283</v>
      </c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 t="s">
        <v>284</v>
      </c>
      <c r="P4" s="2006"/>
      <c r="Q4" s="2006"/>
    </row>
    <row r="5" spans="1:18">
      <c r="A5" s="2006"/>
      <c r="B5" s="2006"/>
      <c r="C5" s="2006" t="s">
        <v>285</v>
      </c>
      <c r="D5" s="2006" t="s">
        <v>286</v>
      </c>
      <c r="E5" s="2006" t="s">
        <v>287</v>
      </c>
      <c r="F5" s="2006" t="s">
        <v>288</v>
      </c>
      <c r="G5" s="2006" t="s">
        <v>289</v>
      </c>
      <c r="H5" s="2006" t="s">
        <v>290</v>
      </c>
      <c r="I5" s="2006" t="s">
        <v>291</v>
      </c>
      <c r="J5" s="2006" t="s">
        <v>292</v>
      </c>
      <c r="K5" s="2006" t="s">
        <v>293</v>
      </c>
      <c r="L5" s="2006" t="s">
        <v>294</v>
      </c>
      <c r="M5" s="2006" t="s">
        <v>295</v>
      </c>
      <c r="N5" s="2006" t="s">
        <v>296</v>
      </c>
      <c r="O5" s="2006" t="s">
        <v>297</v>
      </c>
      <c r="P5" s="2006" t="s">
        <v>298</v>
      </c>
      <c r="Q5" s="2006" t="s">
        <v>299</v>
      </c>
    </row>
    <row r="6" spans="1:18">
      <c r="A6" s="2006"/>
      <c r="B6" s="2006"/>
      <c r="C6" s="2006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</row>
    <row r="7" spans="1:18">
      <c r="A7" s="2006"/>
      <c r="B7" s="2006"/>
      <c r="C7" s="2006"/>
      <c r="D7" s="2006"/>
      <c r="E7" s="2006"/>
      <c r="F7" s="2006"/>
      <c r="G7" s="2006"/>
      <c r="H7" s="2006"/>
      <c r="I7" s="2006"/>
      <c r="J7" s="2006"/>
      <c r="K7" s="2006"/>
      <c r="L7" s="2006"/>
      <c r="M7" s="2006"/>
      <c r="N7" s="2006"/>
      <c r="O7" s="2006"/>
      <c r="P7" s="2006"/>
      <c r="Q7" s="2006"/>
    </row>
    <row r="8" spans="1:18" ht="40.9" customHeight="1">
      <c r="A8" s="2006"/>
      <c r="B8" s="2006"/>
      <c r="C8" s="2006"/>
      <c r="D8" s="2006"/>
      <c r="E8" s="2006"/>
      <c r="F8" s="2006"/>
      <c r="G8" s="2006"/>
      <c r="H8" s="2006"/>
      <c r="I8" s="2006"/>
      <c r="J8" s="2006"/>
      <c r="K8" s="2006"/>
      <c r="L8" s="2006"/>
      <c r="M8" s="2006"/>
      <c r="N8" s="2006"/>
      <c r="O8" s="2006"/>
      <c r="P8" s="2006"/>
      <c r="Q8" s="2006"/>
    </row>
    <row r="9" spans="1:18" s="1531" customFormat="1">
      <c r="A9" s="2006"/>
      <c r="B9" s="2008" t="s">
        <v>4</v>
      </c>
      <c r="C9" s="2008"/>
      <c r="D9" s="2008"/>
      <c r="E9" s="2008"/>
      <c r="F9" s="2008"/>
      <c r="G9" s="2008"/>
      <c r="H9" s="2008"/>
      <c r="I9" s="2008"/>
      <c r="J9" s="2008"/>
      <c r="K9" s="2008"/>
      <c r="L9" s="2008"/>
      <c r="M9" s="2008"/>
      <c r="N9" s="2008"/>
      <c r="O9" s="2008"/>
      <c r="P9" s="2008"/>
      <c r="Q9" s="2008"/>
      <c r="R9" s="1431"/>
    </row>
    <row r="10" spans="1:18">
      <c r="A10" s="1287" t="s">
        <v>887</v>
      </c>
      <c r="B10" s="1287" t="s">
        <v>888</v>
      </c>
      <c r="C10" s="1287" t="s">
        <v>889</v>
      </c>
      <c r="D10" s="1287" t="s">
        <v>890</v>
      </c>
      <c r="E10" s="1287" t="s">
        <v>891</v>
      </c>
      <c r="F10" s="1287" t="s">
        <v>892</v>
      </c>
      <c r="G10" s="1287" t="s">
        <v>893</v>
      </c>
      <c r="H10" s="1287" t="s">
        <v>894</v>
      </c>
      <c r="I10" s="1287" t="s">
        <v>932</v>
      </c>
      <c r="J10" s="1287" t="s">
        <v>966</v>
      </c>
      <c r="K10" s="1287" t="s">
        <v>967</v>
      </c>
      <c r="L10" s="1287" t="s">
        <v>969</v>
      </c>
      <c r="M10" s="1287" t="s">
        <v>1070</v>
      </c>
      <c r="N10" s="1287" t="s">
        <v>1096</v>
      </c>
      <c r="O10" s="1287" t="s">
        <v>1097</v>
      </c>
      <c r="P10" s="1287" t="s">
        <v>1098</v>
      </c>
      <c r="Q10" s="1287" t="s">
        <v>1099</v>
      </c>
    </row>
    <row r="11" spans="1:18" ht="27">
      <c r="A11" s="1615" t="s">
        <v>368</v>
      </c>
      <c r="B11" s="1616">
        <f>6214149512.75</f>
        <v>6214149512.75</v>
      </c>
      <c r="C11" s="1616">
        <f>6214149512.75</f>
        <v>6214149512.75</v>
      </c>
      <c r="D11" s="1616">
        <f>265060620.98</f>
        <v>265060620.97999999</v>
      </c>
      <c r="E11" s="1616">
        <f>212284788.4</f>
        <v>212284788.40000001</v>
      </c>
      <c r="F11" s="1616">
        <f>17551163.86</f>
        <v>17551163.859999999</v>
      </c>
      <c r="G11" s="1616">
        <f>35224568.95</f>
        <v>35224568.950000003</v>
      </c>
      <c r="H11" s="1616">
        <f>99.77</f>
        <v>99.77</v>
      </c>
      <c r="I11" s="1616">
        <f>0</f>
        <v>0</v>
      </c>
      <c r="J11" s="1616">
        <f>5666796768.52</f>
        <v>5666796768.5200005</v>
      </c>
      <c r="K11" s="1616">
        <f>273341244.2</f>
        <v>273341244.19999999</v>
      </c>
      <c r="L11" s="1616">
        <f>6820488.83</f>
        <v>6820488.8300000001</v>
      </c>
      <c r="M11" s="1616">
        <f>130390.22</f>
        <v>130390.22</v>
      </c>
      <c r="N11" s="1616">
        <f>2000000</f>
        <v>2000000</v>
      </c>
      <c r="O11" s="1616">
        <f>0</f>
        <v>0</v>
      </c>
      <c r="P11" s="1616">
        <f>0</f>
        <v>0</v>
      </c>
      <c r="Q11" s="1616">
        <f>0</f>
        <v>0</v>
      </c>
    </row>
    <row r="12" spans="1:18">
      <c r="A12" s="1644" t="s">
        <v>379</v>
      </c>
      <c r="B12" s="1616">
        <f>74123000</f>
        <v>74123000</v>
      </c>
      <c r="C12" s="1616">
        <f>74123000</f>
        <v>74123000</v>
      </c>
      <c r="D12" s="1616">
        <f>0</f>
        <v>0</v>
      </c>
      <c r="E12" s="1616">
        <f>0</f>
        <v>0</v>
      </c>
      <c r="F12" s="1616">
        <f>0</f>
        <v>0</v>
      </c>
      <c r="G12" s="1616">
        <f>0</f>
        <v>0</v>
      </c>
      <c r="H12" s="1616">
        <f>0</f>
        <v>0</v>
      </c>
      <c r="I12" s="1616">
        <f>0</f>
        <v>0</v>
      </c>
      <c r="J12" s="1616">
        <f>74123000</f>
        <v>74123000</v>
      </c>
      <c r="K12" s="1616">
        <f>0</f>
        <v>0</v>
      </c>
      <c r="L12" s="1616">
        <f>0</f>
        <v>0</v>
      </c>
      <c r="M12" s="1616">
        <f>0</f>
        <v>0</v>
      </c>
      <c r="N12" s="1616">
        <f>0</f>
        <v>0</v>
      </c>
      <c r="O12" s="1616">
        <f>0</f>
        <v>0</v>
      </c>
      <c r="P12" s="1616">
        <f>0</f>
        <v>0</v>
      </c>
      <c r="Q12" s="1616">
        <f>0</f>
        <v>0</v>
      </c>
    </row>
    <row r="13" spans="1:18">
      <c r="A13" s="1644" t="s">
        <v>711</v>
      </c>
      <c r="B13" s="1616">
        <f>0</f>
        <v>0</v>
      </c>
      <c r="C13" s="1616">
        <f>0</f>
        <v>0</v>
      </c>
      <c r="D13" s="1616">
        <f>0</f>
        <v>0</v>
      </c>
      <c r="E13" s="1616">
        <f>0</f>
        <v>0</v>
      </c>
      <c r="F13" s="1616">
        <f>0</f>
        <v>0</v>
      </c>
      <c r="G13" s="1616">
        <f>0</f>
        <v>0</v>
      </c>
      <c r="H13" s="1616">
        <f>0</f>
        <v>0</v>
      </c>
      <c r="I13" s="1616">
        <f>0</f>
        <v>0</v>
      </c>
      <c r="J13" s="1616">
        <f>0</f>
        <v>0</v>
      </c>
      <c r="K13" s="1616">
        <f>0</f>
        <v>0</v>
      </c>
      <c r="L13" s="1616">
        <f>0</f>
        <v>0</v>
      </c>
      <c r="M13" s="1616">
        <f>0</f>
        <v>0</v>
      </c>
      <c r="N13" s="1616">
        <f>0</f>
        <v>0</v>
      </c>
      <c r="O13" s="1616">
        <f>0</f>
        <v>0</v>
      </c>
      <c r="P13" s="1616">
        <f>0</f>
        <v>0</v>
      </c>
      <c r="Q13" s="1616">
        <f>0</f>
        <v>0</v>
      </c>
    </row>
    <row r="14" spans="1:18">
      <c r="A14" s="1644" t="s">
        <v>302</v>
      </c>
      <c r="B14" s="1616">
        <f>74123000</f>
        <v>74123000</v>
      </c>
      <c r="C14" s="1616">
        <f>74123000</f>
        <v>74123000</v>
      </c>
      <c r="D14" s="1616">
        <f>0</f>
        <v>0</v>
      </c>
      <c r="E14" s="1616">
        <f>0</f>
        <v>0</v>
      </c>
      <c r="F14" s="1616">
        <f>0</f>
        <v>0</v>
      </c>
      <c r="G14" s="1616">
        <f>0</f>
        <v>0</v>
      </c>
      <c r="H14" s="1616">
        <f>0</f>
        <v>0</v>
      </c>
      <c r="I14" s="1616">
        <f>0</f>
        <v>0</v>
      </c>
      <c r="J14" s="1616">
        <f>74123000</f>
        <v>74123000</v>
      </c>
      <c r="K14" s="1616">
        <f>0</f>
        <v>0</v>
      </c>
      <c r="L14" s="1616">
        <f>0</f>
        <v>0</v>
      </c>
      <c r="M14" s="1616">
        <f>0</f>
        <v>0</v>
      </c>
      <c r="N14" s="1616">
        <f>0</f>
        <v>0</v>
      </c>
      <c r="O14" s="1616">
        <f>0</f>
        <v>0</v>
      </c>
      <c r="P14" s="1616">
        <f>0</f>
        <v>0</v>
      </c>
      <c r="Q14" s="1616">
        <f>0</f>
        <v>0</v>
      </c>
    </row>
    <row r="15" spans="1:18">
      <c r="A15" s="1615" t="s">
        <v>303</v>
      </c>
      <c r="B15" s="1616">
        <f>6137891551.43</f>
        <v>6137891551.4300003</v>
      </c>
      <c r="C15" s="1616">
        <f>6137891551.43</f>
        <v>6137891551.4300003</v>
      </c>
      <c r="D15" s="1616">
        <f>263731056.89</f>
        <v>263731056.88999999</v>
      </c>
      <c r="E15" s="1616">
        <f>212188088.05</f>
        <v>212188088.05000001</v>
      </c>
      <c r="F15" s="1616">
        <f>17551163.86</f>
        <v>17551163.859999999</v>
      </c>
      <c r="G15" s="1616">
        <f>33991804.98</f>
        <v>33991804.979999997</v>
      </c>
      <c r="H15" s="1616">
        <f>0</f>
        <v>0</v>
      </c>
      <c r="I15" s="1616">
        <f>0</f>
        <v>0</v>
      </c>
      <c r="J15" s="1616">
        <f>5592673768.52</f>
        <v>5592673768.5200005</v>
      </c>
      <c r="K15" s="1616">
        <f>273339228.54</f>
        <v>273339228.54000002</v>
      </c>
      <c r="L15" s="1616">
        <f>6120190.86</f>
        <v>6120190.8600000003</v>
      </c>
      <c r="M15" s="1616">
        <f>27306.62</f>
        <v>27306.62</v>
      </c>
      <c r="N15" s="1616">
        <f>2000000</f>
        <v>2000000</v>
      </c>
      <c r="O15" s="1616">
        <f>0</f>
        <v>0</v>
      </c>
      <c r="P15" s="1616">
        <f>0</f>
        <v>0</v>
      </c>
      <c r="Q15" s="1616">
        <f>0</f>
        <v>0</v>
      </c>
    </row>
    <row r="16" spans="1:18" s="1531" customFormat="1">
      <c r="A16" s="1644" t="s">
        <v>710</v>
      </c>
      <c r="B16" s="1616">
        <f>2487127.85</f>
        <v>2487127.85</v>
      </c>
      <c r="C16" s="1616">
        <f>2487127.85</f>
        <v>2487127.85</v>
      </c>
      <c r="D16" s="1616">
        <f>221184</f>
        <v>221184</v>
      </c>
      <c r="E16" s="1616">
        <f>0</f>
        <v>0</v>
      </c>
      <c r="F16" s="1616">
        <f>221184</f>
        <v>221184</v>
      </c>
      <c r="G16" s="1616">
        <f>0</f>
        <v>0</v>
      </c>
      <c r="H16" s="1616">
        <f>0</f>
        <v>0</v>
      </c>
      <c r="I16" s="1616">
        <f>0</f>
        <v>0</v>
      </c>
      <c r="J16" s="1616">
        <f>2200000</f>
        <v>2200000</v>
      </c>
      <c r="K16" s="1616">
        <f>64743.85</f>
        <v>64743.85</v>
      </c>
      <c r="L16" s="1616">
        <f>1200</f>
        <v>1200</v>
      </c>
      <c r="M16" s="1616">
        <f>0</f>
        <v>0</v>
      </c>
      <c r="N16" s="1616">
        <f>0</f>
        <v>0</v>
      </c>
      <c r="O16" s="1616">
        <f>0</f>
        <v>0</v>
      </c>
      <c r="P16" s="1616">
        <f>0</f>
        <v>0</v>
      </c>
      <c r="Q16" s="1616">
        <f>0</f>
        <v>0</v>
      </c>
      <c r="R16" s="1431"/>
    </row>
    <row r="17" spans="1:17">
      <c r="A17" s="1644" t="s">
        <v>304</v>
      </c>
      <c r="B17" s="1616">
        <f>6135404423.58</f>
        <v>6135404423.5799999</v>
      </c>
      <c r="C17" s="1616">
        <f>6135404423.58</f>
        <v>6135404423.5799999</v>
      </c>
      <c r="D17" s="1616">
        <f>263509872.89</f>
        <v>263509872.88999999</v>
      </c>
      <c r="E17" s="1616">
        <f>212188088.05</f>
        <v>212188088.05000001</v>
      </c>
      <c r="F17" s="1616">
        <f>17329979.86</f>
        <v>17329979.859999999</v>
      </c>
      <c r="G17" s="1616">
        <f>33991804.98</f>
        <v>33991804.979999997</v>
      </c>
      <c r="H17" s="1616">
        <f>0</f>
        <v>0</v>
      </c>
      <c r="I17" s="1616">
        <f>0</f>
        <v>0</v>
      </c>
      <c r="J17" s="1616">
        <f>5590473768.52</f>
        <v>5590473768.5200005</v>
      </c>
      <c r="K17" s="1616">
        <f>273274484.69</f>
        <v>273274484.69</v>
      </c>
      <c r="L17" s="1616">
        <f>6118990.86</f>
        <v>6118990.8600000003</v>
      </c>
      <c r="M17" s="1616">
        <f>27306.62</f>
        <v>27306.62</v>
      </c>
      <c r="N17" s="1616">
        <f>2000000</f>
        <v>2000000</v>
      </c>
      <c r="O17" s="1616">
        <f>0</f>
        <v>0</v>
      </c>
      <c r="P17" s="1616">
        <f>0</f>
        <v>0</v>
      </c>
      <c r="Q17" s="1616">
        <f>0</f>
        <v>0</v>
      </c>
    </row>
    <row r="18" spans="1:17">
      <c r="A18" s="1644" t="s">
        <v>305</v>
      </c>
      <c r="B18" s="1616">
        <f>0</f>
        <v>0</v>
      </c>
      <c r="C18" s="1616">
        <f>0</f>
        <v>0</v>
      </c>
      <c r="D18" s="1616">
        <f>0</f>
        <v>0</v>
      </c>
      <c r="E18" s="1616">
        <f>0</f>
        <v>0</v>
      </c>
      <c r="F18" s="1616">
        <f>0</f>
        <v>0</v>
      </c>
      <c r="G18" s="1616">
        <f>0</f>
        <v>0</v>
      </c>
      <c r="H18" s="1616">
        <f>0</f>
        <v>0</v>
      </c>
      <c r="I18" s="1616">
        <f>0</f>
        <v>0</v>
      </c>
      <c r="J18" s="1616">
        <f>0</f>
        <v>0</v>
      </c>
      <c r="K18" s="1616">
        <f>0</f>
        <v>0</v>
      </c>
      <c r="L18" s="1616">
        <f>0</f>
        <v>0</v>
      </c>
      <c r="M18" s="1616">
        <f>0</f>
        <v>0</v>
      </c>
      <c r="N18" s="1616">
        <f>0</f>
        <v>0</v>
      </c>
      <c r="O18" s="1616">
        <f>0</f>
        <v>0</v>
      </c>
      <c r="P18" s="1616">
        <f>0</f>
        <v>0</v>
      </c>
      <c r="Q18" s="1616">
        <f>0</f>
        <v>0</v>
      </c>
    </row>
    <row r="19" spans="1:17" ht="27">
      <c r="A19" s="1615" t="s">
        <v>306</v>
      </c>
      <c r="B19" s="1616">
        <f>2134961.32</f>
        <v>2134961.3199999998</v>
      </c>
      <c r="C19" s="1616">
        <f>2134961.32</f>
        <v>2134961.3199999998</v>
      </c>
      <c r="D19" s="1616">
        <f>1329564.09</f>
        <v>1329564.0900000001</v>
      </c>
      <c r="E19" s="1616">
        <f>96700.35</f>
        <v>96700.35</v>
      </c>
      <c r="F19" s="1616">
        <f>0</f>
        <v>0</v>
      </c>
      <c r="G19" s="1616">
        <f>1232763.97</f>
        <v>1232763.97</v>
      </c>
      <c r="H19" s="1616">
        <f>99.77</f>
        <v>99.77</v>
      </c>
      <c r="I19" s="1616">
        <f>0</f>
        <v>0</v>
      </c>
      <c r="J19" s="1616">
        <f>0</f>
        <v>0</v>
      </c>
      <c r="K19" s="1616">
        <f>2015.66</f>
        <v>2015.66</v>
      </c>
      <c r="L19" s="1616">
        <f>700297.97</f>
        <v>700297.97</v>
      </c>
      <c r="M19" s="1616">
        <f>103083.6</f>
        <v>103083.6</v>
      </c>
      <c r="N19" s="1616">
        <f>0</f>
        <v>0</v>
      </c>
      <c r="O19" s="1616">
        <f>0</f>
        <v>0</v>
      </c>
      <c r="P19" s="1616">
        <f>0</f>
        <v>0</v>
      </c>
      <c r="Q19" s="1616">
        <f>0</f>
        <v>0</v>
      </c>
    </row>
    <row r="20" spans="1:17">
      <c r="A20" s="1644" t="s">
        <v>307</v>
      </c>
      <c r="B20" s="1616">
        <f>114638.43</f>
        <v>114638.43</v>
      </c>
      <c r="C20" s="1616">
        <f>114638.43</f>
        <v>114638.43</v>
      </c>
      <c r="D20" s="1616">
        <f>0</f>
        <v>0</v>
      </c>
      <c r="E20" s="1616">
        <f>0</f>
        <v>0</v>
      </c>
      <c r="F20" s="1616">
        <f>0</f>
        <v>0</v>
      </c>
      <c r="G20" s="1616">
        <f>0</f>
        <v>0</v>
      </c>
      <c r="H20" s="1616">
        <f>0</f>
        <v>0</v>
      </c>
      <c r="I20" s="1616">
        <f>0</f>
        <v>0</v>
      </c>
      <c r="J20" s="1616">
        <f>0</f>
        <v>0</v>
      </c>
      <c r="K20" s="1616">
        <f>0</f>
        <v>0</v>
      </c>
      <c r="L20" s="1616">
        <f>86416.27</f>
        <v>86416.27</v>
      </c>
      <c r="M20" s="1616">
        <f>28222.16</f>
        <v>28222.16</v>
      </c>
      <c r="N20" s="1616">
        <f>0</f>
        <v>0</v>
      </c>
      <c r="O20" s="1616">
        <f>0</f>
        <v>0</v>
      </c>
      <c r="P20" s="1616">
        <f>0</f>
        <v>0</v>
      </c>
      <c r="Q20" s="1616">
        <f>0</f>
        <v>0</v>
      </c>
    </row>
    <row r="21" spans="1:17">
      <c r="A21" s="1644" t="s">
        <v>308</v>
      </c>
      <c r="B21" s="1616">
        <f>2020322.89</f>
        <v>2020322.89</v>
      </c>
      <c r="C21" s="1616">
        <f>2020322.89</f>
        <v>2020322.89</v>
      </c>
      <c r="D21" s="1616">
        <f>1329564.09</f>
        <v>1329564.0900000001</v>
      </c>
      <c r="E21" s="1616">
        <f>96700.35</f>
        <v>96700.35</v>
      </c>
      <c r="F21" s="1616">
        <f>0</f>
        <v>0</v>
      </c>
      <c r="G21" s="1616">
        <f>1232763.97</f>
        <v>1232763.97</v>
      </c>
      <c r="H21" s="1616">
        <f>99.77</f>
        <v>99.77</v>
      </c>
      <c r="I21" s="1616">
        <f>0</f>
        <v>0</v>
      </c>
      <c r="J21" s="1616">
        <f>0</f>
        <v>0</v>
      </c>
      <c r="K21" s="1616">
        <f>2015.66</f>
        <v>2015.66</v>
      </c>
      <c r="L21" s="1616">
        <f>613881.7</f>
        <v>613881.69999999995</v>
      </c>
      <c r="M21" s="1616">
        <f>74861.44</f>
        <v>74861.440000000002</v>
      </c>
      <c r="N21" s="1616">
        <f>0</f>
        <v>0</v>
      </c>
      <c r="O21" s="1616">
        <f>0</f>
        <v>0</v>
      </c>
      <c r="P21" s="1616">
        <f>0</f>
        <v>0</v>
      </c>
      <c r="Q21" s="1616">
        <f>0</f>
        <v>0</v>
      </c>
    </row>
    <row r="22" spans="1:17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7">
      <c r="A23" s="1978" t="s">
        <v>309</v>
      </c>
      <c r="B23" s="1978"/>
      <c r="C23" s="1978"/>
      <c r="D23" s="1978"/>
      <c r="E23" s="1978"/>
      <c r="F23" s="1978"/>
      <c r="G23" s="1978"/>
      <c r="H23" s="1978"/>
      <c r="I23" s="1978"/>
      <c r="J23" s="1978"/>
      <c r="K23" s="1978"/>
      <c r="L23" s="1978"/>
      <c r="M23" s="1978"/>
    </row>
    <row r="25" spans="1:17">
      <c r="A25" s="2006" t="s">
        <v>68</v>
      </c>
      <c r="B25" s="2006" t="s">
        <v>310</v>
      </c>
      <c r="C25" s="2006" t="s">
        <v>311</v>
      </c>
      <c r="D25" s="2006"/>
      <c r="E25" s="2006"/>
      <c r="F25" s="2006"/>
      <c r="G25" s="2006"/>
      <c r="H25" s="2006"/>
      <c r="I25" s="2006"/>
      <c r="J25" s="2006"/>
      <c r="K25" s="2006"/>
      <c r="L25" s="2006"/>
      <c r="M25" s="2006"/>
      <c r="N25" s="2006"/>
      <c r="O25" s="2006" t="s">
        <v>312</v>
      </c>
      <c r="P25" s="2006"/>
      <c r="Q25" s="2006"/>
    </row>
    <row r="26" spans="1:17">
      <c r="A26" s="2006"/>
      <c r="B26" s="2006"/>
      <c r="C26" s="2006" t="s">
        <v>313</v>
      </c>
      <c r="D26" s="2006" t="s">
        <v>314</v>
      </c>
      <c r="E26" s="2006" t="s">
        <v>315</v>
      </c>
      <c r="F26" s="2006" t="s">
        <v>316</v>
      </c>
      <c r="G26" s="2006" t="s">
        <v>317</v>
      </c>
      <c r="H26" s="2006" t="s">
        <v>290</v>
      </c>
      <c r="I26" s="2006" t="s">
        <v>318</v>
      </c>
      <c r="J26" s="2006" t="s">
        <v>292</v>
      </c>
      <c r="K26" s="2006" t="s">
        <v>293</v>
      </c>
      <c r="L26" s="2006" t="s">
        <v>294</v>
      </c>
      <c r="M26" s="2006" t="s">
        <v>295</v>
      </c>
      <c r="N26" s="2010" t="s">
        <v>296</v>
      </c>
      <c r="O26" s="2006" t="s">
        <v>297</v>
      </c>
      <c r="P26" s="2006" t="s">
        <v>298</v>
      </c>
      <c r="Q26" s="2006" t="s">
        <v>299</v>
      </c>
    </row>
    <row r="27" spans="1:17">
      <c r="A27" s="2006"/>
      <c r="B27" s="2006"/>
      <c r="C27" s="2006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10"/>
      <c r="O27" s="2006"/>
      <c r="P27" s="2006"/>
      <c r="Q27" s="2006"/>
    </row>
    <row r="28" spans="1:17" ht="41.45" customHeight="1">
      <c r="A28" s="2006"/>
      <c r="B28" s="2006"/>
      <c r="C28" s="2006"/>
      <c r="D28" s="2006"/>
      <c r="E28" s="2006"/>
      <c r="F28" s="2006"/>
      <c r="G28" s="2006"/>
      <c r="H28" s="2006"/>
      <c r="I28" s="2006"/>
      <c r="J28" s="2006"/>
      <c r="K28" s="2006"/>
      <c r="L28" s="2006"/>
      <c r="M28" s="2006"/>
      <c r="N28" s="2010"/>
      <c r="O28" s="2006"/>
      <c r="P28" s="2006"/>
      <c r="Q28" s="2006"/>
    </row>
    <row r="29" spans="1:17">
      <c r="A29" s="2006"/>
      <c r="B29" s="2006"/>
      <c r="C29" s="2006"/>
      <c r="D29" s="2006"/>
      <c r="E29" s="2006"/>
      <c r="F29" s="2006"/>
      <c r="G29" s="2006"/>
      <c r="H29" s="2006"/>
      <c r="I29" s="2006"/>
      <c r="J29" s="2006"/>
      <c r="K29" s="2006"/>
      <c r="L29" s="2006"/>
      <c r="M29" s="2006"/>
      <c r="N29" s="2010"/>
      <c r="O29" s="2006"/>
      <c r="P29" s="2006"/>
      <c r="Q29" s="2006"/>
    </row>
    <row r="30" spans="1:17">
      <c r="A30" s="2006"/>
      <c r="B30" s="2008" t="s">
        <v>4</v>
      </c>
      <c r="C30" s="2008"/>
      <c r="D30" s="2008"/>
      <c r="E30" s="2008"/>
      <c r="F30" s="2008"/>
      <c r="G30" s="2008"/>
      <c r="H30" s="2008"/>
      <c r="I30" s="2008"/>
      <c r="J30" s="2008"/>
      <c r="K30" s="2008"/>
      <c r="L30" s="2008"/>
      <c r="M30" s="2008"/>
      <c r="N30" s="2008"/>
      <c r="O30" s="2008"/>
      <c r="P30" s="2008"/>
      <c r="Q30" s="2008"/>
    </row>
    <row r="31" spans="1:17">
      <c r="A31" s="1287" t="s">
        <v>887</v>
      </c>
      <c r="B31" s="1287" t="s">
        <v>888</v>
      </c>
      <c r="C31" s="1287" t="s">
        <v>889</v>
      </c>
      <c r="D31" s="1287" t="s">
        <v>890</v>
      </c>
      <c r="E31" s="1287" t="s">
        <v>891</v>
      </c>
      <c r="F31" s="1287" t="s">
        <v>892</v>
      </c>
      <c r="G31" s="1287" t="s">
        <v>893</v>
      </c>
      <c r="H31" s="1287" t="s">
        <v>894</v>
      </c>
      <c r="I31" s="1287" t="s">
        <v>932</v>
      </c>
      <c r="J31" s="1287" t="s">
        <v>966</v>
      </c>
      <c r="K31" s="1287" t="s">
        <v>967</v>
      </c>
      <c r="L31" s="1287" t="s">
        <v>969</v>
      </c>
      <c r="M31" s="1287" t="s">
        <v>1070</v>
      </c>
      <c r="N31" s="1287" t="s">
        <v>1096</v>
      </c>
      <c r="O31" s="1287" t="s">
        <v>1097</v>
      </c>
      <c r="P31" s="1287" t="s">
        <v>1098</v>
      </c>
      <c r="Q31" s="1287" t="s">
        <v>1099</v>
      </c>
    </row>
    <row r="32" spans="1:17">
      <c r="A32" s="1622" t="s">
        <v>320</v>
      </c>
      <c r="B32" s="1623">
        <f>1950000</f>
        <v>1950000</v>
      </c>
      <c r="C32" s="1623">
        <f>1950000</f>
        <v>1950000</v>
      </c>
      <c r="D32" s="1623">
        <f>1950000</f>
        <v>1950000</v>
      </c>
      <c r="E32" s="1623">
        <f>50000</f>
        <v>50000</v>
      </c>
      <c r="F32" s="1623">
        <f>0</f>
        <v>0</v>
      </c>
      <c r="G32" s="1623">
        <f>1900000</f>
        <v>1900000</v>
      </c>
      <c r="H32" s="1623">
        <f>0</f>
        <v>0</v>
      </c>
      <c r="I32" s="1623">
        <f>0</f>
        <v>0</v>
      </c>
      <c r="J32" s="1623">
        <f>0</f>
        <v>0</v>
      </c>
      <c r="K32" s="1623">
        <f>0</f>
        <v>0</v>
      </c>
      <c r="L32" s="1623">
        <f>0</f>
        <v>0</v>
      </c>
      <c r="M32" s="1623">
        <f>0</f>
        <v>0</v>
      </c>
      <c r="N32" s="1623">
        <f>0</f>
        <v>0</v>
      </c>
      <c r="O32" s="1623">
        <f>0</f>
        <v>0</v>
      </c>
      <c r="P32" s="1623">
        <f>0</f>
        <v>0</v>
      </c>
      <c r="Q32" s="1623">
        <f>0</f>
        <v>0</v>
      </c>
    </row>
    <row r="33" spans="1:17">
      <c r="A33" s="1625" t="s">
        <v>709</v>
      </c>
      <c r="B33" s="1623">
        <f>0</f>
        <v>0</v>
      </c>
      <c r="C33" s="1623">
        <f>0</f>
        <v>0</v>
      </c>
      <c r="D33" s="1623">
        <f>0</f>
        <v>0</v>
      </c>
      <c r="E33" s="1623">
        <f>0</f>
        <v>0</v>
      </c>
      <c r="F33" s="1623">
        <f>0</f>
        <v>0</v>
      </c>
      <c r="G33" s="1623">
        <f>0</f>
        <v>0</v>
      </c>
      <c r="H33" s="1623">
        <f>0</f>
        <v>0</v>
      </c>
      <c r="I33" s="1623">
        <f>0</f>
        <v>0</v>
      </c>
      <c r="J33" s="1623">
        <f>0</f>
        <v>0</v>
      </c>
      <c r="K33" s="1623">
        <f>0</f>
        <v>0</v>
      </c>
      <c r="L33" s="1623">
        <f>0</f>
        <v>0</v>
      </c>
      <c r="M33" s="1623">
        <f>0</f>
        <v>0</v>
      </c>
      <c r="N33" s="1623">
        <f>0</f>
        <v>0</v>
      </c>
      <c r="O33" s="1623">
        <f>0</f>
        <v>0</v>
      </c>
      <c r="P33" s="1623">
        <f>0</f>
        <v>0</v>
      </c>
      <c r="Q33" s="1623">
        <f>0</f>
        <v>0</v>
      </c>
    </row>
    <row r="34" spans="1:17">
      <c r="A34" s="1625" t="s">
        <v>321</v>
      </c>
      <c r="B34" s="1623">
        <f>1950000</f>
        <v>1950000</v>
      </c>
      <c r="C34" s="1623">
        <f>1950000</f>
        <v>1950000</v>
      </c>
      <c r="D34" s="1623">
        <f>1950000</f>
        <v>1950000</v>
      </c>
      <c r="E34" s="1623">
        <f>50000</f>
        <v>50000</v>
      </c>
      <c r="F34" s="1623">
        <f>0</f>
        <v>0</v>
      </c>
      <c r="G34" s="1623">
        <f>1900000</f>
        <v>1900000</v>
      </c>
      <c r="H34" s="1623">
        <f>0</f>
        <v>0</v>
      </c>
      <c r="I34" s="1623">
        <f>0</f>
        <v>0</v>
      </c>
      <c r="J34" s="1623">
        <f>0</f>
        <v>0</v>
      </c>
      <c r="K34" s="1623">
        <f>0</f>
        <v>0</v>
      </c>
      <c r="L34" s="1623">
        <f>0</f>
        <v>0</v>
      </c>
      <c r="M34" s="1623">
        <f>0</f>
        <v>0</v>
      </c>
      <c r="N34" s="1623">
        <f>0</f>
        <v>0</v>
      </c>
      <c r="O34" s="1623">
        <f>0</f>
        <v>0</v>
      </c>
      <c r="P34" s="1623">
        <f>0</f>
        <v>0</v>
      </c>
      <c r="Q34" s="1623">
        <f>0</f>
        <v>0</v>
      </c>
    </row>
    <row r="35" spans="1:17">
      <c r="A35" s="1622" t="s">
        <v>322</v>
      </c>
      <c r="B35" s="1623">
        <f>141896822.18</f>
        <v>141896822.18000001</v>
      </c>
      <c r="C35" s="1623">
        <f>141896822.18</f>
        <v>141896822.18000001</v>
      </c>
      <c r="D35" s="1623">
        <f>86204806.42</f>
        <v>86204806.420000002</v>
      </c>
      <c r="E35" s="1623">
        <f>140298.37</f>
        <v>140298.37</v>
      </c>
      <c r="F35" s="1623">
        <f>503700.6</f>
        <v>503700.6</v>
      </c>
      <c r="G35" s="1623">
        <f>85560807.45</f>
        <v>85560807.450000003</v>
      </c>
      <c r="H35" s="1623">
        <f>0</f>
        <v>0</v>
      </c>
      <c r="I35" s="1623">
        <f>0</f>
        <v>0</v>
      </c>
      <c r="J35" s="1623">
        <f>0</f>
        <v>0</v>
      </c>
      <c r="K35" s="1623">
        <f>1875000</f>
        <v>1875000</v>
      </c>
      <c r="L35" s="1623">
        <f>34928604.33</f>
        <v>34928604.329999998</v>
      </c>
      <c r="M35" s="1623">
        <f>17404699.8</f>
        <v>17404699.800000001</v>
      </c>
      <c r="N35" s="1623">
        <f>1483711.63</f>
        <v>1483711.63</v>
      </c>
      <c r="O35" s="1623">
        <f>0</f>
        <v>0</v>
      </c>
      <c r="P35" s="1623">
        <f>0</f>
        <v>0</v>
      </c>
      <c r="Q35" s="1623">
        <f>0</f>
        <v>0</v>
      </c>
    </row>
    <row r="36" spans="1:17">
      <c r="A36" s="1625" t="s">
        <v>708</v>
      </c>
      <c r="B36" s="1623">
        <f>13807470.23</f>
        <v>13807470.23</v>
      </c>
      <c r="C36" s="1623">
        <f>13807470.23</f>
        <v>13807470.23</v>
      </c>
      <c r="D36" s="1623">
        <f>8512914.05</f>
        <v>8512914.0500000007</v>
      </c>
      <c r="E36" s="1623">
        <f>0</f>
        <v>0</v>
      </c>
      <c r="F36" s="1623">
        <f>500000</f>
        <v>500000</v>
      </c>
      <c r="G36" s="1623">
        <f>8012914.05</f>
        <v>8012914.0499999998</v>
      </c>
      <c r="H36" s="1623">
        <f>0</f>
        <v>0</v>
      </c>
      <c r="I36" s="1623">
        <f>0</f>
        <v>0</v>
      </c>
      <c r="J36" s="1623">
        <f>0</f>
        <v>0</v>
      </c>
      <c r="K36" s="1623">
        <f>0</f>
        <v>0</v>
      </c>
      <c r="L36" s="1623">
        <f>2348087.85</f>
        <v>2348087.85</v>
      </c>
      <c r="M36" s="1623">
        <f>2794831.35</f>
        <v>2794831.35</v>
      </c>
      <c r="N36" s="1623">
        <f>151636.98</f>
        <v>151636.98000000001</v>
      </c>
      <c r="O36" s="1623">
        <f>0</f>
        <v>0</v>
      </c>
      <c r="P36" s="1623">
        <f>0</f>
        <v>0</v>
      </c>
      <c r="Q36" s="1623">
        <f>0</f>
        <v>0</v>
      </c>
    </row>
    <row r="37" spans="1:17">
      <c r="A37" s="1625" t="s">
        <v>323</v>
      </c>
      <c r="B37" s="1623">
        <f>128089351.95</f>
        <v>128089351.95</v>
      </c>
      <c r="C37" s="1623">
        <f>128089351.95</f>
        <v>128089351.95</v>
      </c>
      <c r="D37" s="1623">
        <f>77691892.37</f>
        <v>77691892.370000005</v>
      </c>
      <c r="E37" s="1623">
        <f>140298.37</f>
        <v>140298.37</v>
      </c>
      <c r="F37" s="1623">
        <f>3700.6</f>
        <v>3700.6</v>
      </c>
      <c r="G37" s="1623">
        <f>77547893.4</f>
        <v>77547893.400000006</v>
      </c>
      <c r="H37" s="1623">
        <f>0</f>
        <v>0</v>
      </c>
      <c r="I37" s="1623">
        <f>0</f>
        <v>0</v>
      </c>
      <c r="J37" s="1623">
        <f>0</f>
        <v>0</v>
      </c>
      <c r="K37" s="1623">
        <f>1875000</f>
        <v>1875000</v>
      </c>
      <c r="L37" s="1623">
        <f>32580516.48</f>
        <v>32580516.48</v>
      </c>
      <c r="M37" s="1623">
        <f>14609868.45</f>
        <v>14609868.449999999</v>
      </c>
      <c r="N37" s="1623">
        <f>1332074.65</f>
        <v>1332074.6499999999</v>
      </c>
      <c r="O37" s="1623">
        <f>0</f>
        <v>0</v>
      </c>
      <c r="P37" s="1623">
        <f>0</f>
        <v>0</v>
      </c>
      <c r="Q37" s="1623">
        <f>0</f>
        <v>0</v>
      </c>
    </row>
    <row r="38" spans="1:17" ht="27">
      <c r="A38" s="1622" t="s">
        <v>324</v>
      </c>
      <c r="B38" s="1623">
        <f>7927429071.09</f>
        <v>7927429071.0900002</v>
      </c>
      <c r="C38" s="1623">
        <f>7927429071.09</f>
        <v>7927429071.0900002</v>
      </c>
      <c r="D38" s="1623">
        <f>1321151.62</f>
        <v>1321151.6200000001</v>
      </c>
      <c r="E38" s="1623">
        <f>1116122.18</f>
        <v>1116122.18</v>
      </c>
      <c r="F38" s="1623">
        <f>0</f>
        <v>0</v>
      </c>
      <c r="G38" s="1623">
        <f>205029.44</f>
        <v>205029.44</v>
      </c>
      <c r="H38" s="1623">
        <f>0</f>
        <v>0</v>
      </c>
      <c r="I38" s="1623">
        <f>3382240.11</f>
        <v>3382240.11</v>
      </c>
      <c r="J38" s="1623">
        <f>7922546123.63</f>
        <v>7922546123.6300001</v>
      </c>
      <c r="K38" s="1623">
        <f>34605.6</f>
        <v>34605.599999999999</v>
      </c>
      <c r="L38" s="1623">
        <f>48667.01</f>
        <v>48667.01</v>
      </c>
      <c r="M38" s="1623">
        <f>2000</f>
        <v>2000</v>
      </c>
      <c r="N38" s="1623">
        <f>94283.12</f>
        <v>94283.12</v>
      </c>
      <c r="O38" s="1623">
        <f>0</f>
        <v>0</v>
      </c>
      <c r="P38" s="1623">
        <f>0</f>
        <v>0</v>
      </c>
      <c r="Q38" s="1623">
        <f>0</f>
        <v>0</v>
      </c>
    </row>
    <row r="39" spans="1:17">
      <c r="A39" s="1625" t="s">
        <v>325</v>
      </c>
      <c r="B39" s="1623">
        <f>202029.05</f>
        <v>202029.05</v>
      </c>
      <c r="C39" s="1623">
        <f>202029.05</f>
        <v>202029.05</v>
      </c>
      <c r="D39" s="1623">
        <f>202029.05</f>
        <v>202029.05</v>
      </c>
      <c r="E39" s="1623">
        <f>0</f>
        <v>0</v>
      </c>
      <c r="F39" s="1623">
        <f>0</f>
        <v>0</v>
      </c>
      <c r="G39" s="1623">
        <f>202029.05</f>
        <v>202029.05</v>
      </c>
      <c r="H39" s="1623">
        <f>0</f>
        <v>0</v>
      </c>
      <c r="I39" s="1623">
        <f>0</f>
        <v>0</v>
      </c>
      <c r="J39" s="1623">
        <f>0</f>
        <v>0</v>
      </c>
      <c r="K39" s="1623">
        <f>0</f>
        <v>0</v>
      </c>
      <c r="L39" s="1623">
        <f>0</f>
        <v>0</v>
      </c>
      <c r="M39" s="1623">
        <f>0</f>
        <v>0</v>
      </c>
      <c r="N39" s="1623">
        <f>0</f>
        <v>0</v>
      </c>
      <c r="O39" s="1623">
        <f>0</f>
        <v>0</v>
      </c>
      <c r="P39" s="1623">
        <f>0</f>
        <v>0</v>
      </c>
      <c r="Q39" s="1623">
        <f>0</f>
        <v>0</v>
      </c>
    </row>
    <row r="40" spans="1:17">
      <c r="A40" s="1625" t="s">
        <v>326</v>
      </c>
      <c r="B40" s="1623">
        <f>7685987689.16</f>
        <v>7685987689.1599998</v>
      </c>
      <c r="C40" s="1623">
        <f>7685987689.16</f>
        <v>7685987689.1599998</v>
      </c>
      <c r="D40" s="1623">
        <f>1098849.84</f>
        <v>1098849.8400000001</v>
      </c>
      <c r="E40" s="1623">
        <f>1097586.84</f>
        <v>1097586.8400000001</v>
      </c>
      <c r="F40" s="1623">
        <f>0</f>
        <v>0</v>
      </c>
      <c r="G40" s="1623">
        <f>1263</f>
        <v>1263</v>
      </c>
      <c r="H40" s="1623">
        <f>0</f>
        <v>0</v>
      </c>
      <c r="I40" s="1623">
        <f>3382240.11</f>
        <v>3382240.11</v>
      </c>
      <c r="J40" s="1623">
        <f>7681357711.17</f>
        <v>7681357711.1700001</v>
      </c>
      <c r="K40" s="1623">
        <f>28565.6</f>
        <v>28565.599999999999</v>
      </c>
      <c r="L40" s="1623">
        <f>26039.32</f>
        <v>26039.32</v>
      </c>
      <c r="M40" s="1623">
        <f>0</f>
        <v>0</v>
      </c>
      <c r="N40" s="1623">
        <f>94283.12</f>
        <v>94283.12</v>
      </c>
      <c r="O40" s="1623">
        <f>0</f>
        <v>0</v>
      </c>
      <c r="P40" s="1623">
        <f>0</f>
        <v>0</v>
      </c>
      <c r="Q40" s="1623">
        <f>0</f>
        <v>0</v>
      </c>
    </row>
    <row r="41" spans="1:17">
      <c r="A41" s="1625" t="s">
        <v>327</v>
      </c>
      <c r="B41" s="1623">
        <f>241239352.88</f>
        <v>241239352.88</v>
      </c>
      <c r="C41" s="1623">
        <f>241239352.88</f>
        <v>241239352.88</v>
      </c>
      <c r="D41" s="1623">
        <f>20272.73</f>
        <v>20272.73</v>
      </c>
      <c r="E41" s="1623">
        <f>18535.34</f>
        <v>18535.34</v>
      </c>
      <c r="F41" s="1623">
        <f>0</f>
        <v>0</v>
      </c>
      <c r="G41" s="1623">
        <f>1737.39</f>
        <v>1737.39</v>
      </c>
      <c r="H41" s="1623">
        <f>0</f>
        <v>0</v>
      </c>
      <c r="I41" s="1623">
        <f>0</f>
        <v>0</v>
      </c>
      <c r="J41" s="1623">
        <f>241188412.46</f>
        <v>241188412.46000001</v>
      </c>
      <c r="K41" s="1623">
        <f>6040</f>
        <v>6040</v>
      </c>
      <c r="L41" s="1623">
        <f>22627.69</f>
        <v>22627.69</v>
      </c>
      <c r="M41" s="1623">
        <f>2000</f>
        <v>2000</v>
      </c>
      <c r="N41" s="1623">
        <f>0</f>
        <v>0</v>
      </c>
      <c r="O41" s="1623">
        <f>0</f>
        <v>0</v>
      </c>
      <c r="P41" s="1623">
        <f>0</f>
        <v>0</v>
      </c>
      <c r="Q41" s="1623">
        <f>0</f>
        <v>0</v>
      </c>
    </row>
    <row r="42" spans="1:17" ht="27">
      <c r="A42" s="1622" t="s">
        <v>364</v>
      </c>
      <c r="B42" s="1623">
        <f>642820904.55</f>
        <v>642820904.54999995</v>
      </c>
      <c r="C42" s="1623">
        <f>641931857.46</f>
        <v>641931857.46000004</v>
      </c>
      <c r="D42" s="1623">
        <f>22254063.46</f>
        <v>22254063.460000001</v>
      </c>
      <c r="E42" s="1623">
        <f>6572014.96</f>
        <v>6572014.96</v>
      </c>
      <c r="F42" s="1623">
        <f>846029.08</f>
        <v>846029.08</v>
      </c>
      <c r="G42" s="1623">
        <f>14320426.37</f>
        <v>14320426.369999999</v>
      </c>
      <c r="H42" s="1623">
        <f>515593.05</f>
        <v>515593.05</v>
      </c>
      <c r="I42" s="1623">
        <f>0</f>
        <v>0</v>
      </c>
      <c r="J42" s="1623">
        <f>3265828.77</f>
        <v>3265828.77</v>
      </c>
      <c r="K42" s="1623">
        <f>413827.68</f>
        <v>413827.68</v>
      </c>
      <c r="L42" s="1623">
        <f>159826458.58</f>
        <v>159826458.58000001</v>
      </c>
      <c r="M42" s="1623">
        <f>449997018.7</f>
        <v>449997018.69999999</v>
      </c>
      <c r="N42" s="1623">
        <f>6174660.27</f>
        <v>6174660.2699999996</v>
      </c>
      <c r="O42" s="1623">
        <f>889047.09</f>
        <v>889047.09</v>
      </c>
      <c r="P42" s="1623">
        <f>194819.09</f>
        <v>194819.09</v>
      </c>
      <c r="Q42" s="1623">
        <f>694228</f>
        <v>694228</v>
      </c>
    </row>
    <row r="43" spans="1:17">
      <c r="A43" s="1625" t="s">
        <v>328</v>
      </c>
      <c r="B43" s="1623">
        <f>128802000.36</f>
        <v>128802000.36</v>
      </c>
      <c r="C43" s="1623">
        <f>128760622.86</f>
        <v>128760622.86</v>
      </c>
      <c r="D43" s="1623">
        <f>2148502.9</f>
        <v>2148502.9</v>
      </c>
      <c r="E43" s="1623">
        <f>307289.91</f>
        <v>307289.90999999997</v>
      </c>
      <c r="F43" s="1623">
        <f>3101.5</f>
        <v>3101.5</v>
      </c>
      <c r="G43" s="1623">
        <f>1325636.04</f>
        <v>1325636.04</v>
      </c>
      <c r="H43" s="1623">
        <f>512475.45</f>
        <v>512475.45</v>
      </c>
      <c r="I43" s="1623">
        <f>0</f>
        <v>0</v>
      </c>
      <c r="J43" s="1623">
        <f>200.46</f>
        <v>200.46</v>
      </c>
      <c r="K43" s="1623">
        <f>199550.51</f>
        <v>199550.51</v>
      </c>
      <c r="L43" s="1623">
        <f>63581169.47</f>
        <v>63581169.469999999</v>
      </c>
      <c r="M43" s="1623">
        <f>62106842.69</f>
        <v>62106842.689999998</v>
      </c>
      <c r="N43" s="1623">
        <f>724356.83</f>
        <v>724356.83</v>
      </c>
      <c r="O43" s="1623">
        <f>41377.5</f>
        <v>41377.5</v>
      </c>
      <c r="P43" s="1623">
        <f>41377.5</f>
        <v>41377.5</v>
      </c>
      <c r="Q43" s="1623">
        <f>0</f>
        <v>0</v>
      </c>
    </row>
    <row r="44" spans="1:17">
      <c r="A44" s="1625" t="s">
        <v>329</v>
      </c>
      <c r="B44" s="1623">
        <f>514018904.19</f>
        <v>514018904.19</v>
      </c>
      <c r="C44" s="1623">
        <f>513171234.6</f>
        <v>513171234.60000002</v>
      </c>
      <c r="D44" s="1623">
        <f>20105560.56</f>
        <v>20105560.559999999</v>
      </c>
      <c r="E44" s="1623">
        <f>6264725.05</f>
        <v>6264725.0499999998</v>
      </c>
      <c r="F44" s="1623">
        <f>842927.58</f>
        <v>842927.58</v>
      </c>
      <c r="G44" s="1623">
        <f>12994790.33</f>
        <v>12994790.33</v>
      </c>
      <c r="H44" s="1623">
        <f>3117.6</f>
        <v>3117.6</v>
      </c>
      <c r="I44" s="1623">
        <f>0</f>
        <v>0</v>
      </c>
      <c r="J44" s="1623">
        <f>3265628.31</f>
        <v>3265628.31</v>
      </c>
      <c r="K44" s="1623">
        <f>214277.17</f>
        <v>214277.17</v>
      </c>
      <c r="L44" s="1623">
        <f>96245289.11</f>
        <v>96245289.109999999</v>
      </c>
      <c r="M44" s="1623">
        <f>387890176.01</f>
        <v>387890176.00999999</v>
      </c>
      <c r="N44" s="1623">
        <f>5450303.44</f>
        <v>5450303.4400000004</v>
      </c>
      <c r="O44" s="1623">
        <f>847669.59</f>
        <v>847669.59</v>
      </c>
      <c r="P44" s="1623">
        <f>153441.59</f>
        <v>153441.59</v>
      </c>
      <c r="Q44" s="1623">
        <f>694228</f>
        <v>694228</v>
      </c>
    </row>
    <row r="45" spans="1:17" ht="27">
      <c r="A45" s="1622" t="s">
        <v>330</v>
      </c>
      <c r="B45" s="1623">
        <f>539144562.41</f>
        <v>539144562.40999997</v>
      </c>
      <c r="C45" s="1623">
        <f>539129502.23</f>
        <v>539129502.23000002</v>
      </c>
      <c r="D45" s="1623">
        <f>185964807.42</f>
        <v>185964807.41999999</v>
      </c>
      <c r="E45" s="1623">
        <f>49669642.59</f>
        <v>49669642.590000004</v>
      </c>
      <c r="F45" s="1623">
        <f>5220639.01</f>
        <v>5220639.01</v>
      </c>
      <c r="G45" s="1623">
        <f>128582322.57</f>
        <v>128582322.56999999</v>
      </c>
      <c r="H45" s="1623">
        <f>2492203.25</f>
        <v>2492203.25</v>
      </c>
      <c r="I45" s="1623">
        <f>0</f>
        <v>0</v>
      </c>
      <c r="J45" s="1623">
        <f>497392.56</f>
        <v>497392.56</v>
      </c>
      <c r="K45" s="1623">
        <f>6906423.59</f>
        <v>6906423.5899999999</v>
      </c>
      <c r="L45" s="1623">
        <f>272621378.78</f>
        <v>272621378.77999997</v>
      </c>
      <c r="M45" s="1623">
        <f>69276044.62</f>
        <v>69276044.620000005</v>
      </c>
      <c r="N45" s="1623">
        <f>3863455.26</f>
        <v>3863455.26</v>
      </c>
      <c r="O45" s="1623">
        <f>15060.18</f>
        <v>15060.18</v>
      </c>
      <c r="P45" s="1623">
        <f>15060.18</f>
        <v>15060.18</v>
      </c>
      <c r="Q45" s="1623">
        <f>0</f>
        <v>0</v>
      </c>
    </row>
    <row r="46" spans="1:17">
      <c r="A46" s="1625" t="s">
        <v>331</v>
      </c>
      <c r="B46" s="1623">
        <f>39573784.51</f>
        <v>39573784.509999998</v>
      </c>
      <c r="C46" s="1623">
        <f>39558724.33</f>
        <v>39558724.329999998</v>
      </c>
      <c r="D46" s="1623">
        <f>11257497.8</f>
        <v>11257497.800000001</v>
      </c>
      <c r="E46" s="1623">
        <f>309807.83</f>
        <v>309807.83</v>
      </c>
      <c r="F46" s="1623">
        <f>500289.26</f>
        <v>500289.26</v>
      </c>
      <c r="G46" s="1623">
        <f>10402256.36</f>
        <v>10402256.359999999</v>
      </c>
      <c r="H46" s="1623">
        <f>45144.35</f>
        <v>45144.35</v>
      </c>
      <c r="I46" s="1623">
        <f>0</f>
        <v>0</v>
      </c>
      <c r="J46" s="1623">
        <f>83255.68</f>
        <v>83255.679999999993</v>
      </c>
      <c r="K46" s="1623">
        <f>115994.51</f>
        <v>115994.51</v>
      </c>
      <c r="L46" s="1623">
        <f>17683943.81</f>
        <v>17683943.809999999</v>
      </c>
      <c r="M46" s="1623">
        <f>9869905.35</f>
        <v>9869905.3499999996</v>
      </c>
      <c r="N46" s="1623">
        <f>548127.18</f>
        <v>548127.18000000005</v>
      </c>
      <c r="O46" s="1623">
        <f>15060.18</f>
        <v>15060.18</v>
      </c>
      <c r="P46" s="1623">
        <f>15060.18</f>
        <v>15060.18</v>
      </c>
      <c r="Q46" s="1623">
        <f>0</f>
        <v>0</v>
      </c>
    </row>
    <row r="47" spans="1:17" ht="27">
      <c r="A47" s="1625" t="s">
        <v>332</v>
      </c>
      <c r="B47" s="1623">
        <f>42439956.8</f>
        <v>42439956.799999997</v>
      </c>
      <c r="C47" s="1623">
        <f>42439956.8</f>
        <v>42439956.799999997</v>
      </c>
      <c r="D47" s="1623">
        <f>42349361.93</f>
        <v>42349361.93</v>
      </c>
      <c r="E47" s="1623">
        <f>39658290.12</f>
        <v>39658290.119999997</v>
      </c>
      <c r="F47" s="1623">
        <f>2123855</f>
        <v>2123855</v>
      </c>
      <c r="G47" s="1623">
        <f>348829.24</f>
        <v>348829.24</v>
      </c>
      <c r="H47" s="1623">
        <f>218387.57</f>
        <v>218387.57</v>
      </c>
      <c r="I47" s="1623">
        <f>0</f>
        <v>0</v>
      </c>
      <c r="J47" s="1623">
        <f>0</f>
        <v>0</v>
      </c>
      <c r="K47" s="1623">
        <f>8095.2</f>
        <v>8095.2</v>
      </c>
      <c r="L47" s="1623">
        <f>38086.16</f>
        <v>38086.160000000003</v>
      </c>
      <c r="M47" s="1623">
        <f>44253.41</f>
        <v>44253.41</v>
      </c>
      <c r="N47" s="1623">
        <f>160.1</f>
        <v>160.1</v>
      </c>
      <c r="O47" s="1623">
        <f>0</f>
        <v>0</v>
      </c>
      <c r="P47" s="1623">
        <f>0</f>
        <v>0</v>
      </c>
      <c r="Q47" s="1623">
        <f>0</f>
        <v>0</v>
      </c>
    </row>
    <row r="48" spans="1:17" ht="27">
      <c r="A48" s="1625" t="s">
        <v>333</v>
      </c>
      <c r="B48" s="1623">
        <f>457130821.1</f>
        <v>457130821.10000002</v>
      </c>
      <c r="C48" s="1623">
        <f>457130821.1</f>
        <v>457130821.10000002</v>
      </c>
      <c r="D48" s="1623">
        <f>132357947.69</f>
        <v>132357947.69</v>
      </c>
      <c r="E48" s="1623">
        <f>9701544.64</f>
        <v>9701544.6400000006</v>
      </c>
      <c r="F48" s="1623">
        <f>2596494.75</f>
        <v>2596494.75</v>
      </c>
      <c r="G48" s="1623">
        <f>117831236.97</f>
        <v>117831236.97</v>
      </c>
      <c r="H48" s="1623">
        <f>2228671.33</f>
        <v>2228671.33</v>
      </c>
      <c r="I48" s="1623">
        <f>0</f>
        <v>0</v>
      </c>
      <c r="J48" s="1623">
        <f>414136.88</f>
        <v>414136.88</v>
      </c>
      <c r="K48" s="1623">
        <f>6782333.88</f>
        <v>6782333.8799999999</v>
      </c>
      <c r="L48" s="1623">
        <f>254899348.81</f>
        <v>254899348.81</v>
      </c>
      <c r="M48" s="1623">
        <f>59361885.86</f>
        <v>59361885.859999999</v>
      </c>
      <c r="N48" s="1623">
        <f>3315167.98</f>
        <v>3315167.98</v>
      </c>
      <c r="O48" s="1623">
        <f>0</f>
        <v>0</v>
      </c>
      <c r="P48" s="1623">
        <f>0</f>
        <v>0</v>
      </c>
      <c r="Q48" s="1623">
        <f>0</f>
        <v>0</v>
      </c>
    </row>
    <row r="56" spans="1:18">
      <c r="A56" s="1978" t="s">
        <v>334</v>
      </c>
      <c r="B56" s="1978"/>
      <c r="C56" s="1978"/>
      <c r="D56" s="1978"/>
      <c r="E56" s="1978"/>
      <c r="F56" s="1978"/>
      <c r="G56" s="1978"/>
      <c r="H56" s="1978"/>
      <c r="I56" s="1978"/>
      <c r="J56" s="1978"/>
      <c r="K56" s="1978"/>
      <c r="L56" s="1978"/>
      <c r="R56" s="1511"/>
    </row>
    <row r="57" spans="1:18">
      <c r="R57" s="1511"/>
    </row>
    <row r="58" spans="1:18">
      <c r="A58" s="2006" t="s">
        <v>68</v>
      </c>
      <c r="B58" s="2006"/>
      <c r="C58" s="2006"/>
      <c r="D58" s="2006"/>
      <c r="E58" s="2006" t="s">
        <v>335</v>
      </c>
      <c r="F58" s="2006" t="s">
        <v>336</v>
      </c>
      <c r="G58" s="2006"/>
      <c r="H58" s="2006"/>
      <c r="I58" s="2006"/>
      <c r="J58" s="2006"/>
      <c r="K58" s="2006"/>
      <c r="R58" s="1511"/>
    </row>
    <row r="59" spans="1:18">
      <c r="A59" s="2006"/>
      <c r="B59" s="2006"/>
      <c r="C59" s="2006"/>
      <c r="D59" s="2006"/>
      <c r="E59" s="2006"/>
      <c r="F59" s="2006" t="s">
        <v>337</v>
      </c>
      <c r="G59" s="2006" t="s">
        <v>287</v>
      </c>
      <c r="H59" s="2006" t="s">
        <v>288</v>
      </c>
      <c r="I59" s="2006" t="s">
        <v>317</v>
      </c>
      <c r="J59" s="2006" t="s">
        <v>338</v>
      </c>
      <c r="K59" s="2010" t="s">
        <v>339</v>
      </c>
      <c r="R59" s="1511"/>
    </row>
    <row r="60" spans="1:18">
      <c r="A60" s="2006"/>
      <c r="B60" s="2006"/>
      <c r="C60" s="2006"/>
      <c r="D60" s="2006"/>
      <c r="E60" s="2006"/>
      <c r="F60" s="2006"/>
      <c r="G60" s="2006"/>
      <c r="H60" s="2006"/>
      <c r="I60" s="2006"/>
      <c r="J60" s="2006"/>
      <c r="K60" s="2010"/>
      <c r="R60" s="1511"/>
    </row>
    <row r="61" spans="1:18">
      <c r="A61" s="2006"/>
      <c r="B61" s="2006"/>
      <c r="C61" s="2006"/>
      <c r="D61" s="2006"/>
      <c r="E61" s="2006"/>
      <c r="F61" s="2006"/>
      <c r="G61" s="2006"/>
      <c r="H61" s="2006"/>
      <c r="I61" s="2006"/>
      <c r="J61" s="2006"/>
      <c r="K61" s="2010"/>
      <c r="R61" s="1511"/>
    </row>
    <row r="62" spans="1:18" ht="33" customHeight="1">
      <c r="A62" s="2006"/>
      <c r="B62" s="2006"/>
      <c r="C62" s="2006"/>
      <c r="D62" s="2006"/>
      <c r="E62" s="2006"/>
      <c r="F62" s="2006"/>
      <c r="G62" s="2006"/>
      <c r="H62" s="2006"/>
      <c r="I62" s="2006"/>
      <c r="J62" s="2006"/>
      <c r="K62" s="2010"/>
      <c r="R62" s="1511"/>
    </row>
    <row r="63" spans="1:18">
      <c r="A63" s="2006"/>
      <c r="B63" s="2006"/>
      <c r="C63" s="2006"/>
      <c r="D63" s="2006"/>
      <c r="E63" s="2008" t="s">
        <v>4</v>
      </c>
      <c r="F63" s="1999"/>
      <c r="G63" s="1999"/>
      <c r="H63" s="1999"/>
      <c r="I63" s="1999"/>
      <c r="J63" s="1999"/>
      <c r="K63" s="1999"/>
      <c r="R63" s="1511"/>
    </row>
    <row r="64" spans="1:18">
      <c r="A64" s="2007" t="s">
        <v>887</v>
      </c>
      <c r="B64" s="2007"/>
      <c r="C64" s="2007"/>
      <c r="D64" s="2007"/>
      <c r="E64" s="1287" t="s">
        <v>888</v>
      </c>
      <c r="F64" s="1287" t="s">
        <v>889</v>
      </c>
      <c r="G64" s="1287" t="s">
        <v>890</v>
      </c>
      <c r="H64" s="1287" t="s">
        <v>891</v>
      </c>
      <c r="I64" s="1287" t="s">
        <v>892</v>
      </c>
      <c r="J64" s="1287" t="s">
        <v>893</v>
      </c>
      <c r="K64" s="1287" t="s">
        <v>894</v>
      </c>
      <c r="R64" s="1511"/>
    </row>
    <row r="65" spans="1:18" ht="27" customHeight="1">
      <c r="A65" s="2011" t="s">
        <v>340</v>
      </c>
      <c r="B65" s="2011"/>
      <c r="C65" s="2011"/>
      <c r="D65" s="2011"/>
      <c r="E65" s="1616">
        <f>553732845.63</f>
        <v>553732845.63</v>
      </c>
      <c r="F65" s="1616">
        <f>304512170.75</f>
        <v>304512170.75</v>
      </c>
      <c r="G65" s="1616">
        <f>23391031.88</f>
        <v>23391031.879999999</v>
      </c>
      <c r="H65" s="1616">
        <f>35939490</f>
        <v>35939490</v>
      </c>
      <c r="I65" s="1616">
        <f>241655593.27</f>
        <v>241655593.27000001</v>
      </c>
      <c r="J65" s="1616">
        <f>3526055.6</f>
        <v>3526055.6</v>
      </c>
      <c r="K65" s="1616">
        <f>249220674.88</f>
        <v>249220674.88</v>
      </c>
      <c r="R65" s="1511"/>
    </row>
    <row r="66" spans="1:18" ht="25.15" customHeight="1">
      <c r="A66" s="2011" t="s">
        <v>341</v>
      </c>
      <c r="B66" s="2011"/>
      <c r="C66" s="2011"/>
      <c r="D66" s="2011"/>
      <c r="E66" s="1616">
        <f>6326810.55</f>
        <v>6326810.5499999998</v>
      </c>
      <c r="F66" s="1616">
        <f>6326810.55</f>
        <v>6326810.5499999998</v>
      </c>
      <c r="G66" s="1616">
        <f>0</f>
        <v>0</v>
      </c>
      <c r="H66" s="1616">
        <f>0</f>
        <v>0</v>
      </c>
      <c r="I66" s="1616">
        <f>6326810.55</f>
        <v>6326810.5499999998</v>
      </c>
      <c r="J66" s="1616">
        <f>0</f>
        <v>0</v>
      </c>
      <c r="K66" s="1616">
        <f>0</f>
        <v>0</v>
      </c>
      <c r="R66" s="1511"/>
    </row>
    <row r="67" spans="1:18">
      <c r="A67" s="2011" t="s">
        <v>342</v>
      </c>
      <c r="B67" s="2011"/>
      <c r="C67" s="2011"/>
      <c r="D67" s="2011"/>
      <c r="E67" s="1616">
        <f>45393600.86</f>
        <v>45393600.859999999</v>
      </c>
      <c r="F67" s="1616">
        <f>33972787.8</f>
        <v>33972787.799999997</v>
      </c>
      <c r="G67" s="1616">
        <f>0</f>
        <v>0</v>
      </c>
      <c r="H67" s="1616">
        <f>4000000</f>
        <v>4000000</v>
      </c>
      <c r="I67" s="1616">
        <f>29972787.8</f>
        <v>29972787.800000001</v>
      </c>
      <c r="J67" s="1616">
        <f>0</f>
        <v>0</v>
      </c>
      <c r="K67" s="1616">
        <f>11420813.06</f>
        <v>11420813.060000001</v>
      </c>
      <c r="R67" s="1511"/>
    </row>
    <row r="68" spans="1:18">
      <c r="A68" s="2011" t="s">
        <v>343</v>
      </c>
      <c r="B68" s="2011"/>
      <c r="C68" s="2011"/>
      <c r="D68" s="2011"/>
      <c r="E68" s="1616">
        <f>44494383.5</f>
        <v>44494383.5</v>
      </c>
      <c r="F68" s="1616">
        <f>19137064.52</f>
        <v>19137064.52</v>
      </c>
      <c r="G68" s="1616">
        <f>0</f>
        <v>0</v>
      </c>
      <c r="H68" s="1616">
        <f>0</f>
        <v>0</v>
      </c>
      <c r="I68" s="1616">
        <f>19137064.52</f>
        <v>19137064.52</v>
      </c>
      <c r="J68" s="1616">
        <f>0</f>
        <v>0</v>
      </c>
      <c r="K68" s="1616">
        <f>25357318.98</f>
        <v>25357318.98</v>
      </c>
      <c r="R68" s="1511"/>
    </row>
    <row r="69" spans="1:18">
      <c r="A69" s="2011" t="s">
        <v>344</v>
      </c>
      <c r="B69" s="2011"/>
      <c r="C69" s="2011"/>
      <c r="D69" s="2011"/>
      <c r="E69" s="1616">
        <f>11418416.57</f>
        <v>11418416.57</v>
      </c>
      <c r="F69" s="1616">
        <f>10994069.7</f>
        <v>10994069.699999999</v>
      </c>
      <c r="G69" s="1616">
        <f>0</f>
        <v>0</v>
      </c>
      <c r="H69" s="1616">
        <f>0</f>
        <v>0</v>
      </c>
      <c r="I69" s="1616">
        <f>10994069.7</f>
        <v>10994069.699999999</v>
      </c>
      <c r="J69" s="1616">
        <f>0</f>
        <v>0</v>
      </c>
      <c r="K69" s="1616">
        <f>424346.87</f>
        <v>424346.87</v>
      </c>
      <c r="R69" s="1511"/>
    </row>
    <row r="70" spans="1:18" ht="25.15" customHeight="1">
      <c r="A70" s="2011" t="s">
        <v>345</v>
      </c>
      <c r="B70" s="2011"/>
      <c r="C70" s="2011"/>
      <c r="D70" s="2011"/>
      <c r="E70" s="1616">
        <f>3949732.39</f>
        <v>3949732.39</v>
      </c>
      <c r="F70" s="1616">
        <f>1953676.13</f>
        <v>1953676.13</v>
      </c>
      <c r="G70" s="1616">
        <f>0</f>
        <v>0</v>
      </c>
      <c r="H70" s="1616">
        <f>0</f>
        <v>0</v>
      </c>
      <c r="I70" s="1616">
        <f>1953676.13</f>
        <v>1953676.13</v>
      </c>
      <c r="J70" s="1616">
        <f>0</f>
        <v>0</v>
      </c>
      <c r="K70" s="1616">
        <f>1996056.26</f>
        <v>1996056.26</v>
      </c>
      <c r="R70" s="1511"/>
    </row>
    <row r="71" spans="1:18" ht="27.6" customHeight="1">
      <c r="A71" s="2011" t="s">
        <v>346</v>
      </c>
      <c r="B71" s="2011"/>
      <c r="C71" s="2011"/>
      <c r="D71" s="2011"/>
      <c r="E71" s="1616">
        <f>1553768.46</f>
        <v>1553768.46</v>
      </c>
      <c r="F71" s="1616">
        <f>1553768.46</f>
        <v>1553768.46</v>
      </c>
      <c r="G71" s="1616">
        <f>0</f>
        <v>0</v>
      </c>
      <c r="H71" s="1616">
        <f>0</f>
        <v>0</v>
      </c>
      <c r="I71" s="1616">
        <f>1553768.46</f>
        <v>1553768.46</v>
      </c>
      <c r="J71" s="1616">
        <f>0</f>
        <v>0</v>
      </c>
      <c r="K71" s="1616">
        <f>0</f>
        <v>0</v>
      </c>
      <c r="R71" s="1511"/>
    </row>
  </sheetData>
  <mergeCells count="62">
    <mergeCell ref="A67:D67"/>
    <mergeCell ref="A68:D68"/>
    <mergeCell ref="A69:D69"/>
    <mergeCell ref="A70:D70"/>
    <mergeCell ref="A71:D71"/>
    <mergeCell ref="A65:D65"/>
    <mergeCell ref="A66:D66"/>
    <mergeCell ref="Q26:Q29"/>
    <mergeCell ref="A56:L56"/>
    <mergeCell ref="E58:E62"/>
    <mergeCell ref="F58:K58"/>
    <mergeCell ref="F59:F62"/>
    <mergeCell ref="G59:G62"/>
    <mergeCell ref="H59:H62"/>
    <mergeCell ref="I59:I62"/>
    <mergeCell ref="J59:J62"/>
    <mergeCell ref="K59:K62"/>
    <mergeCell ref="B30:Q30"/>
    <mergeCell ref="A25:A30"/>
    <mergeCell ref="A58:D63"/>
    <mergeCell ref="M26:M29"/>
    <mergeCell ref="A64:D64"/>
    <mergeCell ref="P5:P8"/>
    <mergeCell ref="L5:L8"/>
    <mergeCell ref="M5:M8"/>
    <mergeCell ref="N5:N8"/>
    <mergeCell ref="O5:O8"/>
    <mergeCell ref="E63:K63"/>
    <mergeCell ref="A23:M23"/>
    <mergeCell ref="B25:B29"/>
    <mergeCell ref="C25:N25"/>
    <mergeCell ref="O25:Q25"/>
    <mergeCell ref="C26:C29"/>
    <mergeCell ref="D26:D29"/>
    <mergeCell ref="E26:E29"/>
    <mergeCell ref="F26:F29"/>
    <mergeCell ref="G26:G29"/>
    <mergeCell ref="H26:H29"/>
    <mergeCell ref="A2:M2"/>
    <mergeCell ref="C3:M3"/>
    <mergeCell ref="B4:B8"/>
    <mergeCell ref="C4:N4"/>
    <mergeCell ref="A4:A9"/>
    <mergeCell ref="B9:Q9"/>
    <mergeCell ref="O4:Q4"/>
    <mergeCell ref="C5:C8"/>
    <mergeCell ref="D5:D8"/>
    <mergeCell ref="E5:E8"/>
    <mergeCell ref="F5:F8"/>
    <mergeCell ref="G5:G8"/>
    <mergeCell ref="K5:K8"/>
    <mergeCell ref="H5:H8"/>
    <mergeCell ref="I5:I8"/>
    <mergeCell ref="J5:J8"/>
    <mergeCell ref="Q5:Q8"/>
    <mergeCell ref="I26:I29"/>
    <mergeCell ref="J26:J29"/>
    <mergeCell ref="K26:K29"/>
    <mergeCell ref="L26:L29"/>
    <mergeCell ref="N26:N29"/>
    <mergeCell ref="O26:O29"/>
    <mergeCell ref="P26:P29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65" firstPageNumber="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7"/>
  <sheetViews>
    <sheetView showGridLines="0" zoomScaleNormal="100" workbookViewId="0">
      <selection activeCell="K24" sqref="K24"/>
    </sheetView>
  </sheetViews>
  <sheetFormatPr defaultRowHeight="12.75"/>
  <cols>
    <col min="1" max="1" width="5" customWidth="1"/>
    <col min="2" max="2" width="16.85546875" customWidth="1"/>
    <col min="3" max="3" width="12.5703125" customWidth="1"/>
    <col min="4" max="7" width="12.7109375" customWidth="1"/>
  </cols>
  <sheetData>
    <row r="2" spans="1:7">
      <c r="A2" s="1797" t="s">
        <v>964</v>
      </c>
      <c r="B2" s="1797"/>
      <c r="C2" s="1797"/>
      <c r="D2" s="1797"/>
      <c r="E2" s="1797"/>
      <c r="F2" s="1797"/>
      <c r="G2" s="1797"/>
    </row>
    <row r="4" spans="1:7" ht="13.5" customHeight="1">
      <c r="A4" s="1798" t="s">
        <v>41</v>
      </c>
      <c r="B4" s="1801" t="s">
        <v>68</v>
      </c>
      <c r="C4" s="1808" t="s">
        <v>959</v>
      </c>
      <c r="D4" s="248" t="s">
        <v>960</v>
      </c>
      <c r="E4" s="229" t="s">
        <v>348</v>
      </c>
      <c r="F4" s="229" t="s">
        <v>349</v>
      </c>
      <c r="G4" s="230" t="s">
        <v>371</v>
      </c>
    </row>
    <row r="5" spans="1:7" ht="14.25" customHeight="1">
      <c r="A5" s="1799"/>
      <c r="B5" s="1802"/>
      <c r="C5" s="1809"/>
      <c r="D5" s="2173" t="s">
        <v>961</v>
      </c>
      <c r="E5" s="2173"/>
      <c r="F5" s="2173"/>
      <c r="G5" s="2174"/>
    </row>
    <row r="6" spans="1:7" ht="14.25" customHeight="1">
      <c r="A6" s="1800"/>
      <c r="B6" s="1803"/>
      <c r="C6" s="1810"/>
      <c r="D6" s="2113" t="s">
        <v>4</v>
      </c>
      <c r="E6" s="2113"/>
      <c r="F6" s="2113"/>
      <c r="G6" s="2114"/>
    </row>
    <row r="7" spans="1:7">
      <c r="A7" s="611" t="s">
        <v>887</v>
      </c>
      <c r="B7" s="614" t="s">
        <v>888</v>
      </c>
      <c r="C7" s="616" t="s">
        <v>889</v>
      </c>
      <c r="D7" s="615" t="s">
        <v>890</v>
      </c>
      <c r="E7" s="612" t="s">
        <v>891</v>
      </c>
      <c r="F7" s="612" t="s">
        <v>892</v>
      </c>
      <c r="G7" s="613" t="s">
        <v>893</v>
      </c>
    </row>
    <row r="8" spans="1:7" ht="24.75" customHeight="1">
      <c r="A8" s="231"/>
      <c r="B8" s="1563" t="s">
        <v>933</v>
      </c>
      <c r="C8" s="250">
        <v>25754378</v>
      </c>
      <c r="D8" s="111">
        <v>1399.89</v>
      </c>
      <c r="E8" s="173">
        <v>1326.87</v>
      </c>
      <c r="F8" s="173">
        <v>73.02</v>
      </c>
      <c r="G8" s="232">
        <v>241.29</v>
      </c>
    </row>
    <row r="9" spans="1:7" ht="20.100000000000001" customHeight="1">
      <c r="A9" s="233" t="s">
        <v>6</v>
      </c>
      <c r="B9" s="246" t="s">
        <v>26</v>
      </c>
      <c r="C9" s="251">
        <v>1962651</v>
      </c>
      <c r="D9" s="112">
        <v>1414.27</v>
      </c>
      <c r="E9" s="174">
        <v>1336.38</v>
      </c>
      <c r="F9" s="174">
        <v>77.89</v>
      </c>
      <c r="G9" s="234">
        <v>264.44</v>
      </c>
    </row>
    <row r="10" spans="1:7" ht="20.100000000000001" customHeight="1">
      <c r="A10" s="233" t="s">
        <v>7</v>
      </c>
      <c r="B10" s="246" t="s">
        <v>42</v>
      </c>
      <c r="C10" s="251">
        <v>1317113</v>
      </c>
      <c r="D10" s="112">
        <v>1385.74</v>
      </c>
      <c r="E10" s="174">
        <v>1344.96</v>
      </c>
      <c r="F10" s="174">
        <v>40.79</v>
      </c>
      <c r="G10" s="234">
        <v>166.03</v>
      </c>
    </row>
    <row r="11" spans="1:7" ht="20.100000000000001" customHeight="1">
      <c r="A11" s="233" t="s">
        <v>8</v>
      </c>
      <c r="B11" s="246" t="s">
        <v>27</v>
      </c>
      <c r="C11" s="251">
        <v>1575810</v>
      </c>
      <c r="D11" s="112">
        <v>1453.9</v>
      </c>
      <c r="E11" s="174">
        <v>1422.68</v>
      </c>
      <c r="F11" s="174">
        <v>31.23</v>
      </c>
      <c r="G11" s="234">
        <v>264.10000000000002</v>
      </c>
    </row>
    <row r="12" spans="1:7" ht="20.100000000000001" customHeight="1">
      <c r="A12" s="233" t="s">
        <v>9</v>
      </c>
      <c r="B12" s="246" t="s">
        <v>28</v>
      </c>
      <c r="C12" s="251">
        <v>743664</v>
      </c>
      <c r="D12" s="112">
        <v>1397.52</v>
      </c>
      <c r="E12" s="174">
        <v>1294.01</v>
      </c>
      <c r="F12" s="174">
        <v>103.51</v>
      </c>
      <c r="G12" s="234">
        <v>315.77999999999997</v>
      </c>
    </row>
    <row r="13" spans="1:7" ht="20.100000000000001" customHeight="1">
      <c r="A13" s="233" t="s">
        <v>1</v>
      </c>
      <c r="B13" s="246" t="s">
        <v>29</v>
      </c>
      <c r="C13" s="251">
        <v>1645880</v>
      </c>
      <c r="D13" s="112">
        <v>1348.86</v>
      </c>
      <c r="E13" s="174">
        <v>1273.3699999999999</v>
      </c>
      <c r="F13" s="174">
        <v>75.48</v>
      </c>
      <c r="G13" s="234">
        <v>232.93</v>
      </c>
    </row>
    <row r="14" spans="1:7" ht="20.100000000000001" customHeight="1">
      <c r="A14" s="233" t="s">
        <v>2</v>
      </c>
      <c r="B14" s="246" t="s">
        <v>30</v>
      </c>
      <c r="C14" s="251">
        <v>2439419</v>
      </c>
      <c r="D14" s="112">
        <v>1220.7</v>
      </c>
      <c r="E14" s="174">
        <v>1165.8499999999999</v>
      </c>
      <c r="F14" s="174">
        <v>54.85</v>
      </c>
      <c r="G14" s="234">
        <v>220.85</v>
      </c>
    </row>
    <row r="15" spans="1:7" ht="20.100000000000001" customHeight="1">
      <c r="A15" s="233" t="s">
        <v>10</v>
      </c>
      <c r="B15" s="246" t="s">
        <v>31</v>
      </c>
      <c r="C15" s="251">
        <v>3173829</v>
      </c>
      <c r="D15" s="112">
        <v>1506.53</v>
      </c>
      <c r="E15" s="174">
        <v>1422.21</v>
      </c>
      <c r="F15" s="174">
        <v>84.32</v>
      </c>
      <c r="G15" s="234">
        <v>256.51</v>
      </c>
    </row>
    <row r="16" spans="1:7" ht="20.100000000000001" customHeight="1">
      <c r="A16" s="233" t="s">
        <v>11</v>
      </c>
      <c r="B16" s="246" t="s">
        <v>32</v>
      </c>
      <c r="C16" s="251">
        <v>848935</v>
      </c>
      <c r="D16" s="112">
        <v>1264.22</v>
      </c>
      <c r="E16" s="174">
        <v>1217.3399999999999</v>
      </c>
      <c r="F16" s="174">
        <v>46.89</v>
      </c>
      <c r="G16" s="234">
        <v>321.18</v>
      </c>
    </row>
    <row r="17" spans="1:7" ht="20.100000000000001" customHeight="1">
      <c r="A17" s="233" t="s">
        <v>12</v>
      </c>
      <c r="B17" s="246" t="s">
        <v>33</v>
      </c>
      <c r="C17" s="251">
        <v>1772508</v>
      </c>
      <c r="D17" s="112">
        <v>1348.2</v>
      </c>
      <c r="E17" s="174">
        <v>1262.73</v>
      </c>
      <c r="F17" s="174">
        <v>85.47</v>
      </c>
      <c r="G17" s="234">
        <v>181.98</v>
      </c>
    </row>
    <row r="18" spans="1:7" ht="20.100000000000001" customHeight="1">
      <c r="A18" s="233" t="s">
        <v>13</v>
      </c>
      <c r="B18" s="246" t="s">
        <v>34</v>
      </c>
      <c r="C18" s="251">
        <v>744116</v>
      </c>
      <c r="D18" s="112">
        <v>1517.6</v>
      </c>
      <c r="E18" s="174">
        <v>1374.12</v>
      </c>
      <c r="F18" s="174">
        <v>143.47999999999999</v>
      </c>
      <c r="G18" s="234">
        <v>144.58000000000001</v>
      </c>
    </row>
    <row r="19" spans="1:7" ht="20.100000000000001" customHeight="1">
      <c r="A19" s="233" t="s">
        <v>14</v>
      </c>
      <c r="B19" s="246" t="s">
        <v>35</v>
      </c>
      <c r="C19" s="251">
        <v>1505831</v>
      </c>
      <c r="D19" s="112">
        <v>1467.89</v>
      </c>
      <c r="E19" s="174">
        <v>1382.14</v>
      </c>
      <c r="F19" s="174">
        <v>85.75</v>
      </c>
      <c r="G19" s="234">
        <v>265.26</v>
      </c>
    </row>
    <row r="20" spans="1:7" ht="20.100000000000001" customHeight="1">
      <c r="A20" s="233" t="s">
        <v>15</v>
      </c>
      <c r="B20" s="246" t="s">
        <v>36</v>
      </c>
      <c r="C20" s="251">
        <v>1994235</v>
      </c>
      <c r="D20" s="112">
        <v>1222.97</v>
      </c>
      <c r="E20" s="174">
        <v>1156.73</v>
      </c>
      <c r="F20" s="174">
        <v>66.239999999999995</v>
      </c>
      <c r="G20" s="234">
        <v>119.72</v>
      </c>
    </row>
    <row r="21" spans="1:7" ht="20.100000000000001" customHeight="1">
      <c r="A21" s="233" t="s">
        <v>16</v>
      </c>
      <c r="B21" s="246" t="s">
        <v>37</v>
      </c>
      <c r="C21" s="251">
        <v>1031211</v>
      </c>
      <c r="D21" s="112">
        <v>1503.05</v>
      </c>
      <c r="E21" s="174">
        <v>1398.56</v>
      </c>
      <c r="F21" s="174">
        <v>104.49</v>
      </c>
      <c r="G21" s="234">
        <v>262.52</v>
      </c>
    </row>
    <row r="22" spans="1:7" ht="20.100000000000001" customHeight="1">
      <c r="A22" s="233" t="s">
        <v>17</v>
      </c>
      <c r="B22" s="246" t="s">
        <v>43</v>
      </c>
      <c r="C22" s="251">
        <v>1126664</v>
      </c>
      <c r="D22" s="112">
        <v>1638.86</v>
      </c>
      <c r="E22" s="174">
        <v>1546.69</v>
      </c>
      <c r="F22" s="174">
        <v>92.16</v>
      </c>
      <c r="G22" s="234">
        <v>324.7</v>
      </c>
    </row>
    <row r="23" spans="1:7" ht="20.100000000000001" customHeight="1">
      <c r="A23" s="233" t="s">
        <v>18</v>
      </c>
      <c r="B23" s="246" t="s">
        <v>38</v>
      </c>
      <c r="C23" s="251">
        <v>2729903</v>
      </c>
      <c r="D23" s="112">
        <v>1335.42</v>
      </c>
      <c r="E23" s="174">
        <v>1279.7</v>
      </c>
      <c r="F23" s="174">
        <v>55.72</v>
      </c>
      <c r="G23" s="234">
        <v>294.69</v>
      </c>
    </row>
    <row r="24" spans="1:7" ht="20.100000000000001" customHeight="1">
      <c r="A24" s="235" t="s">
        <v>19</v>
      </c>
      <c r="B24" s="247" t="s">
        <v>39</v>
      </c>
      <c r="C24" s="252">
        <v>1142609</v>
      </c>
      <c r="D24" s="236">
        <v>1627.16</v>
      </c>
      <c r="E24" s="237">
        <v>1540.4</v>
      </c>
      <c r="F24" s="237">
        <v>86.76</v>
      </c>
      <c r="G24" s="238">
        <v>268.86</v>
      </c>
    </row>
    <row r="26" spans="1:7" ht="13.5">
      <c r="A26" s="167" t="s">
        <v>934</v>
      </c>
      <c r="B26" s="168" t="s">
        <v>935</v>
      </c>
      <c r="C26" s="167"/>
      <c r="D26" s="167"/>
      <c r="E26" s="167"/>
      <c r="F26" s="167"/>
      <c r="G26" s="167"/>
    </row>
    <row r="27" spans="1:7" ht="13.5">
      <c r="A27" s="167"/>
      <c r="B27" s="168" t="s">
        <v>936</v>
      </c>
      <c r="C27" s="167"/>
      <c r="D27" s="167"/>
      <c r="E27" s="167"/>
      <c r="F27" s="167"/>
      <c r="G27" s="167"/>
    </row>
  </sheetData>
  <mergeCells count="6">
    <mergeCell ref="A2:G2"/>
    <mergeCell ref="A4:A6"/>
    <mergeCell ref="B4:B6"/>
    <mergeCell ref="D5:G5"/>
    <mergeCell ref="D6:G6"/>
    <mergeCell ref="C4:C6"/>
  </mergeCells>
  <pageMargins left="0.75" right="0.75" top="1" bottom="1" header="0.5" footer="0.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showGridLines="0" zoomScaleNormal="100" workbookViewId="0">
      <selection activeCell="L12" sqref="L12"/>
    </sheetView>
  </sheetViews>
  <sheetFormatPr defaultColWidth="9.140625" defaultRowHeight="13.5"/>
  <cols>
    <col min="1" max="1" width="39.28515625" style="225" customWidth="1"/>
    <col min="2" max="2" width="16.5703125" style="225" customWidth="1"/>
    <col min="3" max="3" width="15.7109375" style="225" customWidth="1"/>
    <col min="4" max="4" width="16.28515625" style="225" customWidth="1"/>
    <col min="5" max="7" width="9.28515625" style="225" customWidth="1"/>
    <col min="8" max="16384" width="9.140625" style="225"/>
  </cols>
  <sheetData>
    <row r="1" spans="1:8" ht="13.9" customHeight="1">
      <c r="A1" s="2183" t="s">
        <v>96</v>
      </c>
      <c r="B1" s="2183"/>
      <c r="C1" s="2183"/>
      <c r="D1" s="2183"/>
      <c r="E1" s="2183"/>
      <c r="F1" s="2183"/>
      <c r="G1" s="2183"/>
      <c r="H1" s="1568"/>
    </row>
    <row r="2" spans="1:8" ht="12.95" customHeight="1"/>
    <row r="3" spans="1:8" ht="24" customHeight="1">
      <c r="A3" s="1814" t="s">
        <v>68</v>
      </c>
      <c r="B3" s="1814" t="s">
        <v>1152</v>
      </c>
      <c r="C3" s="1817" t="s">
        <v>1153</v>
      </c>
      <c r="D3" s="1823" t="s">
        <v>1030</v>
      </c>
      <c r="E3" s="1826" t="s">
        <v>1031</v>
      </c>
      <c r="F3" s="1820" t="s">
        <v>22</v>
      </c>
      <c r="G3" s="1829" t="s">
        <v>1025</v>
      </c>
    </row>
    <row r="4" spans="1:8">
      <c r="A4" s="1815"/>
      <c r="B4" s="1815"/>
      <c r="C4" s="1818"/>
      <c r="D4" s="1824"/>
      <c r="E4" s="1827"/>
      <c r="F4" s="1821"/>
      <c r="G4" s="1830"/>
    </row>
    <row r="5" spans="1:8">
      <c r="A5" s="1815"/>
      <c r="B5" s="2184"/>
      <c r="C5" s="2185"/>
      <c r="D5" s="2186"/>
      <c r="E5" s="2187"/>
      <c r="F5" s="2175"/>
      <c r="G5" s="2176"/>
    </row>
    <row r="6" spans="1:8">
      <c r="A6" s="2184"/>
      <c r="B6" s="2177" t="s">
        <v>4</v>
      </c>
      <c r="C6" s="2178"/>
      <c r="D6" s="2179"/>
      <c r="E6" s="2180" t="s">
        <v>72</v>
      </c>
      <c r="F6" s="2181"/>
      <c r="G6" s="2182"/>
    </row>
    <row r="7" spans="1:8">
      <c r="A7" s="275" t="s">
        <v>887</v>
      </c>
      <c r="B7" s="275" t="s">
        <v>888</v>
      </c>
      <c r="C7" s="276" t="s">
        <v>889</v>
      </c>
      <c r="D7" s="279" t="s">
        <v>890</v>
      </c>
      <c r="E7" s="285" t="s">
        <v>891</v>
      </c>
      <c r="F7" s="277" t="s">
        <v>892</v>
      </c>
      <c r="G7" s="278" t="s">
        <v>893</v>
      </c>
    </row>
    <row r="8" spans="1:8" ht="27">
      <c r="A8" s="270" t="s">
        <v>1146</v>
      </c>
      <c r="B8" s="622">
        <v>34568621829.830002</v>
      </c>
      <c r="C8" s="266">
        <v>35446064078.629997</v>
      </c>
      <c r="D8" s="280">
        <v>36053277512.580002</v>
      </c>
      <c r="E8" s="620">
        <v>101.71306307127084</v>
      </c>
      <c r="F8" s="618">
        <v>100</v>
      </c>
      <c r="G8" s="619">
        <v>104.2948072678699</v>
      </c>
    </row>
    <row r="9" spans="1:8" ht="27">
      <c r="A9" s="271" t="s">
        <v>1147</v>
      </c>
      <c r="B9" s="553">
        <v>13994492210.990002</v>
      </c>
      <c r="C9" s="267">
        <v>12930818057.619995</v>
      </c>
      <c r="D9" s="281">
        <v>13747399431.110004</v>
      </c>
      <c r="E9" s="535">
        <v>106.31500164839768</v>
      </c>
      <c r="F9" s="526">
        <v>38.130789707851527</v>
      </c>
      <c r="G9" s="527">
        <v>98.23435694447025</v>
      </c>
    </row>
    <row r="10" spans="1:8" ht="20.100000000000001" customHeight="1">
      <c r="A10" s="272" t="s">
        <v>79</v>
      </c>
      <c r="B10" s="554">
        <v>6172761296</v>
      </c>
      <c r="C10" s="268">
        <v>6414628183.6800003</v>
      </c>
      <c r="D10" s="282">
        <v>6940195025</v>
      </c>
      <c r="E10" s="536">
        <v>108.19325495212861</v>
      </c>
      <c r="F10" s="528">
        <v>19.24983109393694</v>
      </c>
      <c r="G10" s="529">
        <v>112.43258393123516</v>
      </c>
    </row>
    <row r="11" spans="1:8" ht="20.100000000000001" customHeight="1">
      <c r="A11" s="272" t="s">
        <v>78</v>
      </c>
      <c r="B11" s="554">
        <v>241495197.81</v>
      </c>
      <c r="C11" s="268">
        <v>256025410.63</v>
      </c>
      <c r="D11" s="282">
        <v>339635141.92000002</v>
      </c>
      <c r="E11" s="536">
        <v>132.65680976128976</v>
      </c>
      <c r="F11" s="528">
        <v>0.9420368004032138</v>
      </c>
      <c r="G11" s="529">
        <v>140.63846610615136</v>
      </c>
    </row>
    <row r="12" spans="1:8" ht="20.100000000000001" customHeight="1">
      <c r="A12" s="272" t="s">
        <v>90</v>
      </c>
      <c r="B12" s="554">
        <v>364205860.11000001</v>
      </c>
      <c r="C12" s="268">
        <v>377651602.57999998</v>
      </c>
      <c r="D12" s="533">
        <v>360824841.69999999</v>
      </c>
      <c r="E12" s="536">
        <v>95.544369263881123</v>
      </c>
      <c r="F12" s="528">
        <v>1.0008100971516336</v>
      </c>
      <c r="G12" s="529">
        <v>99.071673803112645</v>
      </c>
    </row>
    <row r="13" spans="1:8" ht="20.100000000000001" customHeight="1">
      <c r="A13" s="272" t="s">
        <v>91</v>
      </c>
      <c r="B13" s="554">
        <v>7216029857.0700026</v>
      </c>
      <c r="C13" s="268">
        <v>5882512860.7299957</v>
      </c>
      <c r="D13" s="282">
        <v>6106744422.4900045</v>
      </c>
      <c r="E13" s="536">
        <v>103.81183292019497</v>
      </c>
      <c r="F13" s="528">
        <v>16.938111716359739</v>
      </c>
      <c r="G13" s="529">
        <v>84.627482749490554</v>
      </c>
    </row>
    <row r="14" spans="1:8" ht="27">
      <c r="A14" s="271" t="s">
        <v>1145</v>
      </c>
      <c r="B14" s="553">
        <v>7157009644.8400002</v>
      </c>
      <c r="C14" s="267">
        <v>7827599596.0100012</v>
      </c>
      <c r="D14" s="281">
        <v>7343478321.4699984</v>
      </c>
      <c r="E14" s="535">
        <v>93.815201344908132</v>
      </c>
      <c r="F14" s="526">
        <v>20.368407057881637</v>
      </c>
      <c r="G14" s="527">
        <v>102.60539926426446</v>
      </c>
    </row>
    <row r="15" spans="1:8" ht="20.100000000000001" customHeight="1">
      <c r="A15" s="272" t="s">
        <v>92</v>
      </c>
      <c r="B15" s="554">
        <v>5489097468.1400003</v>
      </c>
      <c r="C15" s="268">
        <v>6329918504.1500006</v>
      </c>
      <c r="D15" s="282">
        <v>6153768896.079999</v>
      </c>
      <c r="E15" s="536">
        <v>97.217189953480215</v>
      </c>
      <c r="F15" s="528">
        <v>17.068542225967601</v>
      </c>
      <c r="G15" s="529">
        <v>112.10893834182953</v>
      </c>
    </row>
    <row r="16" spans="1:8" ht="54">
      <c r="A16" s="273" t="s">
        <v>93</v>
      </c>
      <c r="B16" s="554">
        <v>1667912176.7</v>
      </c>
      <c r="C16" s="621">
        <v>1497681091.8599999</v>
      </c>
      <c r="D16" s="283">
        <v>1189709425.3899999</v>
      </c>
      <c r="E16" s="536">
        <v>79.436766068300699</v>
      </c>
      <c r="F16" s="528">
        <v>3.2998648319140385</v>
      </c>
      <c r="G16" s="529">
        <v>71.329260737448735</v>
      </c>
    </row>
    <row r="17" spans="1:7" ht="20.100000000000001" customHeight="1">
      <c r="A17" s="617" t="s">
        <v>94</v>
      </c>
      <c r="B17" s="555">
        <v>13417119974</v>
      </c>
      <c r="C17" s="269">
        <v>14687646425</v>
      </c>
      <c r="D17" s="284">
        <v>14962399760</v>
      </c>
      <c r="E17" s="537">
        <v>101.87064235514507</v>
      </c>
      <c r="F17" s="530">
        <v>41.50080323426684</v>
      </c>
      <c r="G17" s="531">
        <v>111.51722418070702</v>
      </c>
    </row>
    <row r="19" spans="1:7">
      <c r="A19" s="164" t="s">
        <v>1032</v>
      </c>
    </row>
    <row r="21" spans="1:7">
      <c r="F21" s="227"/>
    </row>
    <row r="29" spans="1:7">
      <c r="E29" s="226" t="s">
        <v>3</v>
      </c>
      <c r="F29" s="226" t="s">
        <v>3</v>
      </c>
    </row>
  </sheetData>
  <mergeCells count="10">
    <mergeCell ref="F3:F5"/>
    <mergeCell ref="G3:G5"/>
    <mergeCell ref="B6:D6"/>
    <mergeCell ref="E6:G6"/>
    <mergeCell ref="A1:G1"/>
    <mergeCell ref="A3:A6"/>
    <mergeCell ref="B3:B5"/>
    <mergeCell ref="C3:C5"/>
    <mergeCell ref="D3:D5"/>
    <mergeCell ref="E3:E5"/>
  </mergeCells>
  <printOptions horizontalCentered="1"/>
  <pageMargins left="0.27559055118110237" right="0.27559055118110237" top="0.74803149606299213" bottom="0.74803149606299213" header="0.43307086614173229" footer="0.59055118110236227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showGridLines="0" zoomScaleNormal="100" workbookViewId="0">
      <selection activeCell="K25" sqref="K25"/>
    </sheetView>
  </sheetViews>
  <sheetFormatPr defaultRowHeight="12.75"/>
  <cols>
    <col min="1" max="1" width="6.28515625" customWidth="1"/>
    <col min="2" max="2" width="25.7109375" customWidth="1"/>
    <col min="3" max="5" width="12.42578125" bestFit="1" customWidth="1"/>
    <col min="6" max="7" width="7.140625" bestFit="1" customWidth="1"/>
    <col min="8" max="8" width="7.42578125" bestFit="1" customWidth="1"/>
  </cols>
  <sheetData>
    <row r="1" spans="1:8" ht="12.75" customHeight="1">
      <c r="A1" s="1797" t="s">
        <v>380</v>
      </c>
      <c r="B1" s="1797"/>
      <c r="C1" s="1797"/>
      <c r="D1" s="1797"/>
      <c r="E1" s="1797"/>
      <c r="F1" s="1797"/>
      <c r="G1" s="1797"/>
      <c r="H1" s="1797"/>
    </row>
    <row r="3" spans="1:8" ht="12.75" customHeight="1">
      <c r="A3" s="2041" t="s">
        <v>881</v>
      </c>
      <c r="B3" s="2044" t="s">
        <v>68</v>
      </c>
      <c r="C3" s="565" t="s">
        <v>71</v>
      </c>
      <c r="D3" s="563" t="s">
        <v>70</v>
      </c>
      <c r="E3" s="557" t="s">
        <v>71</v>
      </c>
      <c r="F3" s="346" t="s">
        <v>265</v>
      </c>
      <c r="G3" s="2050" t="s">
        <v>22</v>
      </c>
      <c r="H3" s="558" t="s">
        <v>882</v>
      </c>
    </row>
    <row r="4" spans="1:8" ht="13.5">
      <c r="A4" s="2042"/>
      <c r="B4" s="2045"/>
      <c r="C4" s="566">
        <v>2020</v>
      </c>
      <c r="D4" s="627">
        <v>2021</v>
      </c>
      <c r="E4" s="623">
        <v>2021</v>
      </c>
      <c r="F4" s="625" t="s">
        <v>883</v>
      </c>
      <c r="G4" s="2191"/>
      <c r="H4" s="624" t="s">
        <v>884</v>
      </c>
    </row>
    <row r="5" spans="1:8" ht="13.5">
      <c r="A5" s="2043"/>
      <c r="B5" s="2046"/>
      <c r="C5" s="2047" t="s">
        <v>885</v>
      </c>
      <c r="D5" s="2048"/>
      <c r="E5" s="2049"/>
      <c r="F5" s="2188" t="s">
        <v>886</v>
      </c>
      <c r="G5" s="2189"/>
      <c r="H5" s="2190"/>
    </row>
    <row r="6" spans="1:8">
      <c r="A6" s="239" t="s">
        <v>887</v>
      </c>
      <c r="B6" s="244" t="s">
        <v>888</v>
      </c>
      <c r="C6" s="249" t="s">
        <v>889</v>
      </c>
      <c r="D6" s="240" t="s">
        <v>890</v>
      </c>
      <c r="E6" s="323" t="s">
        <v>891</v>
      </c>
      <c r="F6" s="239" t="s">
        <v>892</v>
      </c>
      <c r="G6" s="241" t="s">
        <v>893</v>
      </c>
      <c r="H6" s="242" t="s">
        <v>894</v>
      </c>
    </row>
    <row r="7" spans="1:8" ht="19.899999999999999" customHeight="1">
      <c r="A7" s="348"/>
      <c r="B7" s="76" t="s">
        <v>933</v>
      </c>
      <c r="C7" s="567">
        <v>34568621829.830002</v>
      </c>
      <c r="D7" s="159">
        <v>35446064078.629997</v>
      </c>
      <c r="E7" s="52">
        <v>36053277512.580002</v>
      </c>
      <c r="F7" s="560">
        <v>101.7</v>
      </c>
      <c r="G7" s="150">
        <v>100</v>
      </c>
      <c r="H7" s="343">
        <v>104.3</v>
      </c>
    </row>
    <row r="8" spans="1:8" ht="19.899999999999999" customHeight="1">
      <c r="A8" s="233" t="s">
        <v>895</v>
      </c>
      <c r="B8" s="63" t="s">
        <v>99</v>
      </c>
      <c r="C8" s="568">
        <v>175847084.56999999</v>
      </c>
      <c r="D8" s="160">
        <v>215677631.13</v>
      </c>
      <c r="E8" s="50">
        <v>204166806.56999999</v>
      </c>
      <c r="F8" s="369">
        <v>94.7</v>
      </c>
      <c r="G8" s="157">
        <v>0.6</v>
      </c>
      <c r="H8" s="344">
        <v>116.1</v>
      </c>
    </row>
    <row r="9" spans="1:8" ht="19.899999999999999" customHeight="1">
      <c r="A9" s="233" t="s">
        <v>896</v>
      </c>
      <c r="B9" s="63" t="s">
        <v>100</v>
      </c>
      <c r="C9" s="568">
        <v>49511059.609999999</v>
      </c>
      <c r="D9" s="160">
        <v>59327801.630000003</v>
      </c>
      <c r="E9" s="50">
        <v>53251101.219999999</v>
      </c>
      <c r="F9" s="369">
        <v>89.8</v>
      </c>
      <c r="G9" s="157">
        <v>0.1</v>
      </c>
      <c r="H9" s="344">
        <v>107.6</v>
      </c>
    </row>
    <row r="10" spans="1:8" ht="19.899999999999999" customHeight="1">
      <c r="A10" s="233" t="s">
        <v>897</v>
      </c>
      <c r="B10" s="63" t="s">
        <v>101</v>
      </c>
      <c r="C10" s="568">
        <v>103544.25</v>
      </c>
      <c r="D10" s="160">
        <v>3935540</v>
      </c>
      <c r="E10" s="50">
        <v>14424</v>
      </c>
      <c r="F10" s="369">
        <v>0.4</v>
      </c>
      <c r="G10" s="157">
        <v>0</v>
      </c>
      <c r="H10" s="344">
        <v>13.9</v>
      </c>
    </row>
    <row r="11" spans="1:8" ht="19.899999999999999" customHeight="1">
      <c r="A11" s="233" t="s">
        <v>898</v>
      </c>
      <c r="B11" s="63" t="s">
        <v>126</v>
      </c>
      <c r="C11" s="568">
        <v>634649.56000000006</v>
      </c>
      <c r="D11" s="160">
        <v>461714</v>
      </c>
      <c r="E11" s="50">
        <v>643119.43000000005</v>
      </c>
      <c r="F11" s="369">
        <v>139.30000000000001</v>
      </c>
      <c r="G11" s="157">
        <v>0</v>
      </c>
      <c r="H11" s="344">
        <v>101.3</v>
      </c>
    </row>
    <row r="12" spans="1:8" ht="19.899999999999999" customHeight="1">
      <c r="A12" s="233" t="s">
        <v>899</v>
      </c>
      <c r="B12" s="63" t="s">
        <v>102</v>
      </c>
      <c r="C12" s="568">
        <v>4191235.79</v>
      </c>
      <c r="D12" s="160">
        <v>15012170.380000001</v>
      </c>
      <c r="E12" s="50">
        <v>15112665.58</v>
      </c>
      <c r="F12" s="369">
        <v>100.7</v>
      </c>
      <c r="G12" s="157">
        <v>0</v>
      </c>
      <c r="H12" s="344">
        <v>360.6</v>
      </c>
    </row>
    <row r="13" spans="1:8" ht="27">
      <c r="A13" s="233" t="s">
        <v>900</v>
      </c>
      <c r="B13" s="63" t="s">
        <v>103</v>
      </c>
      <c r="C13" s="568">
        <v>364160.59</v>
      </c>
      <c r="D13" s="160">
        <v>395678</v>
      </c>
      <c r="E13" s="50">
        <v>408778.91</v>
      </c>
      <c r="F13" s="369">
        <v>103.3</v>
      </c>
      <c r="G13" s="157">
        <v>0</v>
      </c>
      <c r="H13" s="344">
        <v>112.3</v>
      </c>
    </row>
    <row r="14" spans="1:8" ht="19.899999999999999" customHeight="1">
      <c r="A14" s="233" t="s">
        <v>902</v>
      </c>
      <c r="B14" s="63" t="s">
        <v>354</v>
      </c>
      <c r="C14" s="568">
        <v>287388.15999999997</v>
      </c>
      <c r="D14" s="160">
        <v>600000</v>
      </c>
      <c r="E14" s="50">
        <v>183750.43</v>
      </c>
      <c r="F14" s="369">
        <v>30.6</v>
      </c>
      <c r="G14" s="157">
        <v>0</v>
      </c>
      <c r="H14" s="344">
        <v>63.9</v>
      </c>
    </row>
    <row r="15" spans="1:8" ht="19.899999999999999" customHeight="1">
      <c r="A15" s="233" t="s">
        <v>903</v>
      </c>
      <c r="B15" s="63" t="s">
        <v>104</v>
      </c>
      <c r="C15" s="568">
        <v>2237957481.0300002</v>
      </c>
      <c r="D15" s="160">
        <v>2549136777.5500002</v>
      </c>
      <c r="E15" s="50">
        <v>2493543561.9000001</v>
      </c>
      <c r="F15" s="369">
        <v>97.8</v>
      </c>
      <c r="G15" s="157">
        <v>6.9</v>
      </c>
      <c r="H15" s="344">
        <v>111.4</v>
      </c>
    </row>
    <row r="16" spans="1:8" ht="19.899999999999999" customHeight="1">
      <c r="A16" s="233" t="s">
        <v>904</v>
      </c>
      <c r="B16" s="63" t="s">
        <v>105</v>
      </c>
      <c r="C16" s="568">
        <v>20488606.27</v>
      </c>
      <c r="D16" s="160">
        <v>18778283.84</v>
      </c>
      <c r="E16" s="50">
        <v>14697558.210000001</v>
      </c>
      <c r="F16" s="369">
        <v>78.3</v>
      </c>
      <c r="G16" s="157">
        <v>0</v>
      </c>
      <c r="H16" s="344">
        <v>71.7</v>
      </c>
    </row>
    <row r="17" spans="1:8" ht="19.899999999999999" customHeight="1">
      <c r="A17" s="233" t="s">
        <v>905</v>
      </c>
      <c r="B17" s="63" t="s">
        <v>106</v>
      </c>
      <c r="C17" s="568">
        <v>569955398.88999999</v>
      </c>
      <c r="D17" s="160">
        <v>660760225.05999994</v>
      </c>
      <c r="E17" s="50">
        <v>580204328.78999996</v>
      </c>
      <c r="F17" s="369">
        <v>87.8</v>
      </c>
      <c r="G17" s="157">
        <v>1.6</v>
      </c>
      <c r="H17" s="344">
        <v>101.8</v>
      </c>
    </row>
    <row r="18" spans="1:8" ht="19.899999999999999" customHeight="1">
      <c r="A18" s="233" t="s">
        <v>906</v>
      </c>
      <c r="B18" s="63" t="s">
        <v>107</v>
      </c>
      <c r="C18" s="568">
        <v>686924236.21000004</v>
      </c>
      <c r="D18" s="160">
        <v>761671269.57000005</v>
      </c>
      <c r="E18" s="50">
        <v>794657367.74000001</v>
      </c>
      <c r="F18" s="369">
        <v>104.3</v>
      </c>
      <c r="G18" s="157">
        <v>2.2000000000000002</v>
      </c>
      <c r="H18" s="344">
        <v>115.7</v>
      </c>
    </row>
    <row r="19" spans="1:8" ht="19.899999999999999" customHeight="1">
      <c r="A19" s="233" t="s">
        <v>907</v>
      </c>
      <c r="B19" s="63" t="s">
        <v>108</v>
      </c>
      <c r="C19" s="568">
        <v>36040128.899999999</v>
      </c>
      <c r="D19" s="160">
        <v>22382923.57</v>
      </c>
      <c r="E19" s="50">
        <v>16728534.25</v>
      </c>
      <c r="F19" s="369">
        <v>74.7</v>
      </c>
      <c r="G19" s="157">
        <v>0</v>
      </c>
      <c r="H19" s="344">
        <v>46.4</v>
      </c>
    </row>
    <row r="20" spans="1:8" ht="19.899999999999999" customHeight="1">
      <c r="A20" s="233" t="s">
        <v>908</v>
      </c>
      <c r="B20" s="63" t="s">
        <v>217</v>
      </c>
      <c r="C20" s="568">
        <v>4221.87</v>
      </c>
      <c r="D20" s="160">
        <v>39968</v>
      </c>
      <c r="E20" s="50">
        <v>66411.72</v>
      </c>
      <c r="F20" s="369">
        <v>166.2</v>
      </c>
      <c r="G20" s="157">
        <v>0</v>
      </c>
      <c r="H20" s="344">
        <v>1573</v>
      </c>
    </row>
    <row r="21" spans="1:8" ht="19.899999999999999" customHeight="1">
      <c r="A21" s="233" t="s">
        <v>909</v>
      </c>
      <c r="B21" s="63" t="s">
        <v>109</v>
      </c>
      <c r="C21" s="568">
        <v>222161504.13</v>
      </c>
      <c r="D21" s="160">
        <v>229681479.41</v>
      </c>
      <c r="E21" s="50">
        <v>232914937.91999999</v>
      </c>
      <c r="F21" s="369">
        <v>101.4</v>
      </c>
      <c r="G21" s="157">
        <v>0.6</v>
      </c>
      <c r="H21" s="344">
        <v>104.8</v>
      </c>
    </row>
    <row r="22" spans="1:8" ht="19.899999999999999" customHeight="1">
      <c r="A22" s="233" t="s">
        <v>911</v>
      </c>
      <c r="B22" s="63" t="s">
        <v>111</v>
      </c>
      <c r="C22" s="568">
        <v>20535328.210000001</v>
      </c>
      <c r="D22" s="160">
        <v>37099817.979999997</v>
      </c>
      <c r="E22" s="50">
        <v>36250917.049999997</v>
      </c>
      <c r="F22" s="369">
        <v>97.7</v>
      </c>
      <c r="G22" s="157">
        <v>0.1</v>
      </c>
      <c r="H22" s="344">
        <v>176.5</v>
      </c>
    </row>
    <row r="23" spans="1:8" ht="27">
      <c r="A23" s="233" t="s">
        <v>914</v>
      </c>
      <c r="B23" s="63" t="s">
        <v>112</v>
      </c>
      <c r="C23" s="568">
        <v>1803782200.3800001</v>
      </c>
      <c r="D23" s="160">
        <v>1810042345.0799999</v>
      </c>
      <c r="E23" s="50">
        <v>1809480211.5799999</v>
      </c>
      <c r="F23" s="369">
        <v>100</v>
      </c>
      <c r="G23" s="157">
        <v>5</v>
      </c>
      <c r="H23" s="344">
        <v>100.3</v>
      </c>
    </row>
    <row r="24" spans="1:8" ht="19.899999999999999" customHeight="1">
      <c r="A24" s="233" t="s">
        <v>915</v>
      </c>
      <c r="B24" s="63" t="s">
        <v>113</v>
      </c>
      <c r="C24" s="568">
        <v>68755725.700000003</v>
      </c>
      <c r="D24" s="160">
        <v>69368482.189999998</v>
      </c>
      <c r="E24" s="50">
        <v>68791542.819999993</v>
      </c>
      <c r="F24" s="369">
        <v>99.2</v>
      </c>
      <c r="G24" s="157">
        <v>0.2</v>
      </c>
      <c r="H24" s="344">
        <v>100.1</v>
      </c>
    </row>
    <row r="25" spans="1:8" ht="54">
      <c r="A25" s="233" t="s">
        <v>916</v>
      </c>
      <c r="B25" s="63" t="s">
        <v>356</v>
      </c>
      <c r="C25" s="568">
        <v>7137924252.4300003</v>
      </c>
      <c r="D25" s="160">
        <v>7422132947.1899996</v>
      </c>
      <c r="E25" s="50">
        <v>8071151205.0699997</v>
      </c>
      <c r="F25" s="369">
        <v>108.7</v>
      </c>
      <c r="G25" s="157">
        <v>22.4</v>
      </c>
      <c r="H25" s="344">
        <v>113.1</v>
      </c>
    </row>
    <row r="26" spans="1:8" ht="19.899999999999999" customHeight="1">
      <c r="A26" s="233" t="s">
        <v>917</v>
      </c>
      <c r="B26" s="63" t="s">
        <v>357</v>
      </c>
      <c r="C26" s="568">
        <v>3205889.85</v>
      </c>
      <c r="D26" s="160">
        <v>1887587.76</v>
      </c>
      <c r="E26" s="50">
        <v>1892361.55</v>
      </c>
      <c r="F26" s="369">
        <v>100.3</v>
      </c>
      <c r="G26" s="157">
        <v>0</v>
      </c>
      <c r="H26" s="344">
        <v>59</v>
      </c>
    </row>
    <row r="27" spans="1:8" ht="19.899999999999999" customHeight="1">
      <c r="A27" s="233" t="s">
        <v>918</v>
      </c>
      <c r="B27" s="63" t="s">
        <v>114</v>
      </c>
      <c r="C27" s="568">
        <v>15260654103.799999</v>
      </c>
      <c r="D27" s="160">
        <v>15086373122.389999</v>
      </c>
      <c r="E27" s="50">
        <v>15458373886.639999</v>
      </c>
      <c r="F27" s="369">
        <v>102.5</v>
      </c>
      <c r="G27" s="157">
        <v>42.9</v>
      </c>
      <c r="H27" s="344">
        <v>101.3</v>
      </c>
    </row>
    <row r="28" spans="1:8" ht="19.899999999999999" customHeight="1">
      <c r="A28" s="233" t="s">
        <v>919</v>
      </c>
      <c r="B28" s="63" t="s">
        <v>115</v>
      </c>
      <c r="C28" s="568">
        <v>680896863.29999995</v>
      </c>
      <c r="D28" s="160">
        <v>765224626.58000004</v>
      </c>
      <c r="E28" s="50">
        <v>618201111.73000002</v>
      </c>
      <c r="F28" s="369">
        <v>80.8</v>
      </c>
      <c r="G28" s="157">
        <v>1.7</v>
      </c>
      <c r="H28" s="344">
        <v>90.8</v>
      </c>
    </row>
    <row r="29" spans="1:8" ht="19.899999999999999" customHeight="1">
      <c r="A29" s="233" t="s">
        <v>921</v>
      </c>
      <c r="B29" s="63" t="s">
        <v>116</v>
      </c>
      <c r="C29" s="568">
        <v>773236147.91999996</v>
      </c>
      <c r="D29" s="160">
        <v>938271745.25</v>
      </c>
      <c r="E29" s="50">
        <v>890756564.27999997</v>
      </c>
      <c r="F29" s="369">
        <v>94.9</v>
      </c>
      <c r="G29" s="157">
        <v>2.5</v>
      </c>
      <c r="H29" s="344">
        <v>115.2</v>
      </c>
    </row>
    <row r="30" spans="1:8" ht="19.899999999999999" customHeight="1">
      <c r="A30" s="233" t="s">
        <v>922</v>
      </c>
      <c r="B30" s="63" t="s">
        <v>117</v>
      </c>
      <c r="C30" s="568">
        <v>2977694675.1100001</v>
      </c>
      <c r="D30" s="160">
        <v>3017282646.8000002</v>
      </c>
      <c r="E30" s="50">
        <v>2974649016.1300001</v>
      </c>
      <c r="F30" s="369">
        <v>98.6</v>
      </c>
      <c r="G30" s="157">
        <v>8.3000000000000007</v>
      </c>
      <c r="H30" s="344">
        <v>99.9</v>
      </c>
    </row>
    <row r="31" spans="1:8" ht="27">
      <c r="A31" s="233" t="s">
        <v>923</v>
      </c>
      <c r="B31" s="63" t="s">
        <v>118</v>
      </c>
      <c r="C31" s="568">
        <v>631865214.67999995</v>
      </c>
      <c r="D31" s="160">
        <v>555773494.70000005</v>
      </c>
      <c r="E31" s="50">
        <v>533413725.94</v>
      </c>
      <c r="F31" s="369">
        <v>96</v>
      </c>
      <c r="G31" s="157">
        <v>1.5</v>
      </c>
      <c r="H31" s="344">
        <v>84.4</v>
      </c>
    </row>
    <row r="32" spans="1:8" ht="19.899999999999999" customHeight="1">
      <c r="A32" s="233" t="s">
        <v>924</v>
      </c>
      <c r="B32" s="63" t="s">
        <v>119</v>
      </c>
      <c r="C32" s="568">
        <v>116971546.67</v>
      </c>
      <c r="D32" s="160">
        <v>153877016.30000001</v>
      </c>
      <c r="E32" s="50">
        <v>129442370.34</v>
      </c>
      <c r="F32" s="369">
        <v>84.1</v>
      </c>
      <c r="G32" s="157">
        <v>0.4</v>
      </c>
      <c r="H32" s="344">
        <v>110.7</v>
      </c>
    </row>
    <row r="33" spans="1:8" ht="19.899999999999999" customHeight="1">
      <c r="A33" s="233" t="s">
        <v>925</v>
      </c>
      <c r="B33" s="63" t="s">
        <v>120</v>
      </c>
      <c r="C33" s="568">
        <v>910106285.46000004</v>
      </c>
      <c r="D33" s="160">
        <v>829094837.60000002</v>
      </c>
      <c r="E33" s="50">
        <v>862991178.53999996</v>
      </c>
      <c r="F33" s="369">
        <v>104.1</v>
      </c>
      <c r="G33" s="157">
        <v>2.4</v>
      </c>
      <c r="H33" s="344">
        <v>94.8</v>
      </c>
    </row>
    <row r="34" spans="1:8" ht="27">
      <c r="A34" s="233" t="s">
        <v>926</v>
      </c>
      <c r="B34" s="63" t="s">
        <v>121</v>
      </c>
      <c r="C34" s="568">
        <v>128930874.09999999</v>
      </c>
      <c r="D34" s="160">
        <v>142777681.18000001</v>
      </c>
      <c r="E34" s="50">
        <v>133157820.62</v>
      </c>
      <c r="F34" s="369">
        <v>93.3</v>
      </c>
      <c r="G34" s="157">
        <v>0.4</v>
      </c>
      <c r="H34" s="344">
        <v>103.3</v>
      </c>
    </row>
    <row r="35" spans="1:8" ht="27">
      <c r="A35" s="233" t="s">
        <v>927</v>
      </c>
      <c r="B35" s="63" t="s">
        <v>122</v>
      </c>
      <c r="C35" s="568">
        <v>15531401.6</v>
      </c>
      <c r="D35" s="160">
        <v>34053798.420000002</v>
      </c>
      <c r="E35" s="50">
        <v>15558679.73</v>
      </c>
      <c r="F35" s="369">
        <v>45.7</v>
      </c>
      <c r="G35" s="157">
        <v>0.1</v>
      </c>
      <c r="H35" s="344">
        <v>100.2</v>
      </c>
    </row>
    <row r="36" spans="1:8" ht="40.5">
      <c r="A36" s="233" t="s">
        <v>928</v>
      </c>
      <c r="B36" s="63" t="s">
        <v>123</v>
      </c>
      <c r="C36" s="568">
        <v>19250</v>
      </c>
      <c r="D36" s="160">
        <v>0</v>
      </c>
      <c r="E36" s="50">
        <v>0</v>
      </c>
      <c r="F36" s="626" t="s">
        <v>913</v>
      </c>
      <c r="G36" s="157">
        <v>0</v>
      </c>
      <c r="H36" s="344">
        <v>0</v>
      </c>
    </row>
    <row r="37" spans="1:8" ht="19.899999999999999" customHeight="1">
      <c r="A37" s="235" t="s">
        <v>929</v>
      </c>
      <c r="B37" s="295" t="s">
        <v>124</v>
      </c>
      <c r="C37" s="569">
        <v>34041370.789999999</v>
      </c>
      <c r="D37" s="151">
        <v>44942467.07</v>
      </c>
      <c r="E37" s="321">
        <v>42573573.890000001</v>
      </c>
      <c r="F37" s="371">
        <v>94.7</v>
      </c>
      <c r="G37" s="130">
        <v>0.1</v>
      </c>
      <c r="H37" s="345">
        <v>125.1</v>
      </c>
    </row>
    <row r="38" spans="1:8">
      <c r="G38" s="628" t="s">
        <v>3</v>
      </c>
    </row>
    <row r="39" spans="1:8" ht="13.5">
      <c r="A39" s="56" t="s">
        <v>930</v>
      </c>
      <c r="B39" s="55"/>
      <c r="C39" s="55"/>
      <c r="D39" s="55"/>
      <c r="E39" s="55"/>
      <c r="F39" s="55"/>
      <c r="G39" s="55"/>
      <c r="H39" s="55"/>
    </row>
  </sheetData>
  <mergeCells count="6">
    <mergeCell ref="A1:H1"/>
    <mergeCell ref="A3:A5"/>
    <mergeCell ref="B3:B5"/>
    <mergeCell ref="C5:E5"/>
    <mergeCell ref="F5:H5"/>
    <mergeCell ref="G3:G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4"/>
  <sheetViews>
    <sheetView showGridLines="0" zoomScaleNormal="100" workbookViewId="0">
      <selection activeCell="R18" sqref="R18"/>
    </sheetView>
  </sheetViews>
  <sheetFormatPr defaultRowHeight="12.75"/>
  <cols>
    <col min="1" max="1" width="5" customWidth="1"/>
    <col min="2" max="2" width="5.140625" customWidth="1"/>
    <col min="3" max="3" width="16" bestFit="1" customWidth="1"/>
    <col min="4" max="5" width="12.42578125" bestFit="1" customWidth="1"/>
    <col min="7" max="8" width="12.42578125" bestFit="1" customWidth="1"/>
    <col min="10" max="11" width="11.7109375" bestFit="1" customWidth="1"/>
    <col min="12" max="12" width="16.28515625" customWidth="1"/>
  </cols>
  <sheetData>
    <row r="1" spans="1:12" ht="12.75" customHeight="1">
      <c r="A1" s="1797" t="s">
        <v>688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  <c r="L1" s="1797"/>
    </row>
    <row r="2" spans="1:12" ht="6" customHeight="1"/>
    <row r="3" spans="1:12" ht="19.5" customHeight="1">
      <c r="A3" s="2202" t="s">
        <v>41</v>
      </c>
      <c r="B3" s="2205" t="s">
        <v>67</v>
      </c>
      <c r="C3" s="2208" t="s">
        <v>40</v>
      </c>
      <c r="D3" s="2013" t="s">
        <v>372</v>
      </c>
      <c r="E3" s="2014"/>
      <c r="F3" s="2015" t="s">
        <v>687</v>
      </c>
      <c r="G3" s="2013" t="s">
        <v>0</v>
      </c>
      <c r="H3" s="2014"/>
      <c r="I3" s="2015" t="s">
        <v>686</v>
      </c>
      <c r="J3" s="2195" t="s">
        <v>685</v>
      </c>
      <c r="K3" s="2197" t="s">
        <v>371</v>
      </c>
      <c r="L3" s="2015" t="s">
        <v>684</v>
      </c>
    </row>
    <row r="4" spans="1:12" ht="22.5" customHeight="1">
      <c r="A4" s="2203"/>
      <c r="B4" s="2206"/>
      <c r="C4" s="2209"/>
      <c r="D4" s="647" t="s">
        <v>70</v>
      </c>
      <c r="E4" s="634" t="s">
        <v>71</v>
      </c>
      <c r="F4" s="2194"/>
      <c r="G4" s="647" t="s">
        <v>70</v>
      </c>
      <c r="H4" s="634" t="s">
        <v>71</v>
      </c>
      <c r="I4" s="2194"/>
      <c r="J4" s="2196"/>
      <c r="K4" s="2198"/>
      <c r="L4" s="2194"/>
    </row>
    <row r="5" spans="1:12" ht="13.5">
      <c r="A5" s="2204"/>
      <c r="B5" s="2207"/>
      <c r="C5" s="2210"/>
      <c r="D5" s="2199" t="s">
        <v>885</v>
      </c>
      <c r="E5" s="2200"/>
      <c r="F5" s="643" t="s">
        <v>5</v>
      </c>
      <c r="G5" s="2199" t="s">
        <v>885</v>
      </c>
      <c r="H5" s="2200"/>
      <c r="I5" s="643" t="s">
        <v>5</v>
      </c>
      <c r="J5" s="2201" t="s">
        <v>885</v>
      </c>
      <c r="K5" s="2200"/>
      <c r="L5" s="643" t="s">
        <v>5</v>
      </c>
    </row>
    <row r="6" spans="1:12">
      <c r="A6" s="508" t="s">
        <v>887</v>
      </c>
      <c r="B6" s="501" t="s">
        <v>888</v>
      </c>
      <c r="C6" s="509" t="s">
        <v>889</v>
      </c>
      <c r="D6" s="508" t="s">
        <v>890</v>
      </c>
      <c r="E6" s="501" t="s">
        <v>891</v>
      </c>
      <c r="F6" s="509" t="s">
        <v>892</v>
      </c>
      <c r="G6" s="508" t="s">
        <v>893</v>
      </c>
      <c r="H6" s="501" t="s">
        <v>894</v>
      </c>
      <c r="I6" s="509" t="s">
        <v>932</v>
      </c>
      <c r="J6" s="649" t="s">
        <v>966</v>
      </c>
      <c r="K6" s="500" t="s">
        <v>967</v>
      </c>
      <c r="L6" s="509" t="s">
        <v>969</v>
      </c>
    </row>
    <row r="7" spans="1:12" ht="18" customHeight="1">
      <c r="A7" s="639"/>
      <c r="B7" s="640"/>
      <c r="C7" s="1563" t="s">
        <v>933</v>
      </c>
      <c r="D7" s="648">
        <f>SUM(D8:D321)</f>
        <v>35446064078.62999</v>
      </c>
      <c r="E7" s="641">
        <f t="shared" ref="E7:K7" si="0">SUM(E8:E321)</f>
        <v>36053277512.579994</v>
      </c>
      <c r="F7" s="642">
        <f>E7/D7*100</f>
        <v>101.71306307127084</v>
      </c>
      <c r="G7" s="648">
        <f t="shared" si="0"/>
        <v>37650554854.010025</v>
      </c>
      <c r="H7" s="641">
        <f t="shared" si="0"/>
        <v>34172719054.969978</v>
      </c>
      <c r="I7" s="642">
        <f>H7/G7*100</f>
        <v>90.762856450521511</v>
      </c>
      <c r="J7" s="650">
        <f>E7-H7</f>
        <v>1880558457.6100159</v>
      </c>
      <c r="K7" s="644">
        <f t="shared" si="0"/>
        <v>6214149512.750001</v>
      </c>
      <c r="L7" s="642">
        <f>K7/E7*100</f>
        <v>17.236018308132213</v>
      </c>
    </row>
    <row r="8" spans="1:12" ht="13.5">
      <c r="A8" s="635">
        <v>2</v>
      </c>
      <c r="B8" s="636">
        <v>1</v>
      </c>
      <c r="C8" s="645" t="s">
        <v>683</v>
      </c>
      <c r="D8" s="512">
        <v>117393375</v>
      </c>
      <c r="E8" s="175">
        <v>117021330.45999999</v>
      </c>
      <c r="F8" s="513">
        <v>99.7</v>
      </c>
      <c r="G8" s="512">
        <v>122823975</v>
      </c>
      <c r="H8" s="175">
        <v>114046177.02</v>
      </c>
      <c r="I8" s="513">
        <v>92.9</v>
      </c>
      <c r="J8" s="651">
        <v>2975153.4399999976</v>
      </c>
      <c r="K8" s="176">
        <v>18449889.5</v>
      </c>
      <c r="L8" s="513">
        <v>15.8</v>
      </c>
    </row>
    <row r="9" spans="1:12" ht="13.5">
      <c r="A9" s="635">
        <v>2</v>
      </c>
      <c r="B9" s="636">
        <v>2</v>
      </c>
      <c r="C9" s="645" t="s">
        <v>682</v>
      </c>
      <c r="D9" s="512">
        <v>111235289.93000001</v>
      </c>
      <c r="E9" s="175">
        <v>114166644.05</v>
      </c>
      <c r="F9" s="513">
        <v>102.6</v>
      </c>
      <c r="G9" s="512">
        <v>115378282.40000001</v>
      </c>
      <c r="H9" s="175">
        <v>105843190.52</v>
      </c>
      <c r="I9" s="513">
        <v>91.7</v>
      </c>
      <c r="J9" s="651">
        <v>8323453.5300000012</v>
      </c>
      <c r="K9" s="176">
        <v>1749939.92</v>
      </c>
      <c r="L9" s="513">
        <v>1.5</v>
      </c>
    </row>
    <row r="10" spans="1:12" ht="13.5">
      <c r="A10" s="635">
        <v>2</v>
      </c>
      <c r="B10" s="636">
        <v>3</v>
      </c>
      <c r="C10" s="645" t="s">
        <v>681</v>
      </c>
      <c r="D10" s="512">
        <v>141933771</v>
      </c>
      <c r="E10" s="175">
        <v>140580168.40000001</v>
      </c>
      <c r="F10" s="513">
        <v>99</v>
      </c>
      <c r="G10" s="512">
        <v>143956407</v>
      </c>
      <c r="H10" s="175">
        <v>135753981.72</v>
      </c>
      <c r="I10" s="513">
        <v>94.3</v>
      </c>
      <c r="J10" s="651">
        <v>4826186.6800000072</v>
      </c>
      <c r="K10" s="176">
        <v>17000000</v>
      </c>
      <c r="L10" s="513">
        <v>12.1</v>
      </c>
    </row>
    <row r="11" spans="1:12" ht="13.5">
      <c r="A11" s="635">
        <v>2</v>
      </c>
      <c r="B11" s="636">
        <v>4</v>
      </c>
      <c r="C11" s="645" t="s">
        <v>680</v>
      </c>
      <c r="D11" s="512">
        <v>52531625.189999998</v>
      </c>
      <c r="E11" s="175">
        <v>52610442.829999998</v>
      </c>
      <c r="F11" s="513">
        <v>100.2</v>
      </c>
      <c r="G11" s="512">
        <v>55326556.189999998</v>
      </c>
      <c r="H11" s="175">
        <v>49790749.859999999</v>
      </c>
      <c r="I11" s="513">
        <v>90</v>
      </c>
      <c r="J11" s="651">
        <v>2819692.9699999988</v>
      </c>
      <c r="K11" s="176">
        <v>16157485.59</v>
      </c>
      <c r="L11" s="513">
        <v>30.7</v>
      </c>
    </row>
    <row r="12" spans="1:12" ht="13.5">
      <c r="A12" s="635">
        <v>2</v>
      </c>
      <c r="B12" s="636">
        <v>5</v>
      </c>
      <c r="C12" s="645" t="s">
        <v>679</v>
      </c>
      <c r="D12" s="512">
        <v>73621564.019999996</v>
      </c>
      <c r="E12" s="175">
        <v>79098304.730000004</v>
      </c>
      <c r="F12" s="513">
        <v>107.4</v>
      </c>
      <c r="G12" s="512">
        <v>94935298.079999998</v>
      </c>
      <c r="H12" s="175">
        <v>68371270.769999996</v>
      </c>
      <c r="I12" s="513">
        <v>72</v>
      </c>
      <c r="J12" s="651">
        <v>10727033.960000008</v>
      </c>
      <c r="K12" s="176">
        <v>5632686.7199999997</v>
      </c>
      <c r="L12" s="513">
        <v>7.1</v>
      </c>
    </row>
    <row r="13" spans="1:12" ht="13.5">
      <c r="A13" s="635">
        <v>2</v>
      </c>
      <c r="B13" s="636">
        <v>6</v>
      </c>
      <c r="C13" s="645" t="s">
        <v>773</v>
      </c>
      <c r="D13" s="512">
        <v>92669835.939999998</v>
      </c>
      <c r="E13" s="175">
        <v>92935460.439999998</v>
      </c>
      <c r="F13" s="513">
        <v>100.3</v>
      </c>
      <c r="G13" s="512">
        <v>95167181.579999998</v>
      </c>
      <c r="H13" s="175">
        <v>82577803.170000002</v>
      </c>
      <c r="I13" s="513">
        <v>86.8</v>
      </c>
      <c r="J13" s="651">
        <v>10357657.269999996</v>
      </c>
      <c r="K13" s="176">
        <v>12198104.26</v>
      </c>
      <c r="L13" s="513">
        <v>13.1</v>
      </c>
    </row>
    <row r="14" spans="1:12" ht="13.5">
      <c r="A14" s="635">
        <v>2</v>
      </c>
      <c r="B14" s="636">
        <v>7</v>
      </c>
      <c r="C14" s="645" t="s">
        <v>678</v>
      </c>
      <c r="D14" s="512">
        <v>60182478</v>
      </c>
      <c r="E14" s="175">
        <v>62057652.670000002</v>
      </c>
      <c r="F14" s="513">
        <v>103.1</v>
      </c>
      <c r="G14" s="512">
        <v>67097913</v>
      </c>
      <c r="H14" s="175">
        <v>60518801.119999997</v>
      </c>
      <c r="I14" s="513">
        <v>90.2</v>
      </c>
      <c r="J14" s="651">
        <v>1538851.5500000045</v>
      </c>
      <c r="K14" s="176">
        <v>9000000</v>
      </c>
      <c r="L14" s="513">
        <v>14.5</v>
      </c>
    </row>
    <row r="15" spans="1:12" ht="13.5">
      <c r="A15" s="635">
        <v>2</v>
      </c>
      <c r="B15" s="636">
        <v>8</v>
      </c>
      <c r="C15" s="645" t="s">
        <v>677</v>
      </c>
      <c r="D15" s="512">
        <v>293243233.35000002</v>
      </c>
      <c r="E15" s="175">
        <v>236229723.44</v>
      </c>
      <c r="F15" s="513">
        <v>80.599999999999994</v>
      </c>
      <c r="G15" s="512">
        <v>291612419.57999998</v>
      </c>
      <c r="H15" s="175">
        <v>222035630.77000001</v>
      </c>
      <c r="I15" s="513">
        <v>76.099999999999994</v>
      </c>
      <c r="J15" s="651">
        <v>14194092.669999987</v>
      </c>
      <c r="K15" s="176">
        <v>30646632</v>
      </c>
      <c r="L15" s="513">
        <v>13</v>
      </c>
    </row>
    <row r="16" spans="1:12" ht="13.5">
      <c r="A16" s="635">
        <v>2</v>
      </c>
      <c r="B16" s="636">
        <v>9</v>
      </c>
      <c r="C16" s="645" t="s">
        <v>676</v>
      </c>
      <c r="D16" s="512">
        <v>100929006.5</v>
      </c>
      <c r="E16" s="175">
        <v>95807985.489999995</v>
      </c>
      <c r="F16" s="513">
        <v>94.9</v>
      </c>
      <c r="G16" s="512">
        <v>106371801.58</v>
      </c>
      <c r="H16" s="175">
        <v>93414113.849999994</v>
      </c>
      <c r="I16" s="513">
        <v>87.8</v>
      </c>
      <c r="J16" s="651">
        <v>2393871.6400000006</v>
      </c>
      <c r="K16" s="176">
        <v>17664984.43</v>
      </c>
      <c r="L16" s="513">
        <v>18.399999999999999</v>
      </c>
    </row>
    <row r="17" spans="1:12" ht="13.5">
      <c r="A17" s="635">
        <v>2</v>
      </c>
      <c r="B17" s="636">
        <v>10</v>
      </c>
      <c r="C17" s="645" t="s">
        <v>675</v>
      </c>
      <c r="D17" s="512">
        <v>70639486.709999993</v>
      </c>
      <c r="E17" s="175">
        <v>70273874.890000001</v>
      </c>
      <c r="F17" s="513">
        <v>99.5</v>
      </c>
      <c r="G17" s="512">
        <v>76237945.590000004</v>
      </c>
      <c r="H17" s="175">
        <v>71578973.280000001</v>
      </c>
      <c r="I17" s="513">
        <v>93.9</v>
      </c>
      <c r="J17" s="651">
        <v>-1305098.3900000006</v>
      </c>
      <c r="K17" s="176">
        <v>20534051.449999999</v>
      </c>
      <c r="L17" s="513">
        <v>29.2</v>
      </c>
    </row>
    <row r="18" spans="1:12" ht="13.5">
      <c r="A18" s="635">
        <v>2</v>
      </c>
      <c r="B18" s="636">
        <v>11</v>
      </c>
      <c r="C18" s="645" t="s">
        <v>674</v>
      </c>
      <c r="D18" s="512">
        <v>170934632.69999999</v>
      </c>
      <c r="E18" s="175">
        <v>164120125.66</v>
      </c>
      <c r="F18" s="513">
        <v>96</v>
      </c>
      <c r="G18" s="512">
        <v>174038178.37</v>
      </c>
      <c r="H18" s="175">
        <v>152378931.80000001</v>
      </c>
      <c r="I18" s="513">
        <v>87.6</v>
      </c>
      <c r="J18" s="651">
        <v>11741193.859999985</v>
      </c>
      <c r="K18" s="176">
        <v>50831531.140000001</v>
      </c>
      <c r="L18" s="513">
        <v>31</v>
      </c>
    </row>
    <row r="19" spans="1:12" ht="13.5">
      <c r="A19" s="635">
        <v>2</v>
      </c>
      <c r="B19" s="636">
        <v>12</v>
      </c>
      <c r="C19" s="645" t="s">
        <v>673</v>
      </c>
      <c r="D19" s="512">
        <v>80137475</v>
      </c>
      <c r="E19" s="175">
        <v>81172674.329999998</v>
      </c>
      <c r="F19" s="513">
        <v>101.3</v>
      </c>
      <c r="G19" s="512">
        <v>81106604</v>
      </c>
      <c r="H19" s="175">
        <v>75732724.439999998</v>
      </c>
      <c r="I19" s="513">
        <v>93.4</v>
      </c>
      <c r="J19" s="651">
        <v>5439949.8900000006</v>
      </c>
      <c r="K19" s="176">
        <v>8311293.96</v>
      </c>
      <c r="L19" s="513">
        <v>10.199999999999999</v>
      </c>
    </row>
    <row r="20" spans="1:12" ht="13.5">
      <c r="A20" s="635">
        <v>2</v>
      </c>
      <c r="B20" s="636">
        <v>13</v>
      </c>
      <c r="C20" s="645" t="s">
        <v>672</v>
      </c>
      <c r="D20" s="512">
        <v>72069561.090000004</v>
      </c>
      <c r="E20" s="175">
        <v>68103053.560000002</v>
      </c>
      <c r="F20" s="513">
        <v>94.5</v>
      </c>
      <c r="G20" s="512">
        <v>71318257.090000004</v>
      </c>
      <c r="H20" s="175">
        <v>64697142.359999999</v>
      </c>
      <c r="I20" s="513">
        <v>90.7</v>
      </c>
      <c r="J20" s="651">
        <v>3405911.200000003</v>
      </c>
      <c r="K20" s="176">
        <v>18707854.34</v>
      </c>
      <c r="L20" s="513">
        <v>27.5</v>
      </c>
    </row>
    <row r="21" spans="1:12" ht="13.5">
      <c r="A21" s="635">
        <v>2</v>
      </c>
      <c r="B21" s="636">
        <v>14</v>
      </c>
      <c r="C21" s="645" t="s">
        <v>671</v>
      </c>
      <c r="D21" s="512">
        <v>144520927.24000001</v>
      </c>
      <c r="E21" s="175">
        <v>153846638.75999999</v>
      </c>
      <c r="F21" s="513">
        <v>106.5</v>
      </c>
      <c r="G21" s="512">
        <v>148425094.58000001</v>
      </c>
      <c r="H21" s="175">
        <v>135739456.77000001</v>
      </c>
      <c r="I21" s="513">
        <v>91.5</v>
      </c>
      <c r="J21" s="651">
        <v>18107181.98999998</v>
      </c>
      <c r="K21" s="176">
        <v>38881296.369999997</v>
      </c>
      <c r="L21" s="513">
        <v>25.3</v>
      </c>
    </row>
    <row r="22" spans="1:12" ht="13.5">
      <c r="A22" s="635">
        <v>2</v>
      </c>
      <c r="B22" s="636">
        <v>15</v>
      </c>
      <c r="C22" s="645" t="s">
        <v>670</v>
      </c>
      <c r="D22" s="512">
        <v>94556305</v>
      </c>
      <c r="E22" s="175">
        <v>100614889.33</v>
      </c>
      <c r="F22" s="513">
        <v>106.4</v>
      </c>
      <c r="G22" s="512">
        <v>114102832</v>
      </c>
      <c r="H22" s="175">
        <v>102011150.23</v>
      </c>
      <c r="I22" s="513">
        <v>89.4</v>
      </c>
      <c r="J22" s="651">
        <v>-1396260.900000006</v>
      </c>
      <c r="K22" s="176">
        <v>22400000</v>
      </c>
      <c r="L22" s="513">
        <v>22.3</v>
      </c>
    </row>
    <row r="23" spans="1:12" ht="13.5">
      <c r="A23" s="635">
        <v>2</v>
      </c>
      <c r="B23" s="636">
        <v>16</v>
      </c>
      <c r="C23" s="645" t="s">
        <v>669</v>
      </c>
      <c r="D23" s="512">
        <v>75569990</v>
      </c>
      <c r="E23" s="175">
        <v>73884469.530000001</v>
      </c>
      <c r="F23" s="513">
        <v>97.8</v>
      </c>
      <c r="G23" s="512">
        <v>77047042</v>
      </c>
      <c r="H23" s="175">
        <v>64240876.07</v>
      </c>
      <c r="I23" s="513">
        <v>83.4</v>
      </c>
      <c r="J23" s="651">
        <v>9643593.4600000009</v>
      </c>
      <c r="K23" s="176">
        <v>13300000</v>
      </c>
      <c r="L23" s="513">
        <v>18</v>
      </c>
    </row>
    <row r="24" spans="1:12" ht="13.5">
      <c r="A24" s="635">
        <v>2</v>
      </c>
      <c r="B24" s="636">
        <v>17</v>
      </c>
      <c r="C24" s="645" t="s">
        <v>668</v>
      </c>
      <c r="D24" s="512">
        <v>63527340.700000003</v>
      </c>
      <c r="E24" s="175">
        <v>65533761.100000001</v>
      </c>
      <c r="F24" s="513">
        <v>103.2</v>
      </c>
      <c r="G24" s="512">
        <v>65177503.969999999</v>
      </c>
      <c r="H24" s="175">
        <v>62355817.25</v>
      </c>
      <c r="I24" s="513">
        <v>95.7</v>
      </c>
      <c r="J24" s="651">
        <v>3177943.8500000015</v>
      </c>
      <c r="K24" s="176">
        <v>7275736.1699999999</v>
      </c>
      <c r="L24" s="513">
        <v>11.1</v>
      </c>
    </row>
    <row r="25" spans="1:12" ht="13.5">
      <c r="A25" s="635">
        <v>2</v>
      </c>
      <c r="B25" s="636">
        <v>18</v>
      </c>
      <c r="C25" s="645" t="s">
        <v>405</v>
      </c>
      <c r="D25" s="512">
        <v>61573540.950000003</v>
      </c>
      <c r="E25" s="175">
        <v>67458312.060000002</v>
      </c>
      <c r="F25" s="513">
        <v>109.6</v>
      </c>
      <c r="G25" s="512">
        <v>68841113.950000003</v>
      </c>
      <c r="H25" s="175">
        <v>63094220.710000001</v>
      </c>
      <c r="I25" s="513">
        <v>91.7</v>
      </c>
      <c r="J25" s="651">
        <v>4364091.3500000015</v>
      </c>
      <c r="K25" s="176">
        <v>11915000</v>
      </c>
      <c r="L25" s="513">
        <v>17.7</v>
      </c>
    </row>
    <row r="26" spans="1:12" ht="13.5">
      <c r="A26" s="635">
        <v>2</v>
      </c>
      <c r="B26" s="636">
        <v>19</v>
      </c>
      <c r="C26" s="645" t="s">
        <v>626</v>
      </c>
      <c r="D26" s="512">
        <v>187203968.53</v>
      </c>
      <c r="E26" s="175">
        <v>192884222.59</v>
      </c>
      <c r="F26" s="513">
        <v>103</v>
      </c>
      <c r="G26" s="512">
        <v>188632661.93000001</v>
      </c>
      <c r="H26" s="175">
        <v>181347993.56</v>
      </c>
      <c r="I26" s="513">
        <v>96.1</v>
      </c>
      <c r="J26" s="651">
        <v>11536229.030000001</v>
      </c>
      <c r="K26" s="176">
        <v>39699000</v>
      </c>
      <c r="L26" s="513">
        <v>20.6</v>
      </c>
    </row>
    <row r="27" spans="1:12" ht="13.5">
      <c r="A27" s="635">
        <v>2</v>
      </c>
      <c r="B27" s="636">
        <v>20</v>
      </c>
      <c r="C27" s="645" t="s">
        <v>667</v>
      </c>
      <c r="D27" s="512">
        <v>109217315</v>
      </c>
      <c r="E27" s="175">
        <v>114637449.18000001</v>
      </c>
      <c r="F27" s="513">
        <v>105</v>
      </c>
      <c r="G27" s="512">
        <v>107741336</v>
      </c>
      <c r="H27" s="175">
        <v>101001281.17</v>
      </c>
      <c r="I27" s="513">
        <v>93.7</v>
      </c>
      <c r="J27" s="651">
        <v>13636168.010000005</v>
      </c>
      <c r="K27" s="176">
        <v>24701434</v>
      </c>
      <c r="L27" s="513">
        <v>21.5</v>
      </c>
    </row>
    <row r="28" spans="1:12" ht="13.5">
      <c r="A28" s="635">
        <v>2</v>
      </c>
      <c r="B28" s="636">
        <v>21</v>
      </c>
      <c r="C28" s="645" t="s">
        <v>666</v>
      </c>
      <c r="D28" s="512">
        <v>60698668.520000003</v>
      </c>
      <c r="E28" s="175">
        <v>64542779.049999997</v>
      </c>
      <c r="F28" s="513">
        <v>106.3</v>
      </c>
      <c r="G28" s="512">
        <v>69699320.790000007</v>
      </c>
      <c r="H28" s="175">
        <v>62172370.810000002</v>
      </c>
      <c r="I28" s="513">
        <v>89.2</v>
      </c>
      <c r="J28" s="651">
        <v>2370408.2399999946</v>
      </c>
      <c r="K28" s="176">
        <v>11960356</v>
      </c>
      <c r="L28" s="513">
        <v>18.5</v>
      </c>
    </row>
    <row r="29" spans="1:12" ht="13.5">
      <c r="A29" s="635">
        <v>2</v>
      </c>
      <c r="B29" s="636">
        <v>22</v>
      </c>
      <c r="C29" s="645" t="s">
        <v>665</v>
      </c>
      <c r="D29" s="512">
        <v>76701525.090000004</v>
      </c>
      <c r="E29" s="175">
        <v>77507031.609999999</v>
      </c>
      <c r="F29" s="513">
        <v>101.1</v>
      </c>
      <c r="G29" s="512">
        <v>78352238.090000004</v>
      </c>
      <c r="H29" s="175">
        <v>74629038.280000001</v>
      </c>
      <c r="I29" s="513">
        <v>95.2</v>
      </c>
      <c r="J29" s="651">
        <v>2877993.3299999982</v>
      </c>
      <c r="K29" s="176">
        <v>23710000</v>
      </c>
      <c r="L29" s="513">
        <v>30.6</v>
      </c>
    </row>
    <row r="30" spans="1:12" ht="13.5">
      <c r="A30" s="635">
        <v>2</v>
      </c>
      <c r="B30" s="636">
        <v>23</v>
      </c>
      <c r="C30" s="645" t="s">
        <v>664</v>
      </c>
      <c r="D30" s="512">
        <v>180376037.81999999</v>
      </c>
      <c r="E30" s="175">
        <v>187065832.49000001</v>
      </c>
      <c r="F30" s="513">
        <v>103.7</v>
      </c>
      <c r="G30" s="512">
        <v>204749547.81999999</v>
      </c>
      <c r="H30" s="175">
        <v>183557810</v>
      </c>
      <c r="I30" s="513">
        <v>89.6</v>
      </c>
      <c r="J30" s="651">
        <v>3508022.4900000095</v>
      </c>
      <c r="K30" s="176">
        <v>25817355.370000001</v>
      </c>
      <c r="L30" s="513">
        <v>13.8</v>
      </c>
    </row>
    <row r="31" spans="1:12" ht="13.5">
      <c r="A31" s="635">
        <v>2</v>
      </c>
      <c r="B31" s="636">
        <v>24</v>
      </c>
      <c r="C31" s="645" t="s">
        <v>663</v>
      </c>
      <c r="D31" s="512">
        <v>107864249.43000001</v>
      </c>
      <c r="E31" s="175">
        <v>109129025.64</v>
      </c>
      <c r="F31" s="513">
        <v>101.2</v>
      </c>
      <c r="G31" s="512">
        <v>112608030.52</v>
      </c>
      <c r="H31" s="175">
        <v>108499847.2</v>
      </c>
      <c r="I31" s="513">
        <v>96.4</v>
      </c>
      <c r="J31" s="651">
        <v>629178.43999999762</v>
      </c>
      <c r="K31" s="176">
        <v>36066654.460000001</v>
      </c>
      <c r="L31" s="513">
        <v>33</v>
      </c>
    </row>
    <row r="32" spans="1:12" ht="13.5">
      <c r="A32" s="635">
        <v>2</v>
      </c>
      <c r="B32" s="636">
        <v>25</v>
      </c>
      <c r="C32" s="645" t="s">
        <v>662</v>
      </c>
      <c r="D32" s="512">
        <v>129389104.65000001</v>
      </c>
      <c r="E32" s="175">
        <v>123732862.89</v>
      </c>
      <c r="F32" s="513">
        <v>95.6</v>
      </c>
      <c r="G32" s="512">
        <v>128321744.67</v>
      </c>
      <c r="H32" s="175">
        <v>119566287.37</v>
      </c>
      <c r="I32" s="513">
        <v>93.2</v>
      </c>
      <c r="J32" s="651">
        <v>4166575.5199999958</v>
      </c>
      <c r="K32" s="176">
        <v>13141703.689999999</v>
      </c>
      <c r="L32" s="513">
        <v>10.6</v>
      </c>
    </row>
    <row r="33" spans="1:12" ht="13.5">
      <c r="A33" s="635">
        <v>2</v>
      </c>
      <c r="B33" s="636">
        <v>26</v>
      </c>
      <c r="C33" s="645" t="s">
        <v>661</v>
      </c>
      <c r="D33" s="512">
        <v>74598173.129999995</v>
      </c>
      <c r="E33" s="175">
        <v>70703350.129999995</v>
      </c>
      <c r="F33" s="513">
        <v>94.8</v>
      </c>
      <c r="G33" s="512">
        <v>74609485.569999993</v>
      </c>
      <c r="H33" s="175">
        <v>67887177.370000005</v>
      </c>
      <c r="I33" s="513">
        <v>91</v>
      </c>
      <c r="J33" s="651">
        <v>2816172.7599999905</v>
      </c>
      <c r="K33" s="176">
        <v>23257096.050000001</v>
      </c>
      <c r="L33" s="513">
        <v>32.9</v>
      </c>
    </row>
    <row r="34" spans="1:12" ht="13.5">
      <c r="A34" s="635">
        <v>4</v>
      </c>
      <c r="B34" s="636">
        <v>1</v>
      </c>
      <c r="C34" s="645" t="s">
        <v>660</v>
      </c>
      <c r="D34" s="512">
        <v>78743685.890000001</v>
      </c>
      <c r="E34" s="175">
        <v>79887677.640000001</v>
      </c>
      <c r="F34" s="513">
        <v>101.5</v>
      </c>
      <c r="G34" s="512">
        <v>78743685.890000001</v>
      </c>
      <c r="H34" s="175">
        <v>74043196.799999997</v>
      </c>
      <c r="I34" s="513">
        <v>94</v>
      </c>
      <c r="J34" s="651">
        <v>5844480.8400000036</v>
      </c>
      <c r="K34" s="176">
        <v>6634000</v>
      </c>
      <c r="L34" s="513">
        <v>8.3000000000000007</v>
      </c>
    </row>
    <row r="35" spans="1:12" ht="13.5">
      <c r="A35" s="635">
        <v>4</v>
      </c>
      <c r="B35" s="636">
        <v>2</v>
      </c>
      <c r="C35" s="645" t="s">
        <v>659</v>
      </c>
      <c r="D35" s="512">
        <v>102855797.67</v>
      </c>
      <c r="E35" s="175">
        <v>104295072.8</v>
      </c>
      <c r="F35" s="513">
        <v>101.4</v>
      </c>
      <c r="G35" s="512">
        <v>112031823.67</v>
      </c>
      <c r="H35" s="175">
        <v>102994761.83</v>
      </c>
      <c r="I35" s="513">
        <v>91.9</v>
      </c>
      <c r="J35" s="651">
        <v>1300310.9699999988</v>
      </c>
      <c r="K35" s="176">
        <v>5350000</v>
      </c>
      <c r="L35" s="513">
        <v>5.0999999999999996</v>
      </c>
    </row>
    <row r="36" spans="1:12" ht="13.5">
      <c r="A36" s="635">
        <v>4</v>
      </c>
      <c r="B36" s="636">
        <v>3</v>
      </c>
      <c r="C36" s="645" t="s">
        <v>658</v>
      </c>
      <c r="D36" s="512">
        <v>109126521.70999999</v>
      </c>
      <c r="E36" s="175">
        <v>112075837.88</v>
      </c>
      <c r="F36" s="513">
        <v>102.7</v>
      </c>
      <c r="G36" s="512">
        <v>103687944.70999999</v>
      </c>
      <c r="H36" s="175">
        <v>99213652.409999996</v>
      </c>
      <c r="I36" s="513">
        <v>95.7</v>
      </c>
      <c r="J36" s="651">
        <v>12862185.469999999</v>
      </c>
      <c r="K36" s="176">
        <v>910707.16</v>
      </c>
      <c r="L36" s="513">
        <v>0.8</v>
      </c>
    </row>
    <row r="37" spans="1:12" ht="13.5">
      <c r="A37" s="635">
        <v>4</v>
      </c>
      <c r="B37" s="636">
        <v>4</v>
      </c>
      <c r="C37" s="645" t="s">
        <v>657</v>
      </c>
      <c r="D37" s="512">
        <v>85235761.060000002</v>
      </c>
      <c r="E37" s="175">
        <v>84737573.900000006</v>
      </c>
      <c r="F37" s="513">
        <v>99.4</v>
      </c>
      <c r="G37" s="512">
        <v>94697883.359999999</v>
      </c>
      <c r="H37" s="175">
        <v>89203418.459999993</v>
      </c>
      <c r="I37" s="513">
        <v>94.2</v>
      </c>
      <c r="J37" s="651">
        <v>-4465844.5599999875</v>
      </c>
      <c r="K37" s="176">
        <v>8335241.5599999996</v>
      </c>
      <c r="L37" s="513">
        <v>9.8000000000000007</v>
      </c>
    </row>
    <row r="38" spans="1:12" ht="13.5">
      <c r="A38" s="635">
        <v>4</v>
      </c>
      <c r="B38" s="636">
        <v>5</v>
      </c>
      <c r="C38" s="645" t="s">
        <v>656</v>
      </c>
      <c r="D38" s="512">
        <v>67666969.450000003</v>
      </c>
      <c r="E38" s="175">
        <v>61512404.920000002</v>
      </c>
      <c r="F38" s="513">
        <v>90.9</v>
      </c>
      <c r="G38" s="512">
        <v>74963505.909999996</v>
      </c>
      <c r="H38" s="175">
        <v>61425965.659999996</v>
      </c>
      <c r="I38" s="513">
        <v>81.900000000000006</v>
      </c>
      <c r="J38" s="651">
        <v>86439.260000005364</v>
      </c>
      <c r="K38" s="176">
        <v>28223994.300000001</v>
      </c>
      <c r="L38" s="513">
        <v>45.9</v>
      </c>
    </row>
    <row r="39" spans="1:12" ht="13.5">
      <c r="A39" s="635">
        <v>4</v>
      </c>
      <c r="B39" s="636">
        <v>6</v>
      </c>
      <c r="C39" s="645" t="s">
        <v>655</v>
      </c>
      <c r="D39" s="512">
        <v>37033619.189999998</v>
      </c>
      <c r="E39" s="175">
        <v>39128957.189999998</v>
      </c>
      <c r="F39" s="513">
        <v>105.7</v>
      </c>
      <c r="G39" s="512">
        <v>47076654.109999999</v>
      </c>
      <c r="H39" s="175">
        <v>36006476.880000003</v>
      </c>
      <c r="I39" s="513">
        <v>76.5</v>
      </c>
      <c r="J39" s="651">
        <v>3122480.3099999949</v>
      </c>
      <c r="K39" s="176">
        <v>3800000</v>
      </c>
      <c r="L39" s="513">
        <v>9.6999999999999993</v>
      </c>
    </row>
    <row r="40" spans="1:12" ht="13.5">
      <c r="A40" s="635">
        <v>4</v>
      </c>
      <c r="B40" s="636">
        <v>7</v>
      </c>
      <c r="C40" s="645" t="s">
        <v>654</v>
      </c>
      <c r="D40" s="512">
        <v>218309013.18000001</v>
      </c>
      <c r="E40" s="175">
        <v>219374879.16</v>
      </c>
      <c r="F40" s="513">
        <v>100.5</v>
      </c>
      <c r="G40" s="512">
        <v>227187331.53999999</v>
      </c>
      <c r="H40" s="175">
        <v>213446856.09</v>
      </c>
      <c r="I40" s="513">
        <v>94</v>
      </c>
      <c r="J40" s="651">
        <v>5928023.0699999928</v>
      </c>
      <c r="K40" s="176">
        <v>12417581.08</v>
      </c>
      <c r="L40" s="513">
        <v>5.7</v>
      </c>
    </row>
    <row r="41" spans="1:12" ht="13.5">
      <c r="A41" s="635">
        <v>4</v>
      </c>
      <c r="B41" s="636">
        <v>8</v>
      </c>
      <c r="C41" s="645" t="s">
        <v>653</v>
      </c>
      <c r="D41" s="512">
        <v>94045020.790000007</v>
      </c>
      <c r="E41" s="175">
        <v>93983053.140000001</v>
      </c>
      <c r="F41" s="513">
        <v>99.9</v>
      </c>
      <c r="G41" s="512">
        <v>93595020.790000007</v>
      </c>
      <c r="H41" s="175">
        <v>90399060.890000001</v>
      </c>
      <c r="I41" s="513">
        <v>96.6</v>
      </c>
      <c r="J41" s="651">
        <v>3583992.25</v>
      </c>
      <c r="K41" s="176">
        <v>19370234.600000001</v>
      </c>
      <c r="L41" s="513">
        <v>20.6</v>
      </c>
    </row>
    <row r="42" spans="1:12" ht="13.5">
      <c r="A42" s="635">
        <v>4</v>
      </c>
      <c r="B42" s="636">
        <v>9</v>
      </c>
      <c r="C42" s="645" t="s">
        <v>652</v>
      </c>
      <c r="D42" s="512">
        <v>77559110.799999997</v>
      </c>
      <c r="E42" s="175">
        <v>78850328.359999999</v>
      </c>
      <c r="F42" s="513">
        <v>101.7</v>
      </c>
      <c r="G42" s="512">
        <v>79342269.909999996</v>
      </c>
      <c r="H42" s="175">
        <v>72853423.700000003</v>
      </c>
      <c r="I42" s="513">
        <v>91.8</v>
      </c>
      <c r="J42" s="651">
        <v>5996904.6599999964</v>
      </c>
      <c r="K42" s="176">
        <v>5838360</v>
      </c>
      <c r="L42" s="513">
        <v>7.4</v>
      </c>
    </row>
    <row r="43" spans="1:12" ht="13.5">
      <c r="A43" s="635">
        <v>4</v>
      </c>
      <c r="B43" s="636">
        <v>10</v>
      </c>
      <c r="C43" s="645" t="s">
        <v>651</v>
      </c>
      <c r="D43" s="512">
        <v>117407124.81999999</v>
      </c>
      <c r="E43" s="175">
        <v>119465581.31</v>
      </c>
      <c r="F43" s="513">
        <v>101.8</v>
      </c>
      <c r="G43" s="512">
        <v>121116811.40000001</v>
      </c>
      <c r="H43" s="175">
        <v>112446883.14</v>
      </c>
      <c r="I43" s="513">
        <v>92.8</v>
      </c>
      <c r="J43" s="651">
        <v>7018698.1700000018</v>
      </c>
      <c r="K43" s="176">
        <v>34479266.799999997</v>
      </c>
      <c r="L43" s="513">
        <v>28.9</v>
      </c>
    </row>
    <row r="44" spans="1:12" ht="13.5">
      <c r="A44" s="635">
        <v>4</v>
      </c>
      <c r="B44" s="636">
        <v>11</v>
      </c>
      <c r="C44" s="645" t="s">
        <v>650</v>
      </c>
      <c r="D44" s="512">
        <v>73465430.420000002</v>
      </c>
      <c r="E44" s="175">
        <v>72601188.939999998</v>
      </c>
      <c r="F44" s="513">
        <v>98.8</v>
      </c>
      <c r="G44" s="512">
        <v>78492496.319999993</v>
      </c>
      <c r="H44" s="175">
        <v>68670051.299999997</v>
      </c>
      <c r="I44" s="513">
        <v>87.5</v>
      </c>
      <c r="J44" s="651">
        <v>3931137.6400000006</v>
      </c>
      <c r="K44" s="176">
        <v>3483886.22</v>
      </c>
      <c r="L44" s="513">
        <v>4.8</v>
      </c>
    </row>
    <row r="45" spans="1:12" ht="13.5">
      <c r="A45" s="635">
        <v>4</v>
      </c>
      <c r="B45" s="636">
        <v>12</v>
      </c>
      <c r="C45" s="645" t="s">
        <v>649</v>
      </c>
      <c r="D45" s="512">
        <v>74226542.930000007</v>
      </c>
      <c r="E45" s="175">
        <v>73176090.680000007</v>
      </c>
      <c r="F45" s="513">
        <v>98.6</v>
      </c>
      <c r="G45" s="512">
        <v>86914866.920000002</v>
      </c>
      <c r="H45" s="175">
        <v>73280491.299999997</v>
      </c>
      <c r="I45" s="513">
        <v>84.3</v>
      </c>
      <c r="J45" s="651">
        <v>-104400.61999998987</v>
      </c>
      <c r="K45" s="176">
        <v>334</v>
      </c>
      <c r="L45" s="513">
        <v>0</v>
      </c>
    </row>
    <row r="46" spans="1:12" ht="13.5">
      <c r="A46" s="635">
        <v>4</v>
      </c>
      <c r="B46" s="636">
        <v>13</v>
      </c>
      <c r="C46" s="645" t="s">
        <v>648</v>
      </c>
      <c r="D46" s="512">
        <v>67122629.659999996</v>
      </c>
      <c r="E46" s="175">
        <v>64744118.719999999</v>
      </c>
      <c r="F46" s="513">
        <v>96.5</v>
      </c>
      <c r="G46" s="512">
        <v>65126763.659999996</v>
      </c>
      <c r="H46" s="175">
        <v>59844878.119999997</v>
      </c>
      <c r="I46" s="513">
        <v>91.9</v>
      </c>
      <c r="J46" s="651">
        <v>4899240.6000000015</v>
      </c>
      <c r="K46" s="176">
        <v>25009894.699999999</v>
      </c>
      <c r="L46" s="513">
        <v>38.6</v>
      </c>
    </row>
    <row r="47" spans="1:12" ht="13.5">
      <c r="A47" s="635">
        <v>4</v>
      </c>
      <c r="B47" s="636">
        <v>14</v>
      </c>
      <c r="C47" s="645" t="s">
        <v>647</v>
      </c>
      <c r="D47" s="512">
        <v>144070692</v>
      </c>
      <c r="E47" s="175">
        <v>138230203.33000001</v>
      </c>
      <c r="F47" s="513">
        <v>95.9</v>
      </c>
      <c r="G47" s="512">
        <v>158735455</v>
      </c>
      <c r="H47" s="175">
        <v>145012120.91</v>
      </c>
      <c r="I47" s="513">
        <v>91.4</v>
      </c>
      <c r="J47" s="651">
        <v>-6781917.5799999833</v>
      </c>
      <c r="K47" s="176">
        <v>21320723.789999999</v>
      </c>
      <c r="L47" s="513">
        <v>15.4</v>
      </c>
    </row>
    <row r="48" spans="1:12" ht="13.5">
      <c r="A48" s="635">
        <v>4</v>
      </c>
      <c r="B48" s="636">
        <v>15</v>
      </c>
      <c r="C48" s="645" t="s">
        <v>646</v>
      </c>
      <c r="D48" s="512">
        <v>128018805</v>
      </c>
      <c r="E48" s="175">
        <v>132142073.84999999</v>
      </c>
      <c r="F48" s="513">
        <v>103.2</v>
      </c>
      <c r="G48" s="512">
        <v>136056380</v>
      </c>
      <c r="H48" s="175">
        <v>127009367.23999999</v>
      </c>
      <c r="I48" s="513">
        <v>93.4</v>
      </c>
      <c r="J48" s="651">
        <v>5132706.6099999994</v>
      </c>
      <c r="K48" s="176">
        <v>5600000</v>
      </c>
      <c r="L48" s="513">
        <v>4.2</v>
      </c>
    </row>
    <row r="49" spans="1:12" ht="13.5">
      <c r="A49" s="635">
        <v>4</v>
      </c>
      <c r="B49" s="636">
        <v>16</v>
      </c>
      <c r="C49" s="645" t="s">
        <v>645</v>
      </c>
      <c r="D49" s="512">
        <v>78348671.370000005</v>
      </c>
      <c r="E49" s="175">
        <v>77677257.739999995</v>
      </c>
      <c r="F49" s="513">
        <v>99.1</v>
      </c>
      <c r="G49" s="512">
        <v>82731491.560000002</v>
      </c>
      <c r="H49" s="175">
        <v>77947290.150000006</v>
      </c>
      <c r="I49" s="513">
        <v>94.2</v>
      </c>
      <c r="J49" s="651">
        <v>-270032.41000001132</v>
      </c>
      <c r="K49" s="176">
        <v>7211486.8600000003</v>
      </c>
      <c r="L49" s="513">
        <v>9.3000000000000007</v>
      </c>
    </row>
    <row r="50" spans="1:12" ht="13.5">
      <c r="A50" s="635">
        <v>4</v>
      </c>
      <c r="B50" s="636">
        <v>17</v>
      </c>
      <c r="C50" s="645" t="s">
        <v>644</v>
      </c>
      <c r="D50" s="512">
        <v>54780398.219999999</v>
      </c>
      <c r="E50" s="175">
        <v>53433871.75</v>
      </c>
      <c r="F50" s="513">
        <v>97.5</v>
      </c>
      <c r="G50" s="512">
        <v>59611782.880000003</v>
      </c>
      <c r="H50" s="175">
        <v>55310480.630000003</v>
      </c>
      <c r="I50" s="513">
        <v>92.8</v>
      </c>
      <c r="J50" s="651">
        <v>-1876608.8800000027</v>
      </c>
      <c r="K50" s="176">
        <v>10585181</v>
      </c>
      <c r="L50" s="513">
        <v>19.8</v>
      </c>
    </row>
    <row r="51" spans="1:12" ht="13.5">
      <c r="A51" s="635">
        <v>4</v>
      </c>
      <c r="B51" s="636">
        <v>18</v>
      </c>
      <c r="C51" s="645" t="s">
        <v>643</v>
      </c>
      <c r="D51" s="512">
        <v>119880682.48999999</v>
      </c>
      <c r="E51" s="175">
        <v>119937482.48</v>
      </c>
      <c r="F51" s="513">
        <v>100</v>
      </c>
      <c r="G51" s="512">
        <v>121918591.05</v>
      </c>
      <c r="H51" s="175">
        <v>113505722.19</v>
      </c>
      <c r="I51" s="513">
        <v>93.1</v>
      </c>
      <c r="J51" s="651">
        <v>6431760.2900000066</v>
      </c>
      <c r="K51" s="176">
        <v>112234</v>
      </c>
      <c r="L51" s="513">
        <v>0.1</v>
      </c>
    </row>
    <row r="52" spans="1:12" ht="13.5">
      <c r="A52" s="635">
        <v>4</v>
      </c>
      <c r="B52" s="636">
        <v>19</v>
      </c>
      <c r="C52" s="645" t="s">
        <v>642</v>
      </c>
      <c r="D52" s="512">
        <v>99530871.370000005</v>
      </c>
      <c r="E52" s="175">
        <v>99924366.870000005</v>
      </c>
      <c r="F52" s="513">
        <v>100.4</v>
      </c>
      <c r="G52" s="512">
        <v>101732535.37</v>
      </c>
      <c r="H52" s="175">
        <v>98843999.109999999</v>
      </c>
      <c r="I52" s="513">
        <v>97.2</v>
      </c>
      <c r="J52" s="651">
        <v>1080367.7600000054</v>
      </c>
      <c r="K52" s="176">
        <v>20000000</v>
      </c>
      <c r="L52" s="513">
        <v>20</v>
      </c>
    </row>
    <row r="53" spans="1:12" ht="13.5">
      <c r="A53" s="635">
        <v>6</v>
      </c>
      <c r="B53" s="636">
        <v>1</v>
      </c>
      <c r="C53" s="645" t="s">
        <v>641</v>
      </c>
      <c r="D53" s="512">
        <v>146999198.06</v>
      </c>
      <c r="E53" s="175">
        <v>149881015.38</v>
      </c>
      <c r="F53" s="513">
        <v>102</v>
      </c>
      <c r="G53" s="512">
        <v>163001448.56999999</v>
      </c>
      <c r="H53" s="175">
        <v>146948804.87</v>
      </c>
      <c r="I53" s="513">
        <v>90.2</v>
      </c>
      <c r="J53" s="651">
        <v>2932210.5099999905</v>
      </c>
      <c r="K53" s="176">
        <v>20078480</v>
      </c>
      <c r="L53" s="513">
        <v>13.4</v>
      </c>
    </row>
    <row r="54" spans="1:12" ht="13.5">
      <c r="A54" s="635">
        <v>6</v>
      </c>
      <c r="B54" s="636">
        <v>2</v>
      </c>
      <c r="C54" s="645" t="s">
        <v>640</v>
      </c>
      <c r="D54" s="512">
        <v>146046973.90000001</v>
      </c>
      <c r="E54" s="175">
        <v>141321634.59999999</v>
      </c>
      <c r="F54" s="513">
        <v>96.8</v>
      </c>
      <c r="G54" s="512">
        <v>185674327.00999999</v>
      </c>
      <c r="H54" s="175">
        <v>143130010.81</v>
      </c>
      <c r="I54" s="513">
        <v>77.099999999999994</v>
      </c>
      <c r="J54" s="651">
        <v>-1808376.2100000083</v>
      </c>
      <c r="K54" s="176">
        <v>27873541</v>
      </c>
      <c r="L54" s="513">
        <v>19.7</v>
      </c>
    </row>
    <row r="55" spans="1:12" ht="13.5">
      <c r="A55" s="635">
        <v>6</v>
      </c>
      <c r="B55" s="636">
        <v>3</v>
      </c>
      <c r="C55" s="645" t="s">
        <v>639</v>
      </c>
      <c r="D55" s="512">
        <v>124949965.64</v>
      </c>
      <c r="E55" s="175">
        <v>132695423.27</v>
      </c>
      <c r="F55" s="513">
        <v>106.2</v>
      </c>
      <c r="G55" s="512">
        <v>136989615</v>
      </c>
      <c r="H55" s="175">
        <v>128814047.54000001</v>
      </c>
      <c r="I55" s="513">
        <v>94</v>
      </c>
      <c r="J55" s="651">
        <v>3881375.7299999893</v>
      </c>
      <c r="K55" s="176">
        <v>14465360</v>
      </c>
      <c r="L55" s="513">
        <v>10.9</v>
      </c>
    </row>
    <row r="56" spans="1:12" ht="13.5">
      <c r="A56" s="635">
        <v>6</v>
      </c>
      <c r="B56" s="636">
        <v>4</v>
      </c>
      <c r="C56" s="645" t="s">
        <v>638</v>
      </c>
      <c r="D56" s="512">
        <v>79990821.739999995</v>
      </c>
      <c r="E56" s="175">
        <v>81408850.569999993</v>
      </c>
      <c r="F56" s="513">
        <v>101.8</v>
      </c>
      <c r="G56" s="512">
        <v>95072910.409999996</v>
      </c>
      <c r="H56" s="175">
        <v>89282824.150000006</v>
      </c>
      <c r="I56" s="513">
        <v>93.9</v>
      </c>
      <c r="J56" s="651">
        <v>-7873973.5800000131</v>
      </c>
      <c r="K56" s="176">
        <v>7874000</v>
      </c>
      <c r="L56" s="513">
        <v>9.6999999999999993</v>
      </c>
    </row>
    <row r="57" spans="1:12" ht="13.5">
      <c r="A57" s="635">
        <v>6</v>
      </c>
      <c r="B57" s="636">
        <v>5</v>
      </c>
      <c r="C57" s="645" t="s">
        <v>637</v>
      </c>
      <c r="D57" s="512">
        <v>78858151.219999999</v>
      </c>
      <c r="E57" s="175">
        <v>81761046.209999993</v>
      </c>
      <c r="F57" s="513">
        <v>103.7</v>
      </c>
      <c r="G57" s="512">
        <v>80894156.909999996</v>
      </c>
      <c r="H57" s="175">
        <v>78976319.299999997</v>
      </c>
      <c r="I57" s="513">
        <v>97.6</v>
      </c>
      <c r="J57" s="651">
        <v>2784726.9099999964</v>
      </c>
      <c r="K57" s="176">
        <v>21125523.52</v>
      </c>
      <c r="L57" s="513">
        <v>25.8</v>
      </c>
    </row>
    <row r="58" spans="1:12" ht="13.5">
      <c r="A58" s="635">
        <v>6</v>
      </c>
      <c r="B58" s="636">
        <v>6</v>
      </c>
      <c r="C58" s="645" t="s">
        <v>636</v>
      </c>
      <c r="D58" s="512">
        <v>119931509.87</v>
      </c>
      <c r="E58" s="175">
        <v>122211922.23999999</v>
      </c>
      <c r="F58" s="513">
        <v>101.9</v>
      </c>
      <c r="G58" s="512">
        <v>131731975.33</v>
      </c>
      <c r="H58" s="175">
        <v>121319278.42</v>
      </c>
      <c r="I58" s="513">
        <v>92.1</v>
      </c>
      <c r="J58" s="651">
        <v>892643.81999999285</v>
      </c>
      <c r="K58" s="176">
        <v>13837668.66</v>
      </c>
      <c r="L58" s="513">
        <v>11.3</v>
      </c>
    </row>
    <row r="59" spans="1:12" ht="13.5">
      <c r="A59" s="635">
        <v>6</v>
      </c>
      <c r="B59" s="636">
        <v>7</v>
      </c>
      <c r="C59" s="645" t="s">
        <v>635</v>
      </c>
      <c r="D59" s="512">
        <v>142741630.69</v>
      </c>
      <c r="E59" s="175">
        <v>139692759.80000001</v>
      </c>
      <c r="F59" s="513">
        <v>97.9</v>
      </c>
      <c r="G59" s="512">
        <v>153707025.11000001</v>
      </c>
      <c r="H59" s="175">
        <v>131003551.48999999</v>
      </c>
      <c r="I59" s="513">
        <v>85.2</v>
      </c>
      <c r="J59" s="651">
        <v>8689208.3100000173</v>
      </c>
      <c r="K59" s="176">
        <v>19638996.219999999</v>
      </c>
      <c r="L59" s="513">
        <v>14.1</v>
      </c>
    </row>
    <row r="60" spans="1:12" ht="13.5">
      <c r="A60" s="635">
        <v>6</v>
      </c>
      <c r="B60" s="636">
        <v>8</v>
      </c>
      <c r="C60" s="645" t="s">
        <v>634</v>
      </c>
      <c r="D60" s="512">
        <v>134286358.93000001</v>
      </c>
      <c r="E60" s="175">
        <v>126448478.91</v>
      </c>
      <c r="F60" s="513">
        <v>94.2</v>
      </c>
      <c r="G60" s="512">
        <v>134768278.38</v>
      </c>
      <c r="H60" s="175">
        <v>116212374.36</v>
      </c>
      <c r="I60" s="513">
        <v>86.2</v>
      </c>
      <c r="J60" s="651">
        <v>10236104.549999997</v>
      </c>
      <c r="K60" s="176">
        <v>43108337</v>
      </c>
      <c r="L60" s="513">
        <v>34.1</v>
      </c>
    </row>
    <row r="61" spans="1:12" ht="13.5">
      <c r="A61" s="635">
        <v>6</v>
      </c>
      <c r="B61" s="636">
        <v>9</v>
      </c>
      <c r="C61" s="645" t="s">
        <v>633</v>
      </c>
      <c r="D61" s="512">
        <v>172500455.38999999</v>
      </c>
      <c r="E61" s="175">
        <v>179158580.50999999</v>
      </c>
      <c r="F61" s="513">
        <v>103.9</v>
      </c>
      <c r="G61" s="512">
        <v>189121703.38999999</v>
      </c>
      <c r="H61" s="175">
        <v>176683861.13</v>
      </c>
      <c r="I61" s="513">
        <v>93.4</v>
      </c>
      <c r="J61" s="651">
        <v>2474719.3799999952</v>
      </c>
      <c r="K61" s="176">
        <v>41567433.990000002</v>
      </c>
      <c r="L61" s="513">
        <v>23.2</v>
      </c>
    </row>
    <row r="62" spans="1:12" ht="13.5">
      <c r="A62" s="635">
        <v>6</v>
      </c>
      <c r="B62" s="636">
        <v>10</v>
      </c>
      <c r="C62" s="645" t="s">
        <v>632</v>
      </c>
      <c r="D62" s="512">
        <v>73862052.150000006</v>
      </c>
      <c r="E62" s="175">
        <v>74018804.290000007</v>
      </c>
      <c r="F62" s="513">
        <v>100.2</v>
      </c>
      <c r="G62" s="512">
        <v>88898615.150000006</v>
      </c>
      <c r="H62" s="175">
        <v>81022038.700000003</v>
      </c>
      <c r="I62" s="513">
        <v>91.1</v>
      </c>
      <c r="J62" s="651">
        <v>-7003234.4099999964</v>
      </c>
      <c r="K62" s="176">
        <v>13168248</v>
      </c>
      <c r="L62" s="513">
        <v>17.8</v>
      </c>
    </row>
    <row r="63" spans="1:12" ht="13.5">
      <c r="A63" s="635">
        <v>6</v>
      </c>
      <c r="B63" s="636">
        <v>11</v>
      </c>
      <c r="C63" s="645" t="s">
        <v>631</v>
      </c>
      <c r="D63" s="512">
        <v>168605955.56999999</v>
      </c>
      <c r="E63" s="175">
        <v>173737188.25999999</v>
      </c>
      <c r="F63" s="513">
        <v>103</v>
      </c>
      <c r="G63" s="512">
        <v>185764141.97999999</v>
      </c>
      <c r="H63" s="175">
        <v>179674894.55000001</v>
      </c>
      <c r="I63" s="513">
        <v>96.7</v>
      </c>
      <c r="J63" s="651">
        <v>-5937706.2900000215</v>
      </c>
      <c r="K63" s="176">
        <v>39879401.229999997</v>
      </c>
      <c r="L63" s="513">
        <v>23</v>
      </c>
    </row>
    <row r="64" spans="1:12" ht="13.5">
      <c r="A64" s="635">
        <v>6</v>
      </c>
      <c r="B64" s="636">
        <v>12</v>
      </c>
      <c r="C64" s="645" t="s">
        <v>531</v>
      </c>
      <c r="D64" s="512">
        <v>77740602.819999993</v>
      </c>
      <c r="E64" s="175">
        <v>78132373.5</v>
      </c>
      <c r="F64" s="513">
        <v>100.5</v>
      </c>
      <c r="G64" s="512">
        <v>81840567.549999997</v>
      </c>
      <c r="H64" s="175">
        <v>78938168.900000006</v>
      </c>
      <c r="I64" s="513">
        <v>96.5</v>
      </c>
      <c r="J64" s="651">
        <v>-805795.40000000596</v>
      </c>
      <c r="K64" s="176">
        <v>18698620.890000001</v>
      </c>
      <c r="L64" s="513">
        <v>23.9</v>
      </c>
    </row>
    <row r="65" spans="1:12" ht="13.5">
      <c r="A65" s="635">
        <v>6</v>
      </c>
      <c r="B65" s="636">
        <v>13</v>
      </c>
      <c r="C65" s="645" t="s">
        <v>630</v>
      </c>
      <c r="D65" s="512">
        <v>44463736.289999999</v>
      </c>
      <c r="E65" s="175">
        <v>44632847.520000003</v>
      </c>
      <c r="F65" s="513">
        <v>100.4</v>
      </c>
      <c r="G65" s="512">
        <v>51102663.560000002</v>
      </c>
      <c r="H65" s="175">
        <v>48331272.439999998</v>
      </c>
      <c r="I65" s="513">
        <v>94.6</v>
      </c>
      <c r="J65" s="651">
        <v>-3698424.9199999943</v>
      </c>
      <c r="K65" s="176">
        <v>14093000</v>
      </c>
      <c r="L65" s="513">
        <v>31.6</v>
      </c>
    </row>
    <row r="66" spans="1:12" ht="13.5">
      <c r="A66" s="635">
        <v>6</v>
      </c>
      <c r="B66" s="636">
        <v>14</v>
      </c>
      <c r="C66" s="645" t="s">
        <v>629</v>
      </c>
      <c r="D66" s="512">
        <v>153934518.25999999</v>
      </c>
      <c r="E66" s="175">
        <v>158570674.71000001</v>
      </c>
      <c r="F66" s="513">
        <v>103</v>
      </c>
      <c r="G66" s="512">
        <v>163235831.25999999</v>
      </c>
      <c r="H66" s="175">
        <v>152791595.08000001</v>
      </c>
      <c r="I66" s="513">
        <v>93.6</v>
      </c>
      <c r="J66" s="651">
        <v>5779079.6299999952</v>
      </c>
      <c r="K66" s="176">
        <v>13000000</v>
      </c>
      <c r="L66" s="513">
        <v>8.1999999999999993</v>
      </c>
    </row>
    <row r="67" spans="1:12" ht="13.5">
      <c r="A67" s="635">
        <v>6</v>
      </c>
      <c r="B67" s="636">
        <v>15</v>
      </c>
      <c r="C67" s="645" t="s">
        <v>628</v>
      </c>
      <c r="D67" s="512">
        <v>99726905.290000007</v>
      </c>
      <c r="E67" s="175">
        <v>102067071.72</v>
      </c>
      <c r="F67" s="513">
        <v>102.3</v>
      </c>
      <c r="G67" s="512">
        <v>110063758.5</v>
      </c>
      <c r="H67" s="175">
        <v>93412497.739999995</v>
      </c>
      <c r="I67" s="513">
        <v>84.9</v>
      </c>
      <c r="J67" s="651">
        <v>8654573.9800000042</v>
      </c>
      <c r="K67" s="176">
        <v>15698000</v>
      </c>
      <c r="L67" s="513">
        <v>15.4</v>
      </c>
    </row>
    <row r="68" spans="1:12" ht="13.5">
      <c r="A68" s="635">
        <v>6</v>
      </c>
      <c r="B68" s="636">
        <v>16</v>
      </c>
      <c r="C68" s="645" t="s">
        <v>627</v>
      </c>
      <c r="D68" s="512">
        <v>87444250.099999994</v>
      </c>
      <c r="E68" s="175">
        <v>83689770.340000004</v>
      </c>
      <c r="F68" s="513">
        <v>95.7</v>
      </c>
      <c r="G68" s="512">
        <v>100569400.09999999</v>
      </c>
      <c r="H68" s="175">
        <v>81688576.439999998</v>
      </c>
      <c r="I68" s="513">
        <v>81.2</v>
      </c>
      <c r="J68" s="651">
        <v>2001193.900000006</v>
      </c>
      <c r="K68" s="176">
        <v>28247600</v>
      </c>
      <c r="L68" s="513">
        <v>33.799999999999997</v>
      </c>
    </row>
    <row r="69" spans="1:12" ht="13.5">
      <c r="A69" s="635">
        <v>6</v>
      </c>
      <c r="B69" s="636">
        <v>17</v>
      </c>
      <c r="C69" s="645" t="s">
        <v>626</v>
      </c>
      <c r="D69" s="512">
        <v>107404357.89</v>
      </c>
      <c r="E69" s="175">
        <v>107117734.42</v>
      </c>
      <c r="F69" s="513">
        <v>99.7</v>
      </c>
      <c r="G69" s="512">
        <v>110229715.8</v>
      </c>
      <c r="H69" s="175">
        <v>99206356.680000007</v>
      </c>
      <c r="I69" s="513">
        <v>90</v>
      </c>
      <c r="J69" s="651">
        <v>7911377.7399999946</v>
      </c>
      <c r="K69" s="176">
        <v>10450610.210000001</v>
      </c>
      <c r="L69" s="513">
        <v>9.8000000000000007</v>
      </c>
    </row>
    <row r="70" spans="1:12" ht="13.5">
      <c r="A70" s="635">
        <v>6</v>
      </c>
      <c r="B70" s="636">
        <v>18</v>
      </c>
      <c r="C70" s="645" t="s">
        <v>597</v>
      </c>
      <c r="D70" s="512">
        <v>113012295.25</v>
      </c>
      <c r="E70" s="175">
        <v>112990397.84</v>
      </c>
      <c r="F70" s="513">
        <v>100</v>
      </c>
      <c r="G70" s="512">
        <v>117411062.92</v>
      </c>
      <c r="H70" s="175">
        <v>111002873.86</v>
      </c>
      <c r="I70" s="513">
        <v>94.5</v>
      </c>
      <c r="J70" s="651">
        <v>1987523.9800000042</v>
      </c>
      <c r="K70" s="176">
        <v>33784378.719999999</v>
      </c>
      <c r="L70" s="513">
        <v>29.9</v>
      </c>
    </row>
    <row r="71" spans="1:12" ht="13.5">
      <c r="A71" s="635">
        <v>6</v>
      </c>
      <c r="B71" s="636">
        <v>19</v>
      </c>
      <c r="C71" s="645" t="s">
        <v>625</v>
      </c>
      <c r="D71" s="512">
        <v>81408966.989999995</v>
      </c>
      <c r="E71" s="175">
        <v>81344900.409999996</v>
      </c>
      <c r="F71" s="513">
        <v>99.9</v>
      </c>
      <c r="G71" s="512">
        <v>82741291.569999993</v>
      </c>
      <c r="H71" s="175">
        <v>81301819.670000002</v>
      </c>
      <c r="I71" s="513">
        <v>98.3</v>
      </c>
      <c r="J71" s="651">
        <v>43080.739999994636</v>
      </c>
      <c r="K71" s="176">
        <v>11080709.27</v>
      </c>
      <c r="L71" s="513">
        <v>13.6</v>
      </c>
    </row>
    <row r="72" spans="1:12" ht="13.5">
      <c r="A72" s="635">
        <v>6</v>
      </c>
      <c r="B72" s="636">
        <v>20</v>
      </c>
      <c r="C72" s="645" t="s">
        <v>624</v>
      </c>
      <c r="D72" s="512">
        <v>114728548.90000001</v>
      </c>
      <c r="E72" s="175">
        <v>120194690.01000001</v>
      </c>
      <c r="F72" s="513">
        <v>104.8</v>
      </c>
      <c r="G72" s="512">
        <v>117088695.47</v>
      </c>
      <c r="H72" s="175">
        <v>102127036.90000001</v>
      </c>
      <c r="I72" s="513">
        <v>87.2</v>
      </c>
      <c r="J72" s="651">
        <v>18067653.109999999</v>
      </c>
      <c r="K72" s="176">
        <v>8500000</v>
      </c>
      <c r="L72" s="513">
        <v>7.1</v>
      </c>
    </row>
    <row r="73" spans="1:12" ht="13.5">
      <c r="A73" s="635">
        <v>8</v>
      </c>
      <c r="B73" s="636">
        <v>1</v>
      </c>
      <c r="C73" s="645" t="s">
        <v>623</v>
      </c>
      <c r="D73" s="512">
        <v>85225649.560000002</v>
      </c>
      <c r="E73" s="175">
        <v>80904321.319999993</v>
      </c>
      <c r="F73" s="513">
        <v>94.9</v>
      </c>
      <c r="G73" s="512">
        <v>105659498.56</v>
      </c>
      <c r="H73" s="175">
        <v>71470195.489999995</v>
      </c>
      <c r="I73" s="513">
        <v>67.599999999999994</v>
      </c>
      <c r="J73" s="651">
        <v>9434125.8299999982</v>
      </c>
      <c r="K73" s="176">
        <v>57211475.649999999</v>
      </c>
      <c r="L73" s="513">
        <v>70.7</v>
      </c>
    </row>
    <row r="74" spans="1:12" ht="13.5">
      <c r="A74" s="635">
        <v>8</v>
      </c>
      <c r="B74" s="636">
        <v>2</v>
      </c>
      <c r="C74" s="645" t="s">
        <v>522</v>
      </c>
      <c r="D74" s="512">
        <v>81092366.280000001</v>
      </c>
      <c r="E74" s="175">
        <v>82142402.819999993</v>
      </c>
      <c r="F74" s="513">
        <v>101.3</v>
      </c>
      <c r="G74" s="512">
        <v>79594019.280000001</v>
      </c>
      <c r="H74" s="175">
        <v>76353584.019999996</v>
      </c>
      <c r="I74" s="513">
        <v>95.9</v>
      </c>
      <c r="J74" s="651">
        <v>5788818.799999997</v>
      </c>
      <c r="K74" s="176">
        <v>15458000</v>
      </c>
      <c r="L74" s="513">
        <v>18.8</v>
      </c>
    </row>
    <row r="75" spans="1:12" ht="13.5">
      <c r="A75" s="635">
        <v>8</v>
      </c>
      <c r="B75" s="636">
        <v>3</v>
      </c>
      <c r="C75" s="645" t="s">
        <v>622</v>
      </c>
      <c r="D75" s="512">
        <v>107981079.09999999</v>
      </c>
      <c r="E75" s="175">
        <v>100936115.51000001</v>
      </c>
      <c r="F75" s="513">
        <v>93.5</v>
      </c>
      <c r="G75" s="512">
        <v>120834805.09999999</v>
      </c>
      <c r="H75" s="175">
        <v>98158948.620000005</v>
      </c>
      <c r="I75" s="513">
        <v>81.2</v>
      </c>
      <c r="J75" s="651">
        <v>2777166.8900000006</v>
      </c>
      <c r="K75" s="176">
        <v>19111666.359999999</v>
      </c>
      <c r="L75" s="513">
        <v>18.899999999999999</v>
      </c>
    </row>
    <row r="76" spans="1:12" ht="13.5">
      <c r="A76" s="635">
        <v>8</v>
      </c>
      <c r="B76" s="636">
        <v>4</v>
      </c>
      <c r="C76" s="645" t="s">
        <v>621</v>
      </c>
      <c r="D76" s="512">
        <v>112160930.03</v>
      </c>
      <c r="E76" s="175">
        <v>116149830.14</v>
      </c>
      <c r="F76" s="513">
        <v>103.6</v>
      </c>
      <c r="G76" s="512">
        <v>119360052.22</v>
      </c>
      <c r="H76" s="175">
        <v>105541952.16</v>
      </c>
      <c r="I76" s="513">
        <v>88.4</v>
      </c>
      <c r="J76" s="651">
        <v>10607877.980000004</v>
      </c>
      <c r="K76" s="176">
        <v>41200000</v>
      </c>
      <c r="L76" s="513">
        <v>35.5</v>
      </c>
    </row>
    <row r="77" spans="1:12" ht="13.5">
      <c r="A77" s="635">
        <v>8</v>
      </c>
      <c r="B77" s="636">
        <v>5</v>
      </c>
      <c r="C77" s="645" t="s">
        <v>620</v>
      </c>
      <c r="D77" s="512">
        <v>65014062.140000001</v>
      </c>
      <c r="E77" s="175">
        <v>63728496.280000001</v>
      </c>
      <c r="F77" s="513">
        <v>98</v>
      </c>
      <c r="G77" s="512">
        <v>57742259.140000001</v>
      </c>
      <c r="H77" s="175">
        <v>52169972.700000003</v>
      </c>
      <c r="I77" s="513">
        <v>90.3</v>
      </c>
      <c r="J77" s="651">
        <v>11558523.579999998</v>
      </c>
      <c r="K77" s="176">
        <v>14525476</v>
      </c>
      <c r="L77" s="513">
        <v>22.8</v>
      </c>
    </row>
    <row r="78" spans="1:12" ht="13.5">
      <c r="A78" s="635">
        <v>8</v>
      </c>
      <c r="B78" s="636">
        <v>6</v>
      </c>
      <c r="C78" s="645" t="s">
        <v>619</v>
      </c>
      <c r="D78" s="512">
        <v>63785034.789999999</v>
      </c>
      <c r="E78" s="175">
        <v>64566196.229999997</v>
      </c>
      <c r="F78" s="513">
        <v>101.2</v>
      </c>
      <c r="G78" s="512">
        <v>68564399.790000007</v>
      </c>
      <c r="H78" s="175">
        <v>60456945.560000002</v>
      </c>
      <c r="I78" s="513">
        <v>88.2</v>
      </c>
      <c r="J78" s="651">
        <v>4109250.6699999943</v>
      </c>
      <c r="K78" s="176">
        <v>4380000</v>
      </c>
      <c r="L78" s="513">
        <v>6.8</v>
      </c>
    </row>
    <row r="79" spans="1:12" ht="13.5">
      <c r="A79" s="635">
        <v>8</v>
      </c>
      <c r="B79" s="636">
        <v>7</v>
      </c>
      <c r="C79" s="645" t="s">
        <v>618</v>
      </c>
      <c r="D79" s="512">
        <v>53902798.32</v>
      </c>
      <c r="E79" s="175">
        <v>57047161.189999998</v>
      </c>
      <c r="F79" s="513">
        <v>105.8</v>
      </c>
      <c r="G79" s="512">
        <v>55897190.719999999</v>
      </c>
      <c r="H79" s="175">
        <v>52878575.280000001</v>
      </c>
      <c r="I79" s="513">
        <v>94.6</v>
      </c>
      <c r="J79" s="651">
        <v>4168585.9099999964</v>
      </c>
      <c r="K79" s="176">
        <v>11941500</v>
      </c>
      <c r="L79" s="513">
        <v>20.9</v>
      </c>
    </row>
    <row r="80" spans="1:12" ht="13.5">
      <c r="A80" s="635">
        <v>8</v>
      </c>
      <c r="B80" s="636">
        <v>8</v>
      </c>
      <c r="C80" s="645" t="s">
        <v>617</v>
      </c>
      <c r="D80" s="512">
        <v>83269206</v>
      </c>
      <c r="E80" s="175">
        <v>85113956.969999999</v>
      </c>
      <c r="F80" s="513">
        <v>102.2</v>
      </c>
      <c r="G80" s="512">
        <v>87568694</v>
      </c>
      <c r="H80" s="175">
        <v>83608989.670000002</v>
      </c>
      <c r="I80" s="513">
        <v>95.5</v>
      </c>
      <c r="J80" s="651">
        <v>1504967.299999997</v>
      </c>
      <c r="K80" s="176">
        <v>11000000</v>
      </c>
      <c r="L80" s="513">
        <v>12.9</v>
      </c>
    </row>
    <row r="81" spans="1:12" ht="13.5">
      <c r="A81" s="635">
        <v>8</v>
      </c>
      <c r="B81" s="636">
        <v>9</v>
      </c>
      <c r="C81" s="645" t="s">
        <v>616</v>
      </c>
      <c r="D81" s="512">
        <v>92618646.129999995</v>
      </c>
      <c r="E81" s="175">
        <v>95230625.620000005</v>
      </c>
      <c r="F81" s="513">
        <v>102.8</v>
      </c>
      <c r="G81" s="512">
        <v>103580571.13</v>
      </c>
      <c r="H81" s="175">
        <v>89574209.049999997</v>
      </c>
      <c r="I81" s="513">
        <v>86.5</v>
      </c>
      <c r="J81" s="651">
        <v>5656416.5700000077</v>
      </c>
      <c r="K81" s="176">
        <v>10000000</v>
      </c>
      <c r="L81" s="513">
        <v>10.5</v>
      </c>
    </row>
    <row r="82" spans="1:12" ht="13.5">
      <c r="A82" s="635">
        <v>8</v>
      </c>
      <c r="B82" s="636">
        <v>10</v>
      </c>
      <c r="C82" s="645" t="s">
        <v>615</v>
      </c>
      <c r="D82" s="512">
        <v>90291528.140000001</v>
      </c>
      <c r="E82" s="175">
        <v>92491873.290000007</v>
      </c>
      <c r="F82" s="513">
        <v>102.4</v>
      </c>
      <c r="G82" s="512">
        <v>102495977.79000001</v>
      </c>
      <c r="H82" s="175">
        <v>94242719.799999997</v>
      </c>
      <c r="I82" s="513">
        <v>91.9</v>
      </c>
      <c r="J82" s="651">
        <v>-1750846.5099999905</v>
      </c>
      <c r="K82" s="176">
        <v>18750000</v>
      </c>
      <c r="L82" s="513">
        <v>20.3</v>
      </c>
    </row>
    <row r="83" spans="1:12" ht="13.5">
      <c r="A83" s="635">
        <v>8</v>
      </c>
      <c r="B83" s="636">
        <v>11</v>
      </c>
      <c r="C83" s="645" t="s">
        <v>614</v>
      </c>
      <c r="D83" s="512">
        <v>134054854.40000001</v>
      </c>
      <c r="E83" s="175">
        <v>137969131.44</v>
      </c>
      <c r="F83" s="513">
        <v>102.9</v>
      </c>
      <c r="G83" s="512">
        <v>140337950.63999999</v>
      </c>
      <c r="H83" s="175">
        <v>128535576.26000001</v>
      </c>
      <c r="I83" s="513">
        <v>91.6</v>
      </c>
      <c r="J83" s="651">
        <v>9433555.1799999923</v>
      </c>
      <c r="K83" s="176">
        <v>14500000</v>
      </c>
      <c r="L83" s="513">
        <v>10.5</v>
      </c>
    </row>
    <row r="84" spans="1:12" ht="13.5">
      <c r="A84" s="635">
        <v>8</v>
      </c>
      <c r="B84" s="636">
        <v>12</v>
      </c>
      <c r="C84" s="645" t="s">
        <v>613</v>
      </c>
      <c r="D84" s="512">
        <v>59004473.479999997</v>
      </c>
      <c r="E84" s="175">
        <v>63006148.560000002</v>
      </c>
      <c r="F84" s="513">
        <v>106.8</v>
      </c>
      <c r="G84" s="512">
        <v>59739369.060000002</v>
      </c>
      <c r="H84" s="175">
        <v>49316905.640000001</v>
      </c>
      <c r="I84" s="513">
        <v>82.6</v>
      </c>
      <c r="J84" s="651">
        <v>13689242.920000002</v>
      </c>
      <c r="K84" s="176">
        <v>16755034</v>
      </c>
      <c r="L84" s="513">
        <v>26.6</v>
      </c>
    </row>
    <row r="85" spans="1:12" ht="13.5">
      <c r="A85" s="635">
        <v>10</v>
      </c>
      <c r="B85" s="636">
        <v>1</v>
      </c>
      <c r="C85" s="645" t="s">
        <v>612</v>
      </c>
      <c r="D85" s="512">
        <v>147310336</v>
      </c>
      <c r="E85" s="175">
        <v>149494834.06999999</v>
      </c>
      <c r="F85" s="513">
        <v>101.5</v>
      </c>
      <c r="G85" s="512">
        <v>141559567</v>
      </c>
      <c r="H85" s="175">
        <v>136943414.59</v>
      </c>
      <c r="I85" s="513">
        <v>96.7</v>
      </c>
      <c r="J85" s="651">
        <v>12551419.479999989</v>
      </c>
      <c r="K85" s="176">
        <v>34167129.960000001</v>
      </c>
      <c r="L85" s="513">
        <v>22.9</v>
      </c>
    </row>
    <row r="86" spans="1:12" ht="13.5">
      <c r="A86" s="635">
        <v>10</v>
      </c>
      <c r="B86" s="636">
        <v>2</v>
      </c>
      <c r="C86" s="645" t="s">
        <v>611</v>
      </c>
      <c r="D86" s="512">
        <v>147079456.16999999</v>
      </c>
      <c r="E86" s="175">
        <v>149883654.28999999</v>
      </c>
      <c r="F86" s="513">
        <v>101.9</v>
      </c>
      <c r="G86" s="512">
        <v>150318951.38</v>
      </c>
      <c r="H86" s="175">
        <v>142503467.61000001</v>
      </c>
      <c r="I86" s="513">
        <v>94.8</v>
      </c>
      <c r="J86" s="651">
        <v>7380186.6799999774</v>
      </c>
      <c r="K86" s="176">
        <v>6857074.9400000004</v>
      </c>
      <c r="L86" s="513">
        <v>4.5999999999999996</v>
      </c>
    </row>
    <row r="87" spans="1:12" ht="13.5">
      <c r="A87" s="635">
        <v>10</v>
      </c>
      <c r="B87" s="636">
        <v>3</v>
      </c>
      <c r="C87" s="645" t="s">
        <v>610</v>
      </c>
      <c r="D87" s="512">
        <v>59189104.600000001</v>
      </c>
      <c r="E87" s="175">
        <v>61009068.109999999</v>
      </c>
      <c r="F87" s="513">
        <v>103.1</v>
      </c>
      <c r="G87" s="512">
        <v>65032075.600000001</v>
      </c>
      <c r="H87" s="175">
        <v>58132326.75</v>
      </c>
      <c r="I87" s="513">
        <v>89.4</v>
      </c>
      <c r="J87" s="651">
        <v>2876741.3599999994</v>
      </c>
      <c r="K87" s="176">
        <v>11227475.539999999</v>
      </c>
      <c r="L87" s="513">
        <v>18.399999999999999</v>
      </c>
    </row>
    <row r="88" spans="1:12" ht="13.5">
      <c r="A88" s="635">
        <v>10</v>
      </c>
      <c r="B88" s="636">
        <v>4</v>
      </c>
      <c r="C88" s="645" t="s">
        <v>609</v>
      </c>
      <c r="D88" s="512">
        <v>75154319.129999995</v>
      </c>
      <c r="E88" s="175">
        <v>75697003.739999995</v>
      </c>
      <c r="F88" s="513">
        <v>100.7</v>
      </c>
      <c r="G88" s="512">
        <v>75675273.390000001</v>
      </c>
      <c r="H88" s="175">
        <v>70142241.540000007</v>
      </c>
      <c r="I88" s="513">
        <v>92.7</v>
      </c>
      <c r="J88" s="651">
        <v>5554762.1999999881</v>
      </c>
      <c r="K88" s="176">
        <v>932972.1</v>
      </c>
      <c r="L88" s="513">
        <v>1.2</v>
      </c>
    </row>
    <row r="89" spans="1:12" ht="13.5">
      <c r="A89" s="635">
        <v>10</v>
      </c>
      <c r="B89" s="636">
        <v>5</v>
      </c>
      <c r="C89" s="645" t="s">
        <v>608</v>
      </c>
      <c r="D89" s="512">
        <v>111608367.72</v>
      </c>
      <c r="E89" s="175">
        <v>110093722.27</v>
      </c>
      <c r="F89" s="513">
        <v>98.6</v>
      </c>
      <c r="G89" s="512">
        <v>124401838.45</v>
      </c>
      <c r="H89" s="175">
        <v>104451047.23</v>
      </c>
      <c r="I89" s="513">
        <v>84</v>
      </c>
      <c r="J89" s="651">
        <v>5642675.0399999917</v>
      </c>
      <c r="K89" s="176">
        <v>29713803.559999999</v>
      </c>
      <c r="L89" s="513">
        <v>27</v>
      </c>
    </row>
    <row r="90" spans="1:12" ht="13.5">
      <c r="A90" s="635">
        <v>10</v>
      </c>
      <c r="B90" s="636">
        <v>6</v>
      </c>
      <c r="C90" s="645" t="s">
        <v>607</v>
      </c>
      <c r="D90" s="512">
        <v>85616408.230000004</v>
      </c>
      <c r="E90" s="175">
        <v>86879994.450000003</v>
      </c>
      <c r="F90" s="513">
        <v>101.5</v>
      </c>
      <c r="G90" s="512">
        <v>85616408.230000004</v>
      </c>
      <c r="H90" s="175">
        <v>74184626.010000005</v>
      </c>
      <c r="I90" s="513">
        <v>86.6</v>
      </c>
      <c r="J90" s="651">
        <v>12695368.439999998</v>
      </c>
      <c r="K90" s="176">
        <v>0</v>
      </c>
      <c r="L90" s="513">
        <v>0</v>
      </c>
    </row>
    <row r="91" spans="1:12" ht="13.5">
      <c r="A91" s="635">
        <v>10</v>
      </c>
      <c r="B91" s="636">
        <v>7</v>
      </c>
      <c r="C91" s="645" t="s">
        <v>606</v>
      </c>
      <c r="D91" s="512">
        <v>99822054.239999995</v>
      </c>
      <c r="E91" s="175">
        <v>101518446.89</v>
      </c>
      <c r="F91" s="513">
        <v>101.7</v>
      </c>
      <c r="G91" s="512">
        <v>102578670.23999999</v>
      </c>
      <c r="H91" s="175">
        <v>92852810.519999996</v>
      </c>
      <c r="I91" s="513">
        <v>90.5</v>
      </c>
      <c r="J91" s="651">
        <v>8665636.3700000048</v>
      </c>
      <c r="K91" s="176">
        <v>18233809.52</v>
      </c>
      <c r="L91" s="513">
        <v>18</v>
      </c>
    </row>
    <row r="92" spans="1:12" ht="13.5">
      <c r="A92" s="635">
        <v>10</v>
      </c>
      <c r="B92" s="636">
        <v>8</v>
      </c>
      <c r="C92" s="645" t="s">
        <v>605</v>
      </c>
      <c r="D92" s="512">
        <v>129758074.69</v>
      </c>
      <c r="E92" s="175">
        <v>133429297.19</v>
      </c>
      <c r="F92" s="513">
        <v>102.8</v>
      </c>
      <c r="G92" s="512">
        <v>131717347.90000001</v>
      </c>
      <c r="H92" s="175">
        <v>122342492.31</v>
      </c>
      <c r="I92" s="513">
        <v>92.9</v>
      </c>
      <c r="J92" s="651">
        <v>11086804.879999995</v>
      </c>
      <c r="K92" s="176">
        <v>6421227</v>
      </c>
      <c r="L92" s="513">
        <v>4.8</v>
      </c>
    </row>
    <row r="93" spans="1:12" ht="13.5">
      <c r="A93" s="635">
        <v>10</v>
      </c>
      <c r="B93" s="636">
        <v>9</v>
      </c>
      <c r="C93" s="645" t="s">
        <v>604</v>
      </c>
      <c r="D93" s="512">
        <v>58392045.670000002</v>
      </c>
      <c r="E93" s="175">
        <v>59565341.640000001</v>
      </c>
      <c r="F93" s="513">
        <v>102</v>
      </c>
      <c r="G93" s="512">
        <v>59170100.960000001</v>
      </c>
      <c r="H93" s="175">
        <v>54909467.950000003</v>
      </c>
      <c r="I93" s="513">
        <v>92.8</v>
      </c>
      <c r="J93" s="651">
        <v>4655873.6899999976</v>
      </c>
      <c r="K93" s="176">
        <v>7338071.5199999996</v>
      </c>
      <c r="L93" s="513">
        <v>12.3</v>
      </c>
    </row>
    <row r="94" spans="1:12" ht="13.5">
      <c r="A94" s="635">
        <v>10</v>
      </c>
      <c r="B94" s="636">
        <v>10</v>
      </c>
      <c r="C94" s="645" t="s">
        <v>603</v>
      </c>
      <c r="D94" s="512">
        <v>91884392.989999995</v>
      </c>
      <c r="E94" s="175">
        <v>95834549.840000004</v>
      </c>
      <c r="F94" s="513">
        <v>104.3</v>
      </c>
      <c r="G94" s="512">
        <v>103617182.25</v>
      </c>
      <c r="H94" s="175">
        <v>90751495.519999996</v>
      </c>
      <c r="I94" s="513">
        <v>87.6</v>
      </c>
      <c r="J94" s="651">
        <v>5083054.3200000077</v>
      </c>
      <c r="K94" s="176">
        <v>31650677.539999999</v>
      </c>
      <c r="L94" s="513">
        <v>33</v>
      </c>
    </row>
    <row r="95" spans="1:12" ht="13.5">
      <c r="A95" s="635">
        <v>10</v>
      </c>
      <c r="B95" s="636">
        <v>11</v>
      </c>
      <c r="C95" s="645" t="s">
        <v>602</v>
      </c>
      <c r="D95" s="512">
        <v>53946907.960000001</v>
      </c>
      <c r="E95" s="175">
        <v>54296458.340000004</v>
      </c>
      <c r="F95" s="513">
        <v>100.6</v>
      </c>
      <c r="G95" s="512">
        <v>54853645.310000002</v>
      </c>
      <c r="H95" s="175">
        <v>51663525.299999997</v>
      </c>
      <c r="I95" s="513">
        <v>94.2</v>
      </c>
      <c r="J95" s="651">
        <v>2632933.0400000066</v>
      </c>
      <c r="K95" s="176">
        <v>15203931.949999999</v>
      </c>
      <c r="L95" s="513">
        <v>28</v>
      </c>
    </row>
    <row r="96" spans="1:12" ht="13.5">
      <c r="A96" s="635">
        <v>10</v>
      </c>
      <c r="B96" s="636">
        <v>12</v>
      </c>
      <c r="C96" s="645" t="s">
        <v>601</v>
      </c>
      <c r="D96" s="512">
        <v>133763561.18000001</v>
      </c>
      <c r="E96" s="175">
        <v>142791856.91999999</v>
      </c>
      <c r="F96" s="513">
        <v>106.7</v>
      </c>
      <c r="G96" s="512">
        <v>141777979.36000001</v>
      </c>
      <c r="H96" s="175">
        <v>130181952.14</v>
      </c>
      <c r="I96" s="513">
        <v>91.8</v>
      </c>
      <c r="J96" s="651">
        <v>12609904.779999986</v>
      </c>
      <c r="K96" s="176">
        <v>10163972</v>
      </c>
      <c r="L96" s="513">
        <v>7.1</v>
      </c>
    </row>
    <row r="97" spans="1:12" ht="13.5">
      <c r="A97" s="635">
        <v>10</v>
      </c>
      <c r="B97" s="636">
        <v>13</v>
      </c>
      <c r="C97" s="645" t="s">
        <v>600</v>
      </c>
      <c r="D97" s="512">
        <v>82905468</v>
      </c>
      <c r="E97" s="175">
        <v>92768314.519999996</v>
      </c>
      <c r="F97" s="513">
        <v>111.9</v>
      </c>
      <c r="G97" s="512">
        <v>92127572</v>
      </c>
      <c r="H97" s="175">
        <v>84785349.090000004</v>
      </c>
      <c r="I97" s="513">
        <v>92</v>
      </c>
      <c r="J97" s="651">
        <v>7982965.4299999923</v>
      </c>
      <c r="K97" s="176">
        <v>25659823.399999999</v>
      </c>
      <c r="L97" s="513">
        <v>27.7</v>
      </c>
    </row>
    <row r="98" spans="1:12" ht="13.5">
      <c r="A98" s="635">
        <v>10</v>
      </c>
      <c r="B98" s="636">
        <v>14</v>
      </c>
      <c r="C98" s="645" t="s">
        <v>599</v>
      </c>
      <c r="D98" s="512">
        <v>170458595.38</v>
      </c>
      <c r="E98" s="175">
        <v>173988950.13999999</v>
      </c>
      <c r="F98" s="513">
        <v>102.1</v>
      </c>
      <c r="G98" s="512">
        <v>170901099.91999999</v>
      </c>
      <c r="H98" s="175">
        <v>162014286.91</v>
      </c>
      <c r="I98" s="513">
        <v>94.8</v>
      </c>
      <c r="J98" s="651">
        <v>11974663.229999989</v>
      </c>
      <c r="K98" s="176">
        <v>18410776</v>
      </c>
      <c r="L98" s="513">
        <v>10.6</v>
      </c>
    </row>
    <row r="99" spans="1:12" ht="13.5">
      <c r="A99" s="635">
        <v>10</v>
      </c>
      <c r="B99" s="636">
        <v>15</v>
      </c>
      <c r="C99" s="645" t="s">
        <v>598</v>
      </c>
      <c r="D99" s="512">
        <v>31567683</v>
      </c>
      <c r="E99" s="175">
        <v>32180031.5</v>
      </c>
      <c r="F99" s="513">
        <v>101.9</v>
      </c>
      <c r="G99" s="512">
        <v>30958352</v>
      </c>
      <c r="H99" s="175">
        <v>29423729.609999999</v>
      </c>
      <c r="I99" s="513">
        <v>95</v>
      </c>
      <c r="J99" s="651">
        <v>2756301.8900000006</v>
      </c>
      <c r="K99" s="176">
        <v>123116.13</v>
      </c>
      <c r="L99" s="513">
        <v>0.4</v>
      </c>
    </row>
    <row r="100" spans="1:12" ht="13.5">
      <c r="A100" s="635">
        <v>10</v>
      </c>
      <c r="B100" s="636">
        <v>16</v>
      </c>
      <c r="C100" s="645" t="s">
        <v>597</v>
      </c>
      <c r="D100" s="512">
        <v>178799033.06999999</v>
      </c>
      <c r="E100" s="175">
        <v>180080737.00999999</v>
      </c>
      <c r="F100" s="513">
        <v>100.7</v>
      </c>
      <c r="G100" s="512">
        <v>188086707.06999999</v>
      </c>
      <c r="H100" s="175">
        <v>182476631.59999999</v>
      </c>
      <c r="I100" s="513">
        <v>97</v>
      </c>
      <c r="J100" s="651">
        <v>-2395894.5900000036</v>
      </c>
      <c r="K100" s="176">
        <v>58477759.960000001</v>
      </c>
      <c r="L100" s="513">
        <v>32.5</v>
      </c>
    </row>
    <row r="101" spans="1:12" ht="13.5">
      <c r="A101" s="635">
        <v>10</v>
      </c>
      <c r="B101" s="636">
        <v>17</v>
      </c>
      <c r="C101" s="645" t="s">
        <v>596</v>
      </c>
      <c r="D101" s="512">
        <v>107560778.19</v>
      </c>
      <c r="E101" s="175">
        <v>109505061.75</v>
      </c>
      <c r="F101" s="513">
        <v>101.8</v>
      </c>
      <c r="G101" s="512">
        <v>117495984.16</v>
      </c>
      <c r="H101" s="175">
        <v>107820373.12</v>
      </c>
      <c r="I101" s="513">
        <v>91.8</v>
      </c>
      <c r="J101" s="651">
        <v>1684688.6299999952</v>
      </c>
      <c r="K101" s="176">
        <v>11257360</v>
      </c>
      <c r="L101" s="513">
        <v>10.3</v>
      </c>
    </row>
    <row r="102" spans="1:12" ht="13.5">
      <c r="A102" s="635">
        <v>10</v>
      </c>
      <c r="B102" s="636">
        <v>18</v>
      </c>
      <c r="C102" s="645" t="s">
        <v>595</v>
      </c>
      <c r="D102" s="512">
        <v>61609021</v>
      </c>
      <c r="E102" s="175">
        <v>62337624.579999998</v>
      </c>
      <c r="F102" s="513">
        <v>101.2</v>
      </c>
      <c r="G102" s="512">
        <v>59609021</v>
      </c>
      <c r="H102" s="175">
        <v>57032767.009999998</v>
      </c>
      <c r="I102" s="513">
        <v>95.7</v>
      </c>
      <c r="J102" s="651">
        <v>5304857.57</v>
      </c>
      <c r="K102" s="176">
        <v>9500000</v>
      </c>
      <c r="L102" s="513">
        <v>15.2</v>
      </c>
    </row>
    <row r="103" spans="1:12" ht="13.5">
      <c r="A103" s="635">
        <v>10</v>
      </c>
      <c r="B103" s="636">
        <v>19</v>
      </c>
      <c r="C103" s="645" t="s">
        <v>594</v>
      </c>
      <c r="D103" s="512">
        <v>103128855.59999999</v>
      </c>
      <c r="E103" s="175">
        <v>106372289.95999999</v>
      </c>
      <c r="F103" s="513">
        <v>103.1</v>
      </c>
      <c r="G103" s="512">
        <v>108813469.59999999</v>
      </c>
      <c r="H103" s="175">
        <v>104724835.44</v>
      </c>
      <c r="I103" s="513">
        <v>96.2</v>
      </c>
      <c r="J103" s="651">
        <v>1647454.5199999958</v>
      </c>
      <c r="K103" s="176">
        <v>48500636.509999998</v>
      </c>
      <c r="L103" s="513">
        <v>45.6</v>
      </c>
    </row>
    <row r="104" spans="1:12" ht="13.5">
      <c r="A104" s="635">
        <v>10</v>
      </c>
      <c r="B104" s="636">
        <v>20</v>
      </c>
      <c r="C104" s="645" t="s">
        <v>593</v>
      </c>
      <c r="D104" s="512">
        <v>198909325.77000001</v>
      </c>
      <c r="E104" s="175">
        <v>199262060.66999999</v>
      </c>
      <c r="F104" s="513">
        <v>100.2</v>
      </c>
      <c r="G104" s="512">
        <v>209449596.47999999</v>
      </c>
      <c r="H104" s="175">
        <v>196062020.03</v>
      </c>
      <c r="I104" s="513">
        <v>93.6</v>
      </c>
      <c r="J104" s="651">
        <v>3200040.6399999857</v>
      </c>
      <c r="K104" s="176">
        <v>24664338.190000001</v>
      </c>
      <c r="L104" s="513">
        <v>12.4</v>
      </c>
    </row>
    <row r="105" spans="1:12" ht="13.5">
      <c r="A105" s="635">
        <v>10</v>
      </c>
      <c r="B105" s="636">
        <v>21</v>
      </c>
      <c r="C105" s="645" t="s">
        <v>592</v>
      </c>
      <c r="D105" s="512">
        <v>42817500.170000002</v>
      </c>
      <c r="E105" s="175">
        <v>43068894.07</v>
      </c>
      <c r="F105" s="513">
        <v>100.6</v>
      </c>
      <c r="G105" s="512">
        <v>44743425.390000001</v>
      </c>
      <c r="H105" s="175">
        <v>42420913.229999997</v>
      </c>
      <c r="I105" s="513">
        <v>94.8</v>
      </c>
      <c r="J105" s="651">
        <v>647980.84000000358</v>
      </c>
      <c r="K105" s="176">
        <v>14875413.08</v>
      </c>
      <c r="L105" s="513">
        <v>34.5</v>
      </c>
    </row>
    <row r="106" spans="1:12" ht="13.5">
      <c r="A106" s="635">
        <v>12</v>
      </c>
      <c r="B106" s="636">
        <v>1</v>
      </c>
      <c r="C106" s="645" t="s">
        <v>591</v>
      </c>
      <c r="D106" s="512">
        <v>136546860.13999999</v>
      </c>
      <c r="E106" s="175">
        <v>140614234.50999999</v>
      </c>
      <c r="F106" s="513">
        <v>103</v>
      </c>
      <c r="G106" s="512">
        <v>151435648.44999999</v>
      </c>
      <c r="H106" s="175">
        <v>147759561.97</v>
      </c>
      <c r="I106" s="513">
        <v>97.6</v>
      </c>
      <c r="J106" s="651">
        <v>-7145327.4600000083</v>
      </c>
      <c r="K106" s="176">
        <v>61712236</v>
      </c>
      <c r="L106" s="513">
        <v>43.9</v>
      </c>
    </row>
    <row r="107" spans="1:12" ht="13.5">
      <c r="A107" s="635">
        <v>12</v>
      </c>
      <c r="B107" s="636">
        <v>2</v>
      </c>
      <c r="C107" s="645" t="s">
        <v>539</v>
      </c>
      <c r="D107" s="512">
        <v>105291514.98</v>
      </c>
      <c r="E107" s="175">
        <v>110629243.72</v>
      </c>
      <c r="F107" s="513">
        <v>105.1</v>
      </c>
      <c r="G107" s="512">
        <v>114518431.43000001</v>
      </c>
      <c r="H107" s="175">
        <v>109398484.3</v>
      </c>
      <c r="I107" s="513">
        <v>95.5</v>
      </c>
      <c r="J107" s="651">
        <v>1230759.4200000018</v>
      </c>
      <c r="K107" s="176">
        <v>37933000</v>
      </c>
      <c r="L107" s="513">
        <v>34.299999999999997</v>
      </c>
    </row>
    <row r="108" spans="1:12" ht="13.5">
      <c r="A108" s="635">
        <v>12</v>
      </c>
      <c r="B108" s="636">
        <v>3</v>
      </c>
      <c r="C108" s="645" t="s">
        <v>590</v>
      </c>
      <c r="D108" s="512">
        <v>125157025.12</v>
      </c>
      <c r="E108" s="175">
        <v>134841055.06999999</v>
      </c>
      <c r="F108" s="513">
        <v>107.7</v>
      </c>
      <c r="G108" s="512">
        <v>134264699.59</v>
      </c>
      <c r="H108" s="175">
        <v>127977283.09999999</v>
      </c>
      <c r="I108" s="513">
        <v>95.3</v>
      </c>
      <c r="J108" s="651">
        <v>6863771.9699999988</v>
      </c>
      <c r="K108" s="176">
        <v>30290000</v>
      </c>
      <c r="L108" s="513">
        <v>22.5</v>
      </c>
    </row>
    <row r="109" spans="1:12" ht="13.5">
      <c r="A109" s="635">
        <v>12</v>
      </c>
      <c r="B109" s="636">
        <v>4</v>
      </c>
      <c r="C109" s="645" t="s">
        <v>589</v>
      </c>
      <c r="D109" s="512">
        <v>64868560</v>
      </c>
      <c r="E109" s="175">
        <v>68396973.879999995</v>
      </c>
      <c r="F109" s="513">
        <v>105.4</v>
      </c>
      <c r="G109" s="512">
        <v>63177596</v>
      </c>
      <c r="H109" s="175">
        <v>58885955.659999996</v>
      </c>
      <c r="I109" s="513">
        <v>93.2</v>
      </c>
      <c r="J109" s="651">
        <v>9511018.2199999988</v>
      </c>
      <c r="K109" s="176">
        <v>9637858</v>
      </c>
      <c r="L109" s="513">
        <v>14.1</v>
      </c>
    </row>
    <row r="110" spans="1:12" ht="13.5">
      <c r="A110" s="635">
        <v>12</v>
      </c>
      <c r="B110" s="636">
        <v>5</v>
      </c>
      <c r="C110" s="645" t="s">
        <v>588</v>
      </c>
      <c r="D110" s="512">
        <v>144473303</v>
      </c>
      <c r="E110" s="175">
        <v>152269712.58000001</v>
      </c>
      <c r="F110" s="513">
        <v>105.4</v>
      </c>
      <c r="G110" s="512">
        <v>152790140</v>
      </c>
      <c r="H110" s="175">
        <v>149563054.94</v>
      </c>
      <c r="I110" s="513">
        <v>97.9</v>
      </c>
      <c r="J110" s="651">
        <v>2706657.6400000155</v>
      </c>
      <c r="K110" s="176">
        <v>28591992.93</v>
      </c>
      <c r="L110" s="513">
        <v>18.8</v>
      </c>
    </row>
    <row r="111" spans="1:12" ht="13.5">
      <c r="A111" s="635">
        <v>12</v>
      </c>
      <c r="B111" s="636">
        <v>6</v>
      </c>
      <c r="C111" s="645" t="s">
        <v>587</v>
      </c>
      <c r="D111" s="512">
        <v>292010885</v>
      </c>
      <c r="E111" s="175">
        <v>325469216.25</v>
      </c>
      <c r="F111" s="513">
        <v>111.5</v>
      </c>
      <c r="G111" s="512">
        <v>324434711</v>
      </c>
      <c r="H111" s="175">
        <v>293006119.12</v>
      </c>
      <c r="I111" s="513">
        <v>90.3</v>
      </c>
      <c r="J111" s="651">
        <v>32463097.129999995</v>
      </c>
      <c r="K111" s="176">
        <v>9618810.1199999992</v>
      </c>
      <c r="L111" s="513">
        <v>3</v>
      </c>
    </row>
    <row r="112" spans="1:12" ht="13.5">
      <c r="A112" s="635">
        <v>12</v>
      </c>
      <c r="B112" s="636">
        <v>7</v>
      </c>
      <c r="C112" s="645" t="s">
        <v>586</v>
      </c>
      <c r="D112" s="512">
        <v>172972536.38</v>
      </c>
      <c r="E112" s="175">
        <v>179478561.19999999</v>
      </c>
      <c r="F112" s="513">
        <v>103.8</v>
      </c>
      <c r="G112" s="512">
        <v>186496600.46000001</v>
      </c>
      <c r="H112" s="175">
        <v>175056795.28</v>
      </c>
      <c r="I112" s="513">
        <v>93.9</v>
      </c>
      <c r="J112" s="651">
        <v>4421765.9199999869</v>
      </c>
      <c r="K112" s="176">
        <v>61086387</v>
      </c>
      <c r="L112" s="513">
        <v>34</v>
      </c>
    </row>
    <row r="113" spans="1:12" ht="13.5">
      <c r="A113" s="635">
        <v>12</v>
      </c>
      <c r="B113" s="636">
        <v>8</v>
      </c>
      <c r="C113" s="645" t="s">
        <v>585</v>
      </c>
      <c r="D113" s="512">
        <v>85637420.379999995</v>
      </c>
      <c r="E113" s="175">
        <v>89004298.310000002</v>
      </c>
      <c r="F113" s="513">
        <v>103.9</v>
      </c>
      <c r="G113" s="512">
        <v>98439676.549999997</v>
      </c>
      <c r="H113" s="175">
        <v>93235348.810000002</v>
      </c>
      <c r="I113" s="513">
        <v>94.7</v>
      </c>
      <c r="J113" s="651">
        <v>-4231050.5</v>
      </c>
      <c r="K113" s="176">
        <v>19343161.539999999</v>
      </c>
      <c r="L113" s="513">
        <v>21.7</v>
      </c>
    </row>
    <row r="114" spans="1:12" ht="13.5">
      <c r="A114" s="635">
        <v>12</v>
      </c>
      <c r="B114" s="636">
        <v>9</v>
      </c>
      <c r="C114" s="645" t="s">
        <v>584</v>
      </c>
      <c r="D114" s="512">
        <v>137558772</v>
      </c>
      <c r="E114" s="175">
        <v>154199086.69</v>
      </c>
      <c r="F114" s="513">
        <v>112.1</v>
      </c>
      <c r="G114" s="512">
        <v>145315537</v>
      </c>
      <c r="H114" s="175">
        <v>140852910.72</v>
      </c>
      <c r="I114" s="513">
        <v>96.9</v>
      </c>
      <c r="J114" s="651">
        <v>13346175.969999999</v>
      </c>
      <c r="K114" s="176">
        <v>27202703.199999999</v>
      </c>
      <c r="L114" s="513">
        <v>17.600000000000001</v>
      </c>
    </row>
    <row r="115" spans="1:12" ht="13.5">
      <c r="A115" s="635">
        <v>12</v>
      </c>
      <c r="B115" s="636">
        <v>10</v>
      </c>
      <c r="C115" s="645" t="s">
        <v>583</v>
      </c>
      <c r="D115" s="512">
        <v>192960415.33000001</v>
      </c>
      <c r="E115" s="175">
        <v>207912811.25</v>
      </c>
      <c r="F115" s="513">
        <v>107.7</v>
      </c>
      <c r="G115" s="512">
        <v>227513269.33000001</v>
      </c>
      <c r="H115" s="175">
        <v>208125348.09</v>
      </c>
      <c r="I115" s="513">
        <v>91.5</v>
      </c>
      <c r="J115" s="651">
        <v>-212536.84000000358</v>
      </c>
      <c r="K115" s="176">
        <v>61848000</v>
      </c>
      <c r="L115" s="513">
        <v>29.7</v>
      </c>
    </row>
    <row r="116" spans="1:12" ht="13.5">
      <c r="A116" s="635">
        <v>12</v>
      </c>
      <c r="B116" s="636">
        <v>11</v>
      </c>
      <c r="C116" s="645" t="s">
        <v>582</v>
      </c>
      <c r="D116" s="512">
        <v>216625135.11000001</v>
      </c>
      <c r="E116" s="175">
        <v>229526376.72999999</v>
      </c>
      <c r="F116" s="513">
        <v>106</v>
      </c>
      <c r="G116" s="512">
        <v>218317381.55000001</v>
      </c>
      <c r="H116" s="175">
        <v>204019723.83000001</v>
      </c>
      <c r="I116" s="513">
        <v>93.5</v>
      </c>
      <c r="J116" s="651">
        <v>25506652.899999976</v>
      </c>
      <c r="K116" s="176">
        <v>22481004</v>
      </c>
      <c r="L116" s="513">
        <v>9.8000000000000007</v>
      </c>
    </row>
    <row r="117" spans="1:12" ht="13.5">
      <c r="A117" s="635">
        <v>12</v>
      </c>
      <c r="B117" s="636">
        <v>12</v>
      </c>
      <c r="C117" s="645" t="s">
        <v>581</v>
      </c>
      <c r="D117" s="512">
        <v>146344717.56999999</v>
      </c>
      <c r="E117" s="175">
        <v>153727397.16</v>
      </c>
      <c r="F117" s="513">
        <v>105</v>
      </c>
      <c r="G117" s="512">
        <v>158587431.19</v>
      </c>
      <c r="H117" s="175">
        <v>147095912.47999999</v>
      </c>
      <c r="I117" s="513">
        <v>92.8</v>
      </c>
      <c r="J117" s="651">
        <v>6631484.6800000072</v>
      </c>
      <c r="K117" s="176">
        <v>18300000</v>
      </c>
      <c r="L117" s="513">
        <v>11.9</v>
      </c>
    </row>
    <row r="118" spans="1:12" ht="13.5">
      <c r="A118" s="635">
        <v>12</v>
      </c>
      <c r="B118" s="636">
        <v>13</v>
      </c>
      <c r="C118" s="645" t="s">
        <v>580</v>
      </c>
      <c r="D118" s="512">
        <v>211598881</v>
      </c>
      <c r="E118" s="175">
        <v>220836589.94</v>
      </c>
      <c r="F118" s="513">
        <v>104.4</v>
      </c>
      <c r="G118" s="512">
        <v>226536277</v>
      </c>
      <c r="H118" s="175">
        <v>213684195.43000001</v>
      </c>
      <c r="I118" s="513">
        <v>94.3</v>
      </c>
      <c r="J118" s="651">
        <v>7152394.5099999905</v>
      </c>
      <c r="K118" s="176">
        <v>32180000</v>
      </c>
      <c r="L118" s="513">
        <v>14.6</v>
      </c>
    </row>
    <row r="119" spans="1:12" ht="13.5">
      <c r="A119" s="635">
        <v>12</v>
      </c>
      <c r="B119" s="636">
        <v>14</v>
      </c>
      <c r="C119" s="645" t="s">
        <v>579</v>
      </c>
      <c r="D119" s="512">
        <v>56944149.829999998</v>
      </c>
      <c r="E119" s="175">
        <v>58019943.119999997</v>
      </c>
      <c r="F119" s="513">
        <v>101.9</v>
      </c>
      <c r="G119" s="512">
        <v>65869540.329999998</v>
      </c>
      <c r="H119" s="175">
        <v>56145517.530000001</v>
      </c>
      <c r="I119" s="513">
        <v>85.2</v>
      </c>
      <c r="J119" s="651">
        <v>1874425.5899999961</v>
      </c>
      <c r="K119" s="176">
        <v>2330000</v>
      </c>
      <c r="L119" s="513">
        <v>4</v>
      </c>
    </row>
    <row r="120" spans="1:12" ht="13.5">
      <c r="A120" s="635">
        <v>12</v>
      </c>
      <c r="B120" s="636">
        <v>15</v>
      </c>
      <c r="C120" s="645" t="s">
        <v>578</v>
      </c>
      <c r="D120" s="512">
        <v>112074599.25</v>
      </c>
      <c r="E120" s="175">
        <v>113811600.90000001</v>
      </c>
      <c r="F120" s="513">
        <v>101.5</v>
      </c>
      <c r="G120" s="512">
        <v>128515323.91</v>
      </c>
      <c r="H120" s="175">
        <v>120410497.94</v>
      </c>
      <c r="I120" s="513">
        <v>93.7</v>
      </c>
      <c r="J120" s="651">
        <v>-6598897.0399999917</v>
      </c>
      <c r="K120" s="176">
        <v>24264849.120000001</v>
      </c>
      <c r="L120" s="513">
        <v>21.3</v>
      </c>
    </row>
    <row r="121" spans="1:12" ht="13.5">
      <c r="A121" s="635">
        <v>12</v>
      </c>
      <c r="B121" s="636">
        <v>16</v>
      </c>
      <c r="C121" s="645" t="s">
        <v>577</v>
      </c>
      <c r="D121" s="512">
        <v>201497490.31999999</v>
      </c>
      <c r="E121" s="175">
        <v>215166827.28</v>
      </c>
      <c r="F121" s="513">
        <v>106.8</v>
      </c>
      <c r="G121" s="512">
        <v>217640128.28</v>
      </c>
      <c r="H121" s="175">
        <v>205095889.47999999</v>
      </c>
      <c r="I121" s="513">
        <v>94.2</v>
      </c>
      <c r="J121" s="651">
        <v>10070937.800000012</v>
      </c>
      <c r="K121" s="176">
        <v>34347416</v>
      </c>
      <c r="L121" s="513">
        <v>16</v>
      </c>
    </row>
    <row r="122" spans="1:12" ht="13.5">
      <c r="A122" s="635">
        <v>12</v>
      </c>
      <c r="B122" s="636">
        <v>17</v>
      </c>
      <c r="C122" s="645" t="s">
        <v>576</v>
      </c>
      <c r="D122" s="512">
        <v>79720907.219999999</v>
      </c>
      <c r="E122" s="175">
        <v>85102334.310000002</v>
      </c>
      <c r="F122" s="513">
        <v>106.8</v>
      </c>
      <c r="G122" s="512">
        <v>89751427.760000005</v>
      </c>
      <c r="H122" s="175">
        <v>80494032.609999999</v>
      </c>
      <c r="I122" s="513">
        <v>89.7</v>
      </c>
      <c r="J122" s="651">
        <v>4608301.700000003</v>
      </c>
      <c r="K122" s="176">
        <v>1350000</v>
      </c>
      <c r="L122" s="513">
        <v>1.6</v>
      </c>
    </row>
    <row r="123" spans="1:12" ht="13.5">
      <c r="A123" s="635">
        <v>12</v>
      </c>
      <c r="B123" s="636">
        <v>18</v>
      </c>
      <c r="C123" s="645" t="s">
        <v>575</v>
      </c>
      <c r="D123" s="512">
        <v>192075613.21000001</v>
      </c>
      <c r="E123" s="175">
        <v>208264890.37</v>
      </c>
      <c r="F123" s="513">
        <v>108.4</v>
      </c>
      <c r="G123" s="512">
        <v>213616080.19999999</v>
      </c>
      <c r="H123" s="175">
        <v>203397479.94999999</v>
      </c>
      <c r="I123" s="513">
        <v>95.2</v>
      </c>
      <c r="J123" s="651">
        <v>4867410.4200000167</v>
      </c>
      <c r="K123" s="176">
        <v>10612500</v>
      </c>
      <c r="L123" s="513">
        <v>5.0999999999999996</v>
      </c>
    </row>
    <row r="124" spans="1:12" ht="13.5">
      <c r="A124" s="635">
        <v>12</v>
      </c>
      <c r="B124" s="636">
        <v>19</v>
      </c>
      <c r="C124" s="645" t="s">
        <v>574</v>
      </c>
      <c r="D124" s="512">
        <v>114543651.63</v>
      </c>
      <c r="E124" s="175">
        <v>130533010.89</v>
      </c>
      <c r="F124" s="513">
        <v>114</v>
      </c>
      <c r="G124" s="512">
        <v>116366036.72</v>
      </c>
      <c r="H124" s="175">
        <v>109793870.42</v>
      </c>
      <c r="I124" s="513">
        <v>94.4</v>
      </c>
      <c r="J124" s="651">
        <v>20739140.469999999</v>
      </c>
      <c r="K124" s="176">
        <v>45611825.840000004</v>
      </c>
      <c r="L124" s="513">
        <v>34.9</v>
      </c>
    </row>
    <row r="125" spans="1:12" ht="13.5">
      <c r="A125" s="635">
        <v>14</v>
      </c>
      <c r="B125" s="636">
        <v>1</v>
      </c>
      <c r="C125" s="645" t="s">
        <v>573</v>
      </c>
      <c r="D125" s="512">
        <v>44933760.100000001</v>
      </c>
      <c r="E125" s="175">
        <v>46754795.270000003</v>
      </c>
      <c r="F125" s="513">
        <v>104.1</v>
      </c>
      <c r="G125" s="512">
        <v>50858650.409999996</v>
      </c>
      <c r="H125" s="175">
        <v>47942978.899999999</v>
      </c>
      <c r="I125" s="513">
        <v>94.3</v>
      </c>
      <c r="J125" s="651">
        <v>-1188183.6299999952</v>
      </c>
      <c r="K125" s="176">
        <v>2259538.46</v>
      </c>
      <c r="L125" s="513">
        <v>4.8</v>
      </c>
    </row>
    <row r="126" spans="1:12" ht="13.5">
      <c r="A126" s="635">
        <v>14</v>
      </c>
      <c r="B126" s="636">
        <v>2</v>
      </c>
      <c r="C126" s="645" t="s">
        <v>572</v>
      </c>
      <c r="D126" s="512">
        <v>130755264.59</v>
      </c>
      <c r="E126" s="175">
        <v>135511935.65000001</v>
      </c>
      <c r="F126" s="513">
        <v>103.6</v>
      </c>
      <c r="G126" s="512">
        <v>139127691.78999999</v>
      </c>
      <c r="H126" s="175">
        <v>133450436.98</v>
      </c>
      <c r="I126" s="513">
        <v>95.9</v>
      </c>
      <c r="J126" s="651">
        <v>2061498.6700000018</v>
      </c>
      <c r="K126" s="176">
        <v>38043934</v>
      </c>
      <c r="L126" s="513">
        <v>28.1</v>
      </c>
    </row>
    <row r="127" spans="1:12" ht="13.5">
      <c r="A127" s="635">
        <v>14</v>
      </c>
      <c r="B127" s="636">
        <v>3</v>
      </c>
      <c r="C127" s="645" t="s">
        <v>571</v>
      </c>
      <c r="D127" s="512">
        <v>156999862.71000001</v>
      </c>
      <c r="E127" s="175">
        <v>160518581.65000001</v>
      </c>
      <c r="F127" s="513">
        <v>102.2</v>
      </c>
      <c r="G127" s="512">
        <v>158817914.59</v>
      </c>
      <c r="H127" s="175">
        <v>142414153.56</v>
      </c>
      <c r="I127" s="513">
        <v>89.7</v>
      </c>
      <c r="J127" s="651">
        <v>18104428.090000004</v>
      </c>
      <c r="K127" s="176">
        <v>34091394.899999999</v>
      </c>
      <c r="L127" s="513">
        <v>21.2</v>
      </c>
    </row>
    <row r="128" spans="1:12" ht="13.5">
      <c r="A128" s="635">
        <v>14</v>
      </c>
      <c r="B128" s="636">
        <v>4</v>
      </c>
      <c r="C128" s="645" t="s">
        <v>570</v>
      </c>
      <c r="D128" s="512">
        <v>76403051</v>
      </c>
      <c r="E128" s="175">
        <v>71888581.579999998</v>
      </c>
      <c r="F128" s="513">
        <v>94.1</v>
      </c>
      <c r="G128" s="512">
        <v>77803051</v>
      </c>
      <c r="H128" s="175">
        <v>70452389.879999995</v>
      </c>
      <c r="I128" s="513">
        <v>90.6</v>
      </c>
      <c r="J128" s="651">
        <v>1436191.700000003</v>
      </c>
      <c r="K128" s="176">
        <v>5512796.4000000004</v>
      </c>
      <c r="L128" s="513">
        <v>7.7</v>
      </c>
    </row>
    <row r="129" spans="1:12" ht="13.5">
      <c r="A129" s="635">
        <v>14</v>
      </c>
      <c r="B129" s="636">
        <v>5</v>
      </c>
      <c r="C129" s="645" t="s">
        <v>425</v>
      </c>
      <c r="D129" s="512">
        <v>140132106.59999999</v>
      </c>
      <c r="E129" s="175">
        <v>144573943.65000001</v>
      </c>
      <c r="F129" s="513">
        <v>103.2</v>
      </c>
      <c r="G129" s="512">
        <v>148164711.55000001</v>
      </c>
      <c r="H129" s="175">
        <v>141891061.43000001</v>
      </c>
      <c r="I129" s="513">
        <v>95.8</v>
      </c>
      <c r="J129" s="651">
        <v>2682882.2199999988</v>
      </c>
      <c r="K129" s="176">
        <v>15136583</v>
      </c>
      <c r="L129" s="513">
        <v>10.5</v>
      </c>
    </row>
    <row r="130" spans="1:12" ht="13.5">
      <c r="A130" s="635">
        <v>14</v>
      </c>
      <c r="B130" s="636">
        <v>6</v>
      </c>
      <c r="C130" s="645" t="s">
        <v>569</v>
      </c>
      <c r="D130" s="512">
        <v>153576201.83000001</v>
      </c>
      <c r="E130" s="175">
        <v>149831245.24000001</v>
      </c>
      <c r="F130" s="513">
        <v>97.6</v>
      </c>
      <c r="G130" s="512">
        <v>151678111.03</v>
      </c>
      <c r="H130" s="175">
        <v>145186638.65000001</v>
      </c>
      <c r="I130" s="513">
        <v>95.7</v>
      </c>
      <c r="J130" s="651">
        <v>4644606.5900000036</v>
      </c>
      <c r="K130" s="176">
        <v>24104520.41</v>
      </c>
      <c r="L130" s="513">
        <v>16.100000000000001</v>
      </c>
    </row>
    <row r="131" spans="1:12" ht="13.5">
      <c r="A131" s="635">
        <v>14</v>
      </c>
      <c r="B131" s="636">
        <v>7</v>
      </c>
      <c r="C131" s="645" t="s">
        <v>568</v>
      </c>
      <c r="D131" s="512">
        <v>74230092.879999995</v>
      </c>
      <c r="E131" s="175">
        <v>74692154.079999998</v>
      </c>
      <c r="F131" s="513">
        <v>100.6</v>
      </c>
      <c r="G131" s="512">
        <v>81990777.719999999</v>
      </c>
      <c r="H131" s="175">
        <v>70417276.170000002</v>
      </c>
      <c r="I131" s="513">
        <v>85.9</v>
      </c>
      <c r="J131" s="651">
        <v>4274877.9099999964</v>
      </c>
      <c r="K131" s="176">
        <v>7500000</v>
      </c>
      <c r="L131" s="513">
        <v>10</v>
      </c>
    </row>
    <row r="132" spans="1:12" ht="13.5">
      <c r="A132" s="635">
        <v>14</v>
      </c>
      <c r="B132" s="636">
        <v>8</v>
      </c>
      <c r="C132" s="645" t="s">
        <v>567</v>
      </c>
      <c r="D132" s="512">
        <v>144247320.37</v>
      </c>
      <c r="E132" s="175">
        <v>147498957.88</v>
      </c>
      <c r="F132" s="513">
        <v>102.3</v>
      </c>
      <c r="G132" s="512">
        <v>137100637.16999999</v>
      </c>
      <c r="H132" s="175">
        <v>131621771.8</v>
      </c>
      <c r="I132" s="513">
        <v>96</v>
      </c>
      <c r="J132" s="651">
        <v>15877186.079999998</v>
      </c>
      <c r="K132" s="176">
        <v>2036398.12</v>
      </c>
      <c r="L132" s="513">
        <v>1.4</v>
      </c>
    </row>
    <row r="133" spans="1:12" ht="13.5">
      <c r="A133" s="635">
        <v>14</v>
      </c>
      <c r="B133" s="636">
        <v>9</v>
      </c>
      <c r="C133" s="645" t="s">
        <v>566</v>
      </c>
      <c r="D133" s="512">
        <v>70527557.609999999</v>
      </c>
      <c r="E133" s="175">
        <v>70136394.549999997</v>
      </c>
      <c r="F133" s="513">
        <v>99.4</v>
      </c>
      <c r="G133" s="512">
        <v>75745969.379999995</v>
      </c>
      <c r="H133" s="175">
        <v>69347668.900000006</v>
      </c>
      <c r="I133" s="513">
        <v>91.6</v>
      </c>
      <c r="J133" s="651">
        <v>788725.64999999106</v>
      </c>
      <c r="K133" s="176">
        <v>4272000</v>
      </c>
      <c r="L133" s="513">
        <v>6.1</v>
      </c>
    </row>
    <row r="134" spans="1:12" ht="13.5">
      <c r="A134" s="635">
        <v>14</v>
      </c>
      <c r="B134" s="636">
        <v>10</v>
      </c>
      <c r="C134" s="645" t="s">
        <v>565</v>
      </c>
      <c r="D134" s="512">
        <v>46686540.009999998</v>
      </c>
      <c r="E134" s="175">
        <v>47420161.700000003</v>
      </c>
      <c r="F134" s="513">
        <v>101.6</v>
      </c>
      <c r="G134" s="512">
        <v>48628176.009999998</v>
      </c>
      <c r="H134" s="175">
        <v>46544350.149999999</v>
      </c>
      <c r="I134" s="513">
        <v>95.7</v>
      </c>
      <c r="J134" s="651">
        <v>875811.55000000447</v>
      </c>
      <c r="K134" s="176">
        <v>6598942</v>
      </c>
      <c r="L134" s="513">
        <v>13.9</v>
      </c>
    </row>
    <row r="135" spans="1:12" ht="13.5">
      <c r="A135" s="635">
        <v>14</v>
      </c>
      <c r="B135" s="636">
        <v>11</v>
      </c>
      <c r="C135" s="645" t="s">
        <v>564</v>
      </c>
      <c r="D135" s="512">
        <v>72610855.859999999</v>
      </c>
      <c r="E135" s="175">
        <v>72820509.810000002</v>
      </c>
      <c r="F135" s="513">
        <v>100.3</v>
      </c>
      <c r="G135" s="512">
        <v>76198754.859999999</v>
      </c>
      <c r="H135" s="175">
        <v>74510798.950000003</v>
      </c>
      <c r="I135" s="513">
        <v>97.8</v>
      </c>
      <c r="J135" s="651">
        <v>-1690289.1400000006</v>
      </c>
      <c r="K135" s="176">
        <v>10253199.99</v>
      </c>
      <c r="L135" s="513">
        <v>14.1</v>
      </c>
    </row>
    <row r="136" spans="1:12" ht="13.5">
      <c r="A136" s="635">
        <v>14</v>
      </c>
      <c r="B136" s="636">
        <v>12</v>
      </c>
      <c r="C136" s="645" t="s">
        <v>563</v>
      </c>
      <c r="D136" s="512">
        <v>194263917.16</v>
      </c>
      <c r="E136" s="175">
        <v>199813008.81</v>
      </c>
      <c r="F136" s="513">
        <v>102.9</v>
      </c>
      <c r="G136" s="512">
        <v>199867023.16</v>
      </c>
      <c r="H136" s="175">
        <v>189692553.61000001</v>
      </c>
      <c r="I136" s="513">
        <v>94.9</v>
      </c>
      <c r="J136" s="651">
        <v>10120455.199999988</v>
      </c>
      <c r="K136" s="176">
        <v>14660000</v>
      </c>
      <c r="L136" s="513">
        <v>7.3</v>
      </c>
    </row>
    <row r="137" spans="1:12" ht="13.5">
      <c r="A137" s="635">
        <v>14</v>
      </c>
      <c r="B137" s="636">
        <v>13</v>
      </c>
      <c r="C137" s="645" t="s">
        <v>562</v>
      </c>
      <c r="D137" s="512">
        <v>112284159.13</v>
      </c>
      <c r="E137" s="175">
        <v>118808712.06999999</v>
      </c>
      <c r="F137" s="513">
        <v>105.8</v>
      </c>
      <c r="G137" s="512">
        <v>121358846.15000001</v>
      </c>
      <c r="H137" s="175">
        <v>116864235.73</v>
      </c>
      <c r="I137" s="513">
        <v>96.3</v>
      </c>
      <c r="J137" s="651">
        <v>1944476.3399999887</v>
      </c>
      <c r="K137" s="176">
        <v>8476000</v>
      </c>
      <c r="L137" s="513">
        <v>7.1</v>
      </c>
    </row>
    <row r="138" spans="1:12" ht="13.5">
      <c r="A138" s="635">
        <v>14</v>
      </c>
      <c r="B138" s="636">
        <v>14</v>
      </c>
      <c r="C138" s="645" t="s">
        <v>485</v>
      </c>
      <c r="D138" s="512">
        <v>85470359.859999999</v>
      </c>
      <c r="E138" s="175">
        <v>88745455.680000007</v>
      </c>
      <c r="F138" s="513">
        <v>103.8</v>
      </c>
      <c r="G138" s="512">
        <v>89282757.069999993</v>
      </c>
      <c r="H138" s="175">
        <v>84825409.469999999</v>
      </c>
      <c r="I138" s="513">
        <v>95</v>
      </c>
      <c r="J138" s="651">
        <v>3920046.2100000083</v>
      </c>
      <c r="K138" s="176">
        <v>22790292</v>
      </c>
      <c r="L138" s="513">
        <v>25.7</v>
      </c>
    </row>
    <row r="139" spans="1:12" ht="13.5">
      <c r="A139" s="635">
        <v>14</v>
      </c>
      <c r="B139" s="636">
        <v>15</v>
      </c>
      <c r="C139" s="645" t="s">
        <v>561</v>
      </c>
      <c r="D139" s="512">
        <v>114335389.11</v>
      </c>
      <c r="E139" s="175">
        <v>115307454.8</v>
      </c>
      <c r="F139" s="513">
        <v>100.9</v>
      </c>
      <c r="G139" s="512">
        <v>112754847.23</v>
      </c>
      <c r="H139" s="175">
        <v>99908624.400000006</v>
      </c>
      <c r="I139" s="513">
        <v>88.6</v>
      </c>
      <c r="J139" s="651">
        <v>15398830.399999991</v>
      </c>
      <c r="K139" s="176">
        <v>35410000</v>
      </c>
      <c r="L139" s="513">
        <v>30.7</v>
      </c>
    </row>
    <row r="140" spans="1:12" ht="13.5">
      <c r="A140" s="635">
        <v>14</v>
      </c>
      <c r="B140" s="636">
        <v>16</v>
      </c>
      <c r="C140" s="645" t="s">
        <v>413</v>
      </c>
      <c r="D140" s="512">
        <v>100661088.58</v>
      </c>
      <c r="E140" s="175">
        <v>99130000.640000001</v>
      </c>
      <c r="F140" s="513">
        <v>98.5</v>
      </c>
      <c r="G140" s="512">
        <v>96137101.219999999</v>
      </c>
      <c r="H140" s="175">
        <v>87768814.519999996</v>
      </c>
      <c r="I140" s="513">
        <v>91.3</v>
      </c>
      <c r="J140" s="651">
        <v>11361186.120000005</v>
      </c>
      <c r="K140" s="176">
        <v>16446760</v>
      </c>
      <c r="L140" s="513">
        <v>16.600000000000001</v>
      </c>
    </row>
    <row r="141" spans="1:12" ht="13.5">
      <c r="A141" s="635">
        <v>14</v>
      </c>
      <c r="B141" s="636">
        <v>17</v>
      </c>
      <c r="C141" s="645" t="s">
        <v>560</v>
      </c>
      <c r="D141" s="512">
        <v>172112517</v>
      </c>
      <c r="E141" s="175">
        <v>184205923.47999999</v>
      </c>
      <c r="F141" s="513">
        <v>107</v>
      </c>
      <c r="G141" s="512">
        <v>210570087</v>
      </c>
      <c r="H141" s="175">
        <v>191214262.71000001</v>
      </c>
      <c r="I141" s="513">
        <v>90.8</v>
      </c>
      <c r="J141" s="651">
        <v>-7008339.2300000191</v>
      </c>
      <c r="K141" s="176">
        <v>78361000</v>
      </c>
      <c r="L141" s="513">
        <v>42.5</v>
      </c>
    </row>
    <row r="142" spans="1:12" ht="13.5">
      <c r="A142" s="635">
        <v>14</v>
      </c>
      <c r="B142" s="636">
        <v>18</v>
      </c>
      <c r="C142" s="645" t="s">
        <v>559</v>
      </c>
      <c r="D142" s="512">
        <v>345634011</v>
      </c>
      <c r="E142" s="175">
        <v>357612351.06999999</v>
      </c>
      <c r="F142" s="513">
        <v>103.5</v>
      </c>
      <c r="G142" s="512">
        <v>348939002</v>
      </c>
      <c r="H142" s="175">
        <v>322336489.44999999</v>
      </c>
      <c r="I142" s="513">
        <v>92.4</v>
      </c>
      <c r="J142" s="651">
        <v>35275861.620000005</v>
      </c>
      <c r="K142" s="176">
        <v>61800000</v>
      </c>
      <c r="L142" s="513">
        <v>17.3</v>
      </c>
    </row>
    <row r="143" spans="1:12" ht="13.5">
      <c r="A143" s="635">
        <v>14</v>
      </c>
      <c r="B143" s="636">
        <v>19</v>
      </c>
      <c r="C143" s="645" t="s">
        <v>558</v>
      </c>
      <c r="D143" s="512">
        <v>137556637.25</v>
      </c>
      <c r="E143" s="175">
        <v>142996893.31</v>
      </c>
      <c r="F143" s="513">
        <v>104</v>
      </c>
      <c r="G143" s="512">
        <v>142622235.78</v>
      </c>
      <c r="H143" s="175">
        <v>139017791.53999999</v>
      </c>
      <c r="I143" s="513">
        <v>97.5</v>
      </c>
      <c r="J143" s="651">
        <v>3979101.7700000107</v>
      </c>
      <c r="K143" s="176">
        <v>35000000</v>
      </c>
      <c r="L143" s="513">
        <v>24.5</v>
      </c>
    </row>
    <row r="144" spans="1:12" ht="13.5">
      <c r="A144" s="635">
        <v>14</v>
      </c>
      <c r="B144" s="636">
        <v>20</v>
      </c>
      <c r="C144" s="645" t="s">
        <v>557</v>
      </c>
      <c r="D144" s="512">
        <v>134966955.41999999</v>
      </c>
      <c r="E144" s="175">
        <v>136285942.61000001</v>
      </c>
      <c r="F144" s="513">
        <v>101</v>
      </c>
      <c r="G144" s="512">
        <v>134945556.41999999</v>
      </c>
      <c r="H144" s="175">
        <v>120737098.7</v>
      </c>
      <c r="I144" s="513">
        <v>89.5</v>
      </c>
      <c r="J144" s="651">
        <v>15548843.910000011</v>
      </c>
      <c r="K144" s="176">
        <v>25000000</v>
      </c>
      <c r="L144" s="513">
        <v>18.3</v>
      </c>
    </row>
    <row r="145" spans="1:12" ht="13.5">
      <c r="A145" s="635">
        <v>14</v>
      </c>
      <c r="B145" s="636">
        <v>21</v>
      </c>
      <c r="C145" s="645" t="s">
        <v>556</v>
      </c>
      <c r="D145" s="512">
        <v>218051538.99000001</v>
      </c>
      <c r="E145" s="175">
        <v>243657412.63999999</v>
      </c>
      <c r="F145" s="513">
        <v>111.7</v>
      </c>
      <c r="G145" s="512">
        <v>232064225.78</v>
      </c>
      <c r="H145" s="175">
        <v>222017269</v>
      </c>
      <c r="I145" s="513">
        <v>95.7</v>
      </c>
      <c r="J145" s="651">
        <v>21640143.639999986</v>
      </c>
      <c r="K145" s="176">
        <v>17746792.109999999</v>
      </c>
      <c r="L145" s="513">
        <v>7.3</v>
      </c>
    </row>
    <row r="146" spans="1:12" ht="13.5">
      <c r="A146" s="635">
        <v>14</v>
      </c>
      <c r="B146" s="636">
        <v>22</v>
      </c>
      <c r="C146" s="645" t="s">
        <v>555</v>
      </c>
      <c r="D146" s="512">
        <v>106743625.94</v>
      </c>
      <c r="E146" s="175">
        <v>106938780.55</v>
      </c>
      <c r="F146" s="513">
        <v>100.2</v>
      </c>
      <c r="G146" s="512">
        <v>110856937.89</v>
      </c>
      <c r="H146" s="175">
        <v>97309381.599999994</v>
      </c>
      <c r="I146" s="513">
        <v>87.8</v>
      </c>
      <c r="J146" s="651">
        <v>9629398.950000003</v>
      </c>
      <c r="K146" s="176">
        <v>47100000</v>
      </c>
      <c r="L146" s="513">
        <v>44</v>
      </c>
    </row>
    <row r="147" spans="1:12" ht="13.5">
      <c r="A147" s="635">
        <v>14</v>
      </c>
      <c r="B147" s="636">
        <v>23</v>
      </c>
      <c r="C147" s="645" t="s">
        <v>554</v>
      </c>
      <c r="D147" s="512">
        <v>92312556</v>
      </c>
      <c r="E147" s="175">
        <v>90278051.829999998</v>
      </c>
      <c r="F147" s="513">
        <v>97.8</v>
      </c>
      <c r="G147" s="512">
        <v>109023586</v>
      </c>
      <c r="H147" s="175">
        <v>95320786.159999996</v>
      </c>
      <c r="I147" s="513">
        <v>87.4</v>
      </c>
      <c r="J147" s="651">
        <v>-5042734.3299999982</v>
      </c>
      <c r="K147" s="176">
        <v>3540000</v>
      </c>
      <c r="L147" s="513">
        <v>3.9</v>
      </c>
    </row>
    <row r="148" spans="1:12" ht="13.5">
      <c r="A148" s="635">
        <v>14</v>
      </c>
      <c r="B148" s="636">
        <v>24</v>
      </c>
      <c r="C148" s="645" t="s">
        <v>553</v>
      </c>
      <c r="D148" s="512">
        <v>103248537.84999999</v>
      </c>
      <c r="E148" s="175">
        <v>104005703.52</v>
      </c>
      <c r="F148" s="513">
        <v>100.7</v>
      </c>
      <c r="G148" s="512">
        <v>109686969.77</v>
      </c>
      <c r="H148" s="175">
        <v>106197453.2</v>
      </c>
      <c r="I148" s="513">
        <v>96.8</v>
      </c>
      <c r="J148" s="651">
        <v>-2191749.6800000072</v>
      </c>
      <c r="K148" s="176">
        <v>44230161.43</v>
      </c>
      <c r="L148" s="513">
        <v>42.5</v>
      </c>
    </row>
    <row r="149" spans="1:12" ht="13.5">
      <c r="A149" s="635">
        <v>14</v>
      </c>
      <c r="B149" s="636">
        <v>25</v>
      </c>
      <c r="C149" s="645" t="s">
        <v>552</v>
      </c>
      <c r="D149" s="512">
        <v>203077756.30000001</v>
      </c>
      <c r="E149" s="175">
        <v>228997734.31999999</v>
      </c>
      <c r="F149" s="513">
        <v>112.8</v>
      </c>
      <c r="G149" s="512">
        <v>232280432.47999999</v>
      </c>
      <c r="H149" s="175">
        <v>209159360.41999999</v>
      </c>
      <c r="I149" s="513">
        <v>90</v>
      </c>
      <c r="J149" s="651">
        <v>19838373.900000006</v>
      </c>
      <c r="K149" s="176">
        <v>7375000</v>
      </c>
      <c r="L149" s="513">
        <v>3.2</v>
      </c>
    </row>
    <row r="150" spans="1:12" ht="13.5">
      <c r="A150" s="635">
        <v>14</v>
      </c>
      <c r="B150" s="636">
        <v>26</v>
      </c>
      <c r="C150" s="645" t="s">
        <v>551</v>
      </c>
      <c r="D150" s="512">
        <v>75247144</v>
      </c>
      <c r="E150" s="175">
        <v>77692071.769999996</v>
      </c>
      <c r="F150" s="513">
        <v>103.2</v>
      </c>
      <c r="G150" s="512">
        <v>86885078</v>
      </c>
      <c r="H150" s="175">
        <v>77510881.329999998</v>
      </c>
      <c r="I150" s="513">
        <v>89.2</v>
      </c>
      <c r="J150" s="651">
        <v>181190.43999999762</v>
      </c>
      <c r="K150" s="176">
        <v>3000000</v>
      </c>
      <c r="L150" s="513">
        <v>3.9</v>
      </c>
    </row>
    <row r="151" spans="1:12" ht="13.5">
      <c r="A151" s="635">
        <v>14</v>
      </c>
      <c r="B151" s="636">
        <v>27</v>
      </c>
      <c r="C151" s="645" t="s">
        <v>550</v>
      </c>
      <c r="D151" s="512">
        <v>79247644</v>
      </c>
      <c r="E151" s="175">
        <v>81190461.120000005</v>
      </c>
      <c r="F151" s="513">
        <v>102.5</v>
      </c>
      <c r="G151" s="512">
        <v>88448053</v>
      </c>
      <c r="H151" s="175">
        <v>84598377.480000004</v>
      </c>
      <c r="I151" s="513">
        <v>95.6</v>
      </c>
      <c r="J151" s="651">
        <v>-3407916.3599999994</v>
      </c>
      <c r="K151" s="176">
        <v>16310000</v>
      </c>
      <c r="L151" s="513">
        <v>20.100000000000001</v>
      </c>
    </row>
    <row r="152" spans="1:12" ht="13.5">
      <c r="A152" s="635">
        <v>14</v>
      </c>
      <c r="B152" s="636">
        <v>28</v>
      </c>
      <c r="C152" s="645" t="s">
        <v>549</v>
      </c>
      <c r="D152" s="512">
        <v>119935089.5</v>
      </c>
      <c r="E152" s="175">
        <v>125593031.77</v>
      </c>
      <c r="F152" s="513">
        <v>104.7</v>
      </c>
      <c r="G152" s="512">
        <v>119957809.84999999</v>
      </c>
      <c r="H152" s="175">
        <v>110698299.3</v>
      </c>
      <c r="I152" s="513">
        <v>92.3</v>
      </c>
      <c r="J152" s="651">
        <v>14894732.469999999</v>
      </c>
      <c r="K152" s="176">
        <v>3189000.84</v>
      </c>
      <c r="L152" s="513">
        <v>2.5</v>
      </c>
    </row>
    <row r="153" spans="1:12" ht="13.5">
      <c r="A153" s="635">
        <v>14</v>
      </c>
      <c r="B153" s="636">
        <v>29</v>
      </c>
      <c r="C153" s="645" t="s">
        <v>548</v>
      </c>
      <c r="D153" s="512">
        <v>86834917.129999995</v>
      </c>
      <c r="E153" s="175">
        <v>92872864.120000005</v>
      </c>
      <c r="F153" s="513">
        <v>107</v>
      </c>
      <c r="G153" s="512">
        <v>103053129.40000001</v>
      </c>
      <c r="H153" s="175">
        <v>96373244.609999999</v>
      </c>
      <c r="I153" s="513">
        <v>93.5</v>
      </c>
      <c r="J153" s="651">
        <v>-3500380.4899999946</v>
      </c>
      <c r="K153" s="176">
        <v>24966961.5</v>
      </c>
      <c r="L153" s="513">
        <v>26.9</v>
      </c>
    </row>
    <row r="154" spans="1:12" ht="13.5">
      <c r="A154" s="635">
        <v>14</v>
      </c>
      <c r="B154" s="636">
        <v>30</v>
      </c>
      <c r="C154" s="645" t="s">
        <v>547</v>
      </c>
      <c r="D154" s="512">
        <v>62837327.640000001</v>
      </c>
      <c r="E154" s="175">
        <v>61342537.210000001</v>
      </c>
      <c r="F154" s="513">
        <v>97.6</v>
      </c>
      <c r="G154" s="512">
        <v>63394999</v>
      </c>
      <c r="H154" s="175">
        <v>54982525.810000002</v>
      </c>
      <c r="I154" s="513">
        <v>86.7</v>
      </c>
      <c r="J154" s="651">
        <v>6360011.3999999985</v>
      </c>
      <c r="K154" s="176">
        <v>1900000</v>
      </c>
      <c r="L154" s="513">
        <v>3.1</v>
      </c>
    </row>
    <row r="155" spans="1:12" ht="13.5">
      <c r="A155" s="635">
        <v>14</v>
      </c>
      <c r="B155" s="636">
        <v>32</v>
      </c>
      <c r="C155" s="645" t="s">
        <v>546</v>
      </c>
      <c r="D155" s="512">
        <v>207199722.05000001</v>
      </c>
      <c r="E155" s="175">
        <v>215500879.56</v>
      </c>
      <c r="F155" s="513">
        <v>104</v>
      </c>
      <c r="G155" s="512">
        <v>198865047.28</v>
      </c>
      <c r="H155" s="175">
        <v>192876746.91</v>
      </c>
      <c r="I155" s="513">
        <v>97</v>
      </c>
      <c r="J155" s="651">
        <v>22624132.650000006</v>
      </c>
      <c r="K155" s="176">
        <v>7166668.04</v>
      </c>
      <c r="L155" s="513">
        <v>3.3</v>
      </c>
    </row>
    <row r="156" spans="1:12" ht="13.5">
      <c r="A156" s="635">
        <v>14</v>
      </c>
      <c r="B156" s="636">
        <v>33</v>
      </c>
      <c r="C156" s="645" t="s">
        <v>545</v>
      </c>
      <c r="D156" s="512">
        <v>96679533.930000007</v>
      </c>
      <c r="E156" s="175">
        <v>99777856.849999994</v>
      </c>
      <c r="F156" s="513">
        <v>103.2</v>
      </c>
      <c r="G156" s="512">
        <v>104823859.93000001</v>
      </c>
      <c r="H156" s="175">
        <v>101705393.84999999</v>
      </c>
      <c r="I156" s="513">
        <v>97</v>
      </c>
      <c r="J156" s="651">
        <v>-1927537</v>
      </c>
      <c r="K156" s="176">
        <v>41077968.359999999</v>
      </c>
      <c r="L156" s="513">
        <v>41.2</v>
      </c>
    </row>
    <row r="157" spans="1:12" ht="13.5">
      <c r="A157" s="635">
        <v>14</v>
      </c>
      <c r="B157" s="636">
        <v>34</v>
      </c>
      <c r="C157" s="645" t="s">
        <v>544</v>
      </c>
      <c r="D157" s="512">
        <v>320094252.55000001</v>
      </c>
      <c r="E157" s="175">
        <v>328828562.08999997</v>
      </c>
      <c r="F157" s="513">
        <v>102.7</v>
      </c>
      <c r="G157" s="512">
        <v>340724585.55000001</v>
      </c>
      <c r="H157" s="175">
        <v>304081301.32999998</v>
      </c>
      <c r="I157" s="513">
        <v>89.2</v>
      </c>
      <c r="J157" s="651">
        <v>24747260.75999999</v>
      </c>
      <c r="K157" s="176">
        <v>79056041</v>
      </c>
      <c r="L157" s="513">
        <v>24</v>
      </c>
    </row>
    <row r="158" spans="1:12" ht="13.5">
      <c r="A158" s="635">
        <v>14</v>
      </c>
      <c r="B158" s="636">
        <v>35</v>
      </c>
      <c r="C158" s="645" t="s">
        <v>543</v>
      </c>
      <c r="D158" s="512">
        <v>114009497.90000001</v>
      </c>
      <c r="E158" s="175">
        <v>117419957.41</v>
      </c>
      <c r="F158" s="513">
        <v>103</v>
      </c>
      <c r="G158" s="512">
        <v>110288773.36</v>
      </c>
      <c r="H158" s="175">
        <v>103047913.06</v>
      </c>
      <c r="I158" s="513">
        <v>93.4</v>
      </c>
      <c r="J158" s="651">
        <v>14372044.349999994</v>
      </c>
      <c r="K158" s="176">
        <v>6899803.1900000004</v>
      </c>
      <c r="L158" s="513">
        <v>5.9</v>
      </c>
    </row>
    <row r="159" spans="1:12" ht="13.5">
      <c r="A159" s="635">
        <v>14</v>
      </c>
      <c r="B159" s="636">
        <v>36</v>
      </c>
      <c r="C159" s="645" t="s">
        <v>542</v>
      </c>
      <c r="D159" s="512">
        <v>49748041.340000004</v>
      </c>
      <c r="E159" s="175">
        <v>51868040.030000001</v>
      </c>
      <c r="F159" s="513">
        <v>104.3</v>
      </c>
      <c r="G159" s="512">
        <v>50290842.109999999</v>
      </c>
      <c r="H159" s="175">
        <v>48176616.340000004</v>
      </c>
      <c r="I159" s="513">
        <v>95.8</v>
      </c>
      <c r="J159" s="651">
        <v>3691423.6899999976</v>
      </c>
      <c r="K159" s="176">
        <v>9925000</v>
      </c>
      <c r="L159" s="513">
        <v>19.100000000000001</v>
      </c>
    </row>
    <row r="160" spans="1:12" ht="13.5">
      <c r="A160" s="635">
        <v>14</v>
      </c>
      <c r="B160" s="636">
        <v>37</v>
      </c>
      <c r="C160" s="645" t="s">
        <v>541</v>
      </c>
      <c r="D160" s="512">
        <v>58555775.740000002</v>
      </c>
      <c r="E160" s="175">
        <v>59921290.859999999</v>
      </c>
      <c r="F160" s="513">
        <v>102.3</v>
      </c>
      <c r="G160" s="512">
        <v>62525329.740000002</v>
      </c>
      <c r="H160" s="175">
        <v>57767607</v>
      </c>
      <c r="I160" s="513">
        <v>92.4</v>
      </c>
      <c r="J160" s="651">
        <v>2153683.8599999994</v>
      </c>
      <c r="K160" s="176">
        <v>15267412.4</v>
      </c>
      <c r="L160" s="513">
        <v>25.5</v>
      </c>
    </row>
    <row r="161" spans="1:12" ht="13.5">
      <c r="A161" s="635">
        <v>14</v>
      </c>
      <c r="B161" s="636">
        <v>38</v>
      </c>
      <c r="C161" s="645" t="s">
        <v>540</v>
      </c>
      <c r="D161" s="512">
        <v>130851100.36</v>
      </c>
      <c r="E161" s="175">
        <v>131030746.08</v>
      </c>
      <c r="F161" s="513">
        <v>100.1</v>
      </c>
      <c r="G161" s="512">
        <v>137699030.80000001</v>
      </c>
      <c r="H161" s="175">
        <v>125894410.03</v>
      </c>
      <c r="I161" s="513">
        <v>91.4</v>
      </c>
      <c r="J161" s="651">
        <v>5136336.049999997</v>
      </c>
      <c r="K161" s="176">
        <v>37627405.210000001</v>
      </c>
      <c r="L161" s="513">
        <v>28.7</v>
      </c>
    </row>
    <row r="162" spans="1:12" ht="13.5">
      <c r="A162" s="635">
        <v>16</v>
      </c>
      <c r="B162" s="636">
        <v>1</v>
      </c>
      <c r="C162" s="645" t="s">
        <v>539</v>
      </c>
      <c r="D162" s="512">
        <v>112205604.59</v>
      </c>
      <c r="E162" s="175">
        <v>114869529.56</v>
      </c>
      <c r="F162" s="513">
        <v>102.4</v>
      </c>
      <c r="G162" s="512">
        <v>123735307.76000001</v>
      </c>
      <c r="H162" s="175">
        <v>112915856.91</v>
      </c>
      <c r="I162" s="513">
        <v>91.3</v>
      </c>
      <c r="J162" s="651">
        <v>1953672.650000006</v>
      </c>
      <c r="K162" s="176">
        <v>29590000</v>
      </c>
      <c r="L162" s="513">
        <v>25.8</v>
      </c>
    </row>
    <row r="163" spans="1:12" ht="13.5">
      <c r="A163" s="635">
        <v>16</v>
      </c>
      <c r="B163" s="636">
        <v>2</v>
      </c>
      <c r="C163" s="645" t="s">
        <v>538</v>
      </c>
      <c r="D163" s="512">
        <v>89703614</v>
      </c>
      <c r="E163" s="175">
        <v>89956215.530000001</v>
      </c>
      <c r="F163" s="513">
        <v>100.3</v>
      </c>
      <c r="G163" s="512">
        <v>97129504</v>
      </c>
      <c r="H163" s="175">
        <v>89678725.439999998</v>
      </c>
      <c r="I163" s="513">
        <v>92.3</v>
      </c>
      <c r="J163" s="651">
        <v>277490.09000000358</v>
      </c>
      <c r="K163" s="176">
        <v>16114323.779999999</v>
      </c>
      <c r="L163" s="513">
        <v>17.899999999999999</v>
      </c>
    </row>
    <row r="164" spans="1:12" ht="13.5">
      <c r="A164" s="635">
        <v>16</v>
      </c>
      <c r="B164" s="636">
        <v>3</v>
      </c>
      <c r="C164" s="645" t="s">
        <v>537</v>
      </c>
      <c r="D164" s="512">
        <v>117429457.63</v>
      </c>
      <c r="E164" s="175">
        <v>122999074.79000001</v>
      </c>
      <c r="F164" s="513">
        <v>104.7</v>
      </c>
      <c r="G164" s="512">
        <v>122912871.09</v>
      </c>
      <c r="H164" s="175">
        <v>117122983.48</v>
      </c>
      <c r="I164" s="513">
        <v>95.3</v>
      </c>
      <c r="J164" s="651">
        <v>5876091.3100000024</v>
      </c>
      <c r="K164" s="176">
        <v>15187674.98</v>
      </c>
      <c r="L164" s="513">
        <v>12.3</v>
      </c>
    </row>
    <row r="165" spans="1:12" ht="13.5">
      <c r="A165" s="635">
        <v>16</v>
      </c>
      <c r="B165" s="636">
        <v>4</v>
      </c>
      <c r="C165" s="645" t="s">
        <v>536</v>
      </c>
      <c r="D165" s="512">
        <v>90056060.849999994</v>
      </c>
      <c r="E165" s="175">
        <v>92152425.469999999</v>
      </c>
      <c r="F165" s="513">
        <v>102.3</v>
      </c>
      <c r="G165" s="512">
        <v>92136857.590000004</v>
      </c>
      <c r="H165" s="175">
        <v>88059228.540000007</v>
      </c>
      <c r="I165" s="513">
        <v>95.6</v>
      </c>
      <c r="J165" s="651">
        <v>4093196.9299999923</v>
      </c>
      <c r="K165" s="176">
        <v>75368180.760000005</v>
      </c>
      <c r="L165" s="513">
        <v>81.8</v>
      </c>
    </row>
    <row r="166" spans="1:12" ht="13.5">
      <c r="A166" s="635">
        <v>16</v>
      </c>
      <c r="B166" s="636">
        <v>5</v>
      </c>
      <c r="C166" s="645" t="s">
        <v>535</v>
      </c>
      <c r="D166" s="512">
        <v>58502981</v>
      </c>
      <c r="E166" s="175">
        <v>60110649.43</v>
      </c>
      <c r="F166" s="513">
        <v>102.7</v>
      </c>
      <c r="G166" s="512">
        <v>59171523</v>
      </c>
      <c r="H166" s="175">
        <v>56661791.009999998</v>
      </c>
      <c r="I166" s="513">
        <v>95.8</v>
      </c>
      <c r="J166" s="651">
        <v>3448858.4200000018</v>
      </c>
      <c r="K166" s="176">
        <v>20146044</v>
      </c>
      <c r="L166" s="513">
        <v>33.5</v>
      </c>
    </row>
    <row r="167" spans="1:12" ht="13.5">
      <c r="A167" s="635">
        <v>16</v>
      </c>
      <c r="B167" s="636">
        <v>6</v>
      </c>
      <c r="C167" s="645" t="s">
        <v>534</v>
      </c>
      <c r="D167" s="512">
        <v>60414055.799999997</v>
      </c>
      <c r="E167" s="175">
        <v>62584366.039999999</v>
      </c>
      <c r="F167" s="513">
        <v>103.6</v>
      </c>
      <c r="G167" s="512">
        <v>65973292.799999997</v>
      </c>
      <c r="H167" s="175">
        <v>62620001.299999997</v>
      </c>
      <c r="I167" s="513">
        <v>94.9</v>
      </c>
      <c r="J167" s="651">
        <v>-35635.259999997914</v>
      </c>
      <c r="K167" s="176">
        <v>3931488</v>
      </c>
      <c r="L167" s="513">
        <v>6.3</v>
      </c>
    </row>
    <row r="168" spans="1:12" ht="13.5">
      <c r="A168" s="635">
        <v>16</v>
      </c>
      <c r="B168" s="636">
        <v>7</v>
      </c>
      <c r="C168" s="645" t="s">
        <v>533</v>
      </c>
      <c r="D168" s="512">
        <v>162517944.97</v>
      </c>
      <c r="E168" s="175">
        <v>177083514.97999999</v>
      </c>
      <c r="F168" s="513">
        <v>109</v>
      </c>
      <c r="G168" s="512">
        <v>177789924.47999999</v>
      </c>
      <c r="H168" s="175">
        <v>169238135.88999999</v>
      </c>
      <c r="I168" s="513">
        <v>95.2</v>
      </c>
      <c r="J168" s="651">
        <v>7845379.0900000036</v>
      </c>
      <c r="K168" s="176">
        <v>62150000</v>
      </c>
      <c r="L168" s="513">
        <v>35.1</v>
      </c>
    </row>
    <row r="169" spans="1:12" ht="13.5">
      <c r="A169" s="635">
        <v>16</v>
      </c>
      <c r="B169" s="636">
        <v>8</v>
      </c>
      <c r="C169" s="645" t="s">
        <v>532</v>
      </c>
      <c r="D169" s="512">
        <v>72948127</v>
      </c>
      <c r="E169" s="175">
        <v>76625228.640000001</v>
      </c>
      <c r="F169" s="513">
        <v>105</v>
      </c>
      <c r="G169" s="512">
        <v>76221579</v>
      </c>
      <c r="H169" s="175">
        <v>73005339.950000003</v>
      </c>
      <c r="I169" s="513">
        <v>95.8</v>
      </c>
      <c r="J169" s="651">
        <v>3619888.6899999976</v>
      </c>
      <c r="K169" s="176">
        <v>5767492</v>
      </c>
      <c r="L169" s="513">
        <v>7.5</v>
      </c>
    </row>
    <row r="170" spans="1:12" ht="13.5">
      <c r="A170" s="635">
        <v>16</v>
      </c>
      <c r="B170" s="636">
        <v>9</v>
      </c>
      <c r="C170" s="645" t="s">
        <v>531</v>
      </c>
      <c r="D170" s="512">
        <v>96025770.959999993</v>
      </c>
      <c r="E170" s="175">
        <v>103749012.08</v>
      </c>
      <c r="F170" s="513">
        <v>108</v>
      </c>
      <c r="G170" s="512">
        <v>101233839</v>
      </c>
      <c r="H170" s="175">
        <v>97935816.109999999</v>
      </c>
      <c r="I170" s="513">
        <v>96.7</v>
      </c>
      <c r="J170" s="651">
        <v>5813195.9699999988</v>
      </c>
      <c r="K170" s="176">
        <v>0</v>
      </c>
      <c r="L170" s="513">
        <v>0</v>
      </c>
    </row>
    <row r="171" spans="1:12" ht="13.5">
      <c r="A171" s="635">
        <v>16</v>
      </c>
      <c r="B171" s="636">
        <v>10</v>
      </c>
      <c r="C171" s="645" t="s">
        <v>530</v>
      </c>
      <c r="D171" s="512">
        <v>77537151.060000002</v>
      </c>
      <c r="E171" s="175">
        <v>75830618.680000007</v>
      </c>
      <c r="F171" s="513">
        <v>97.8</v>
      </c>
      <c r="G171" s="512">
        <v>84384754.579999998</v>
      </c>
      <c r="H171" s="175">
        <v>72850862.280000001</v>
      </c>
      <c r="I171" s="513">
        <v>86.3</v>
      </c>
      <c r="J171" s="651">
        <v>2979756.400000006</v>
      </c>
      <c r="K171" s="176">
        <v>23759222.77</v>
      </c>
      <c r="L171" s="513">
        <v>31.3</v>
      </c>
    </row>
    <row r="172" spans="1:12" ht="13.5">
      <c r="A172" s="635">
        <v>16</v>
      </c>
      <c r="B172" s="636">
        <v>11</v>
      </c>
      <c r="C172" s="645" t="s">
        <v>529</v>
      </c>
      <c r="D172" s="512">
        <v>92591361.150000006</v>
      </c>
      <c r="E172" s="175">
        <v>97283085.439999998</v>
      </c>
      <c r="F172" s="513">
        <v>105.1</v>
      </c>
      <c r="G172" s="512">
        <v>97631754.209999993</v>
      </c>
      <c r="H172" s="175">
        <v>93351581.459999993</v>
      </c>
      <c r="I172" s="513">
        <v>95.6</v>
      </c>
      <c r="J172" s="651">
        <v>3931503.9800000042</v>
      </c>
      <c r="K172" s="176">
        <v>20644048.210000001</v>
      </c>
      <c r="L172" s="513">
        <v>21.2</v>
      </c>
    </row>
    <row r="173" spans="1:12" ht="13.5">
      <c r="A173" s="635">
        <v>18</v>
      </c>
      <c r="B173" s="636">
        <v>1</v>
      </c>
      <c r="C173" s="645" t="s">
        <v>528</v>
      </c>
      <c r="D173" s="512">
        <v>51637737.439999998</v>
      </c>
      <c r="E173" s="175">
        <v>50754838.880000003</v>
      </c>
      <c r="F173" s="513">
        <v>98.3</v>
      </c>
      <c r="G173" s="512">
        <v>54369043.780000001</v>
      </c>
      <c r="H173" s="175">
        <v>50719183.090000004</v>
      </c>
      <c r="I173" s="513">
        <v>93.3</v>
      </c>
      <c r="J173" s="651">
        <v>35655.789999999106</v>
      </c>
      <c r="K173" s="176">
        <v>17236478.359999999</v>
      </c>
      <c r="L173" s="513">
        <v>34</v>
      </c>
    </row>
    <row r="174" spans="1:12" ht="13.5">
      <c r="A174" s="635">
        <v>18</v>
      </c>
      <c r="B174" s="636">
        <v>2</v>
      </c>
      <c r="C174" s="645" t="s">
        <v>527</v>
      </c>
      <c r="D174" s="512">
        <v>88058841.680000007</v>
      </c>
      <c r="E174" s="175">
        <v>88930580.709999993</v>
      </c>
      <c r="F174" s="513">
        <v>101</v>
      </c>
      <c r="G174" s="512">
        <v>92844167.099999994</v>
      </c>
      <c r="H174" s="175">
        <v>85454157.870000005</v>
      </c>
      <c r="I174" s="513">
        <v>92</v>
      </c>
      <c r="J174" s="651">
        <v>3476422.8399999887</v>
      </c>
      <c r="K174" s="176">
        <v>4170000</v>
      </c>
      <c r="L174" s="513">
        <v>4.7</v>
      </c>
    </row>
    <row r="175" spans="1:12" ht="13.5">
      <c r="A175" s="635">
        <v>18</v>
      </c>
      <c r="B175" s="636">
        <v>3</v>
      </c>
      <c r="C175" s="645" t="s">
        <v>526</v>
      </c>
      <c r="D175" s="512">
        <v>148654632.22999999</v>
      </c>
      <c r="E175" s="175">
        <v>168092656.16999999</v>
      </c>
      <c r="F175" s="513">
        <v>113.1</v>
      </c>
      <c r="G175" s="512">
        <v>168744231.40000001</v>
      </c>
      <c r="H175" s="175">
        <v>151789713.97</v>
      </c>
      <c r="I175" s="513">
        <v>90</v>
      </c>
      <c r="J175" s="651">
        <v>16302942.199999988</v>
      </c>
      <c r="K175" s="176">
        <v>0</v>
      </c>
      <c r="L175" s="513">
        <v>0</v>
      </c>
    </row>
    <row r="176" spans="1:12" ht="13.5">
      <c r="A176" s="635">
        <v>18</v>
      </c>
      <c r="B176" s="636">
        <v>4</v>
      </c>
      <c r="C176" s="645" t="s">
        <v>525</v>
      </c>
      <c r="D176" s="512">
        <v>203480226.28999999</v>
      </c>
      <c r="E176" s="175">
        <v>208095101.13999999</v>
      </c>
      <c r="F176" s="513">
        <v>102.3</v>
      </c>
      <c r="G176" s="512">
        <v>215645970.83000001</v>
      </c>
      <c r="H176" s="175">
        <v>198866679.63</v>
      </c>
      <c r="I176" s="513">
        <v>92.2</v>
      </c>
      <c r="J176" s="651">
        <v>9228421.5099999905</v>
      </c>
      <c r="K176" s="176">
        <v>36036657.390000001</v>
      </c>
      <c r="L176" s="513">
        <v>17.3</v>
      </c>
    </row>
    <row r="177" spans="1:12" ht="13.5">
      <c r="A177" s="635">
        <v>18</v>
      </c>
      <c r="B177" s="636">
        <v>5</v>
      </c>
      <c r="C177" s="645" t="s">
        <v>524</v>
      </c>
      <c r="D177" s="512">
        <v>159457188.81</v>
      </c>
      <c r="E177" s="175">
        <v>165697985.50999999</v>
      </c>
      <c r="F177" s="513">
        <v>103.9</v>
      </c>
      <c r="G177" s="512">
        <v>169507494.56</v>
      </c>
      <c r="H177" s="175">
        <v>159918042.06999999</v>
      </c>
      <c r="I177" s="513">
        <v>94.3</v>
      </c>
      <c r="J177" s="651">
        <v>5779943.4399999976</v>
      </c>
      <c r="K177" s="176">
        <v>24100000</v>
      </c>
      <c r="L177" s="513">
        <v>14.5</v>
      </c>
    </row>
    <row r="178" spans="1:12" ht="13.5">
      <c r="A178" s="635">
        <v>18</v>
      </c>
      <c r="B178" s="636">
        <v>6</v>
      </c>
      <c r="C178" s="645" t="s">
        <v>523</v>
      </c>
      <c r="D178" s="512">
        <v>66322383.509999998</v>
      </c>
      <c r="E178" s="175">
        <v>66713110.119999997</v>
      </c>
      <c r="F178" s="513">
        <v>100.6</v>
      </c>
      <c r="G178" s="512">
        <v>72406848.510000005</v>
      </c>
      <c r="H178" s="175">
        <v>54275245.340000004</v>
      </c>
      <c r="I178" s="513">
        <v>75</v>
      </c>
      <c r="J178" s="651">
        <v>12437864.779999994</v>
      </c>
      <c r="K178" s="176">
        <v>10086777</v>
      </c>
      <c r="L178" s="513">
        <v>15.1</v>
      </c>
    </row>
    <row r="179" spans="1:12" ht="13.5">
      <c r="A179" s="635">
        <v>18</v>
      </c>
      <c r="B179" s="636">
        <v>7</v>
      </c>
      <c r="C179" s="645" t="s">
        <v>522</v>
      </c>
      <c r="D179" s="512">
        <v>94942955.680000007</v>
      </c>
      <c r="E179" s="175">
        <v>101089422.78</v>
      </c>
      <c r="F179" s="513">
        <v>106.5</v>
      </c>
      <c r="G179" s="512">
        <v>106032793.68000001</v>
      </c>
      <c r="H179" s="175">
        <v>91838815.180000007</v>
      </c>
      <c r="I179" s="513">
        <v>86.6</v>
      </c>
      <c r="J179" s="651">
        <v>9250607.599999994</v>
      </c>
      <c r="K179" s="176">
        <v>11834432</v>
      </c>
      <c r="L179" s="513">
        <v>11.7</v>
      </c>
    </row>
    <row r="180" spans="1:12" ht="13.5">
      <c r="A180" s="635">
        <v>18</v>
      </c>
      <c r="B180" s="636">
        <v>8</v>
      </c>
      <c r="C180" s="645" t="s">
        <v>521</v>
      </c>
      <c r="D180" s="512">
        <v>115023486.92</v>
      </c>
      <c r="E180" s="175">
        <v>118006408.20999999</v>
      </c>
      <c r="F180" s="513">
        <v>102.6</v>
      </c>
      <c r="G180" s="512">
        <v>122234124.48</v>
      </c>
      <c r="H180" s="175">
        <v>113070694.81999999</v>
      </c>
      <c r="I180" s="513">
        <v>92.5</v>
      </c>
      <c r="J180" s="651">
        <v>4935713.3900000006</v>
      </c>
      <c r="K180" s="176">
        <v>363963</v>
      </c>
      <c r="L180" s="513">
        <v>0.3</v>
      </c>
    </row>
    <row r="181" spans="1:12" ht="13.5">
      <c r="A181" s="635">
        <v>18</v>
      </c>
      <c r="B181" s="636">
        <v>9</v>
      </c>
      <c r="C181" s="645" t="s">
        <v>520</v>
      </c>
      <c r="D181" s="512">
        <v>88247371.25</v>
      </c>
      <c r="E181" s="175">
        <v>90012328.180000007</v>
      </c>
      <c r="F181" s="513">
        <v>102</v>
      </c>
      <c r="G181" s="512">
        <v>97956785.25</v>
      </c>
      <c r="H181" s="175">
        <v>89459064.349999994</v>
      </c>
      <c r="I181" s="513">
        <v>91.3</v>
      </c>
      <c r="J181" s="651">
        <v>553263.83000001311</v>
      </c>
      <c r="K181" s="176">
        <v>21230557.399999999</v>
      </c>
      <c r="L181" s="513">
        <v>23.6</v>
      </c>
    </row>
    <row r="182" spans="1:12" ht="13.5">
      <c r="A182" s="635">
        <v>18</v>
      </c>
      <c r="B182" s="636">
        <v>10</v>
      </c>
      <c r="C182" s="645" t="s">
        <v>519</v>
      </c>
      <c r="D182" s="512">
        <v>109095495.01000001</v>
      </c>
      <c r="E182" s="175">
        <v>109496563.51000001</v>
      </c>
      <c r="F182" s="513">
        <v>100.4</v>
      </c>
      <c r="G182" s="512">
        <v>129239043.38</v>
      </c>
      <c r="H182" s="175">
        <v>97706169.909999996</v>
      </c>
      <c r="I182" s="513">
        <v>75.599999999999994</v>
      </c>
      <c r="J182" s="651">
        <v>11790393.600000009</v>
      </c>
      <c r="K182" s="176">
        <v>7747743.4500000002</v>
      </c>
      <c r="L182" s="513">
        <v>7.1</v>
      </c>
    </row>
    <row r="183" spans="1:12" ht="13.5">
      <c r="A183" s="635">
        <v>18</v>
      </c>
      <c r="B183" s="636">
        <v>11</v>
      </c>
      <c r="C183" s="645" t="s">
        <v>518</v>
      </c>
      <c r="D183" s="512">
        <v>175467567.78</v>
      </c>
      <c r="E183" s="175">
        <v>178106141.53999999</v>
      </c>
      <c r="F183" s="513">
        <v>101.5</v>
      </c>
      <c r="G183" s="512">
        <v>188467567.78</v>
      </c>
      <c r="H183" s="175">
        <v>177625580.5</v>
      </c>
      <c r="I183" s="513">
        <v>94.2</v>
      </c>
      <c r="J183" s="651">
        <v>480561.03999999166</v>
      </c>
      <c r="K183" s="176">
        <v>15967153</v>
      </c>
      <c r="L183" s="513">
        <v>9</v>
      </c>
    </row>
    <row r="184" spans="1:12" ht="13.5">
      <c r="A184" s="635">
        <v>18</v>
      </c>
      <c r="B184" s="636">
        <v>12</v>
      </c>
      <c r="C184" s="645" t="s">
        <v>517</v>
      </c>
      <c r="D184" s="512">
        <v>93874381.780000001</v>
      </c>
      <c r="E184" s="175">
        <v>100286763.81</v>
      </c>
      <c r="F184" s="513">
        <v>106.8</v>
      </c>
      <c r="G184" s="512">
        <v>96016317.489999995</v>
      </c>
      <c r="H184" s="175">
        <v>83977005.939999998</v>
      </c>
      <c r="I184" s="513">
        <v>87.5</v>
      </c>
      <c r="J184" s="651">
        <v>16309757.870000005</v>
      </c>
      <c r="K184" s="176">
        <v>0</v>
      </c>
      <c r="L184" s="513">
        <v>0</v>
      </c>
    </row>
    <row r="185" spans="1:12" ht="13.5">
      <c r="A185" s="635">
        <v>18</v>
      </c>
      <c r="B185" s="636">
        <v>13</v>
      </c>
      <c r="C185" s="645" t="s">
        <v>516</v>
      </c>
      <c r="D185" s="512">
        <v>58746939.700000003</v>
      </c>
      <c r="E185" s="175">
        <v>63539272.450000003</v>
      </c>
      <c r="F185" s="513">
        <v>108.2</v>
      </c>
      <c r="G185" s="512">
        <v>60668659.700000003</v>
      </c>
      <c r="H185" s="175">
        <v>52747485.219999999</v>
      </c>
      <c r="I185" s="513">
        <v>86.9</v>
      </c>
      <c r="J185" s="651">
        <v>10791787.230000004</v>
      </c>
      <c r="K185" s="176">
        <v>0</v>
      </c>
      <c r="L185" s="513">
        <v>0</v>
      </c>
    </row>
    <row r="186" spans="1:12" ht="13.5">
      <c r="A186" s="635">
        <v>18</v>
      </c>
      <c r="B186" s="636">
        <v>14</v>
      </c>
      <c r="C186" s="645" t="s">
        <v>515</v>
      </c>
      <c r="D186" s="512">
        <v>122239364.09</v>
      </c>
      <c r="E186" s="175">
        <v>102146512.70999999</v>
      </c>
      <c r="F186" s="513">
        <v>83.6</v>
      </c>
      <c r="G186" s="512">
        <v>152361553.09</v>
      </c>
      <c r="H186" s="175">
        <v>99051139.950000003</v>
      </c>
      <c r="I186" s="513">
        <v>65</v>
      </c>
      <c r="J186" s="651">
        <v>3095372.7599999905</v>
      </c>
      <c r="K186" s="176">
        <v>26892372</v>
      </c>
      <c r="L186" s="513">
        <v>26.3</v>
      </c>
    </row>
    <row r="187" spans="1:12" ht="13.5">
      <c r="A187" s="635">
        <v>18</v>
      </c>
      <c r="B187" s="636">
        <v>15</v>
      </c>
      <c r="C187" s="645" t="s">
        <v>514</v>
      </c>
      <c r="D187" s="512">
        <v>107660428.25</v>
      </c>
      <c r="E187" s="175">
        <v>107275991.86</v>
      </c>
      <c r="F187" s="513">
        <v>99.6</v>
      </c>
      <c r="G187" s="512">
        <v>122864428.25</v>
      </c>
      <c r="H187" s="175">
        <v>108160645.37</v>
      </c>
      <c r="I187" s="513">
        <v>88</v>
      </c>
      <c r="J187" s="651">
        <v>-884653.51000000536</v>
      </c>
      <c r="K187" s="176">
        <v>16560325.49</v>
      </c>
      <c r="L187" s="513">
        <v>15.4</v>
      </c>
    </row>
    <row r="188" spans="1:12" ht="13.5">
      <c r="A188" s="635">
        <v>18</v>
      </c>
      <c r="B188" s="636">
        <v>16</v>
      </c>
      <c r="C188" s="645" t="s">
        <v>513</v>
      </c>
      <c r="D188" s="512">
        <v>189977722.53</v>
      </c>
      <c r="E188" s="175">
        <v>199988752.65000001</v>
      </c>
      <c r="F188" s="513">
        <v>105.3</v>
      </c>
      <c r="G188" s="512">
        <v>204328008.78</v>
      </c>
      <c r="H188" s="175">
        <v>166397157.43000001</v>
      </c>
      <c r="I188" s="513">
        <v>81.400000000000006</v>
      </c>
      <c r="J188" s="651">
        <v>33591595.219999999</v>
      </c>
      <c r="K188" s="176">
        <v>18020999</v>
      </c>
      <c r="L188" s="513">
        <v>9</v>
      </c>
    </row>
    <row r="189" spans="1:12" ht="13.5">
      <c r="A189" s="635">
        <v>18</v>
      </c>
      <c r="B189" s="636">
        <v>17</v>
      </c>
      <c r="C189" s="645" t="s">
        <v>512</v>
      </c>
      <c r="D189" s="512">
        <v>120460888.67</v>
      </c>
      <c r="E189" s="175">
        <v>120406922.84999999</v>
      </c>
      <c r="F189" s="513">
        <v>100</v>
      </c>
      <c r="G189" s="512">
        <v>132817002.44</v>
      </c>
      <c r="H189" s="175">
        <v>115896432.63</v>
      </c>
      <c r="I189" s="513">
        <v>87.3</v>
      </c>
      <c r="J189" s="651">
        <v>4510490.2199999988</v>
      </c>
      <c r="K189" s="176">
        <v>20251675</v>
      </c>
      <c r="L189" s="513">
        <v>16.8</v>
      </c>
    </row>
    <row r="190" spans="1:12" ht="13.5">
      <c r="A190" s="635">
        <v>18</v>
      </c>
      <c r="B190" s="636">
        <v>18</v>
      </c>
      <c r="C190" s="645" t="s">
        <v>511</v>
      </c>
      <c r="D190" s="512">
        <v>155572946.24000001</v>
      </c>
      <c r="E190" s="175">
        <v>150163127.38</v>
      </c>
      <c r="F190" s="513">
        <v>96.5</v>
      </c>
      <c r="G190" s="512">
        <v>169129989.24000001</v>
      </c>
      <c r="H190" s="175">
        <v>150075543.71000001</v>
      </c>
      <c r="I190" s="513">
        <v>88.7</v>
      </c>
      <c r="J190" s="651">
        <v>87583.669999986887</v>
      </c>
      <c r="K190" s="176">
        <v>43510000</v>
      </c>
      <c r="L190" s="513">
        <v>29</v>
      </c>
    </row>
    <row r="191" spans="1:12" ht="13.5">
      <c r="A191" s="635">
        <v>18</v>
      </c>
      <c r="B191" s="636">
        <v>19</v>
      </c>
      <c r="C191" s="645" t="s">
        <v>510</v>
      </c>
      <c r="D191" s="512">
        <v>95184078.079999998</v>
      </c>
      <c r="E191" s="175">
        <v>96694821.239999995</v>
      </c>
      <c r="F191" s="513">
        <v>101.6</v>
      </c>
      <c r="G191" s="512">
        <v>96627213.930000007</v>
      </c>
      <c r="H191" s="175">
        <v>93064554.670000002</v>
      </c>
      <c r="I191" s="513">
        <v>96.3</v>
      </c>
      <c r="J191" s="651">
        <v>3630266.5699999928</v>
      </c>
      <c r="K191" s="176">
        <v>33307909</v>
      </c>
      <c r="L191" s="513">
        <v>34.4</v>
      </c>
    </row>
    <row r="192" spans="1:12" ht="13.5">
      <c r="A192" s="635">
        <v>18</v>
      </c>
      <c r="B192" s="636">
        <v>20</v>
      </c>
      <c r="C192" s="645" t="s">
        <v>509</v>
      </c>
      <c r="D192" s="512">
        <v>60249276</v>
      </c>
      <c r="E192" s="175">
        <v>62078814.530000001</v>
      </c>
      <c r="F192" s="513">
        <v>103</v>
      </c>
      <c r="G192" s="512">
        <v>62059361</v>
      </c>
      <c r="H192" s="175">
        <v>56891029.590000004</v>
      </c>
      <c r="I192" s="513">
        <v>91.7</v>
      </c>
      <c r="J192" s="651">
        <v>5187784.9399999976</v>
      </c>
      <c r="K192" s="176">
        <v>7607500</v>
      </c>
      <c r="L192" s="513">
        <v>12.3</v>
      </c>
    </row>
    <row r="193" spans="1:12" ht="13.5">
      <c r="A193" s="635">
        <v>18</v>
      </c>
      <c r="B193" s="636">
        <v>21</v>
      </c>
      <c r="C193" s="645" t="s">
        <v>508</v>
      </c>
      <c r="D193" s="512">
        <v>41475615.719999999</v>
      </c>
      <c r="E193" s="175">
        <v>42124582.170000002</v>
      </c>
      <c r="F193" s="513">
        <v>101.6</v>
      </c>
      <c r="G193" s="512">
        <v>41746928.100000001</v>
      </c>
      <c r="H193" s="175">
        <v>41219098.5</v>
      </c>
      <c r="I193" s="513">
        <v>98.7</v>
      </c>
      <c r="J193" s="651">
        <v>905483.67000000179</v>
      </c>
      <c r="K193" s="176">
        <v>7629902.2000000002</v>
      </c>
      <c r="L193" s="513">
        <v>18.100000000000001</v>
      </c>
    </row>
    <row r="194" spans="1:12" ht="13.5">
      <c r="A194" s="635">
        <v>20</v>
      </c>
      <c r="B194" s="636">
        <v>1</v>
      </c>
      <c r="C194" s="645" t="s">
        <v>507</v>
      </c>
      <c r="D194" s="512">
        <v>89572553</v>
      </c>
      <c r="E194" s="175">
        <v>90876373.799999997</v>
      </c>
      <c r="F194" s="513">
        <v>101.5</v>
      </c>
      <c r="G194" s="512">
        <v>88182158</v>
      </c>
      <c r="H194" s="175">
        <v>84441470.5</v>
      </c>
      <c r="I194" s="513">
        <v>95.8</v>
      </c>
      <c r="J194" s="651">
        <v>6434903.299999997</v>
      </c>
      <c r="K194" s="176">
        <v>1000012</v>
      </c>
      <c r="L194" s="513">
        <v>1.1000000000000001</v>
      </c>
    </row>
    <row r="195" spans="1:12" ht="13.5">
      <c r="A195" s="635">
        <v>20</v>
      </c>
      <c r="B195" s="636">
        <v>2</v>
      </c>
      <c r="C195" s="645" t="s">
        <v>506</v>
      </c>
      <c r="D195" s="512">
        <v>201353881.59999999</v>
      </c>
      <c r="E195" s="175">
        <v>208466582.15000001</v>
      </c>
      <c r="F195" s="513">
        <v>103.5</v>
      </c>
      <c r="G195" s="512">
        <v>220448191.56999999</v>
      </c>
      <c r="H195" s="175">
        <v>182333779.12</v>
      </c>
      <c r="I195" s="513">
        <v>82.7</v>
      </c>
      <c r="J195" s="651">
        <v>26132803.030000001</v>
      </c>
      <c r="K195" s="176">
        <v>30040216.789999999</v>
      </c>
      <c r="L195" s="513">
        <v>14.4</v>
      </c>
    </row>
    <row r="196" spans="1:12" ht="13.5">
      <c r="A196" s="635">
        <v>20</v>
      </c>
      <c r="B196" s="636">
        <v>3</v>
      </c>
      <c r="C196" s="645" t="s">
        <v>477</v>
      </c>
      <c r="D196" s="512">
        <v>70671182.129999995</v>
      </c>
      <c r="E196" s="175">
        <v>72895462.730000004</v>
      </c>
      <c r="F196" s="513">
        <v>103.1</v>
      </c>
      <c r="G196" s="512">
        <v>76051396.109999999</v>
      </c>
      <c r="H196" s="175">
        <v>69064137.730000004</v>
      </c>
      <c r="I196" s="513">
        <v>90.8</v>
      </c>
      <c r="J196" s="651">
        <v>3831325</v>
      </c>
      <c r="K196" s="176">
        <v>223000</v>
      </c>
      <c r="L196" s="513">
        <v>0.3</v>
      </c>
    </row>
    <row r="197" spans="1:12" ht="13.5">
      <c r="A197" s="635">
        <v>20</v>
      </c>
      <c r="B197" s="636">
        <v>4</v>
      </c>
      <c r="C197" s="645" t="s">
        <v>505</v>
      </c>
      <c r="D197" s="512">
        <v>68243810</v>
      </c>
      <c r="E197" s="175">
        <v>68031708.670000002</v>
      </c>
      <c r="F197" s="513">
        <v>99.7</v>
      </c>
      <c r="G197" s="512">
        <v>73178610</v>
      </c>
      <c r="H197" s="175">
        <v>69270044.939999998</v>
      </c>
      <c r="I197" s="513">
        <v>94.7</v>
      </c>
      <c r="J197" s="651">
        <v>-1238336.2699999958</v>
      </c>
      <c r="K197" s="176">
        <v>122.85</v>
      </c>
      <c r="L197" s="513">
        <v>0</v>
      </c>
    </row>
    <row r="198" spans="1:12" ht="13.5">
      <c r="A198" s="635">
        <v>20</v>
      </c>
      <c r="B198" s="636">
        <v>5</v>
      </c>
      <c r="C198" s="645" t="s">
        <v>504</v>
      </c>
      <c r="D198" s="512">
        <v>71654134.609999999</v>
      </c>
      <c r="E198" s="175">
        <v>67904509.819999993</v>
      </c>
      <c r="F198" s="513">
        <v>94.8</v>
      </c>
      <c r="G198" s="512">
        <v>73381513.930000007</v>
      </c>
      <c r="H198" s="175">
        <v>62539677.060000002</v>
      </c>
      <c r="I198" s="513">
        <v>85.2</v>
      </c>
      <c r="J198" s="651">
        <v>5364832.7599999905</v>
      </c>
      <c r="K198" s="176">
        <v>13927979</v>
      </c>
      <c r="L198" s="513">
        <v>20.5</v>
      </c>
    </row>
    <row r="199" spans="1:12" ht="13.5">
      <c r="A199" s="635">
        <v>20</v>
      </c>
      <c r="B199" s="636">
        <v>6</v>
      </c>
      <c r="C199" s="645" t="s">
        <v>503</v>
      </c>
      <c r="D199" s="512">
        <v>49262688.649999999</v>
      </c>
      <c r="E199" s="175">
        <v>49729654.219999999</v>
      </c>
      <c r="F199" s="513">
        <v>100.9</v>
      </c>
      <c r="G199" s="512">
        <v>51968748.700000003</v>
      </c>
      <c r="H199" s="175">
        <v>47948022.289999999</v>
      </c>
      <c r="I199" s="513">
        <v>92.3</v>
      </c>
      <c r="J199" s="651">
        <v>1781631.9299999997</v>
      </c>
      <c r="K199" s="176">
        <v>540000</v>
      </c>
      <c r="L199" s="513">
        <v>1.1000000000000001</v>
      </c>
    </row>
    <row r="200" spans="1:12" ht="13.5">
      <c r="A200" s="635">
        <v>20</v>
      </c>
      <c r="B200" s="636">
        <v>7</v>
      </c>
      <c r="C200" s="645" t="s">
        <v>502</v>
      </c>
      <c r="D200" s="512">
        <v>50034613.109999999</v>
      </c>
      <c r="E200" s="175">
        <v>56607577.170000002</v>
      </c>
      <c r="F200" s="513">
        <v>113.1</v>
      </c>
      <c r="G200" s="512">
        <v>50064969.409999996</v>
      </c>
      <c r="H200" s="175">
        <v>44854074.93</v>
      </c>
      <c r="I200" s="513">
        <v>89.6</v>
      </c>
      <c r="J200" s="651">
        <v>11753502.240000002</v>
      </c>
      <c r="K200" s="176">
        <v>0</v>
      </c>
      <c r="L200" s="513">
        <v>0</v>
      </c>
    </row>
    <row r="201" spans="1:12" ht="13.5">
      <c r="A201" s="635">
        <v>20</v>
      </c>
      <c r="B201" s="636">
        <v>8</v>
      </c>
      <c r="C201" s="645" t="s">
        <v>501</v>
      </c>
      <c r="D201" s="512">
        <v>63930206</v>
      </c>
      <c r="E201" s="175">
        <v>74572970.530000001</v>
      </c>
      <c r="F201" s="513">
        <v>116.6</v>
      </c>
      <c r="G201" s="512">
        <v>67824381</v>
      </c>
      <c r="H201" s="175">
        <v>62067347.799999997</v>
      </c>
      <c r="I201" s="513">
        <v>91.5</v>
      </c>
      <c r="J201" s="651">
        <v>12505622.730000004</v>
      </c>
      <c r="K201" s="176">
        <v>14066367.039999999</v>
      </c>
      <c r="L201" s="513">
        <v>18.899999999999999</v>
      </c>
    </row>
    <row r="202" spans="1:12" ht="13.5">
      <c r="A202" s="635">
        <v>20</v>
      </c>
      <c r="B202" s="636">
        <v>9</v>
      </c>
      <c r="C202" s="645" t="s">
        <v>500</v>
      </c>
      <c r="D202" s="512">
        <v>36583760</v>
      </c>
      <c r="E202" s="175">
        <v>38219103.909999996</v>
      </c>
      <c r="F202" s="513">
        <v>104.5</v>
      </c>
      <c r="G202" s="512">
        <v>38621725</v>
      </c>
      <c r="H202" s="175">
        <v>31916576.43</v>
      </c>
      <c r="I202" s="513">
        <v>82.6</v>
      </c>
      <c r="J202" s="651">
        <v>6302527.4799999967</v>
      </c>
      <c r="K202" s="176">
        <v>1214107</v>
      </c>
      <c r="L202" s="513">
        <v>3.2</v>
      </c>
    </row>
    <row r="203" spans="1:12" ht="13.5">
      <c r="A203" s="635">
        <v>20</v>
      </c>
      <c r="B203" s="636">
        <v>10</v>
      </c>
      <c r="C203" s="645" t="s">
        <v>499</v>
      </c>
      <c r="D203" s="512">
        <v>65453522.659999996</v>
      </c>
      <c r="E203" s="175">
        <v>62648463.350000001</v>
      </c>
      <c r="F203" s="513">
        <v>95.7</v>
      </c>
      <c r="G203" s="512">
        <v>68453522.659999996</v>
      </c>
      <c r="H203" s="175">
        <v>59084406.32</v>
      </c>
      <c r="I203" s="513">
        <v>86.3</v>
      </c>
      <c r="J203" s="651">
        <v>3564057.0300000012</v>
      </c>
      <c r="K203" s="176">
        <v>7500000</v>
      </c>
      <c r="L203" s="513">
        <v>12</v>
      </c>
    </row>
    <row r="204" spans="1:12" ht="13.5">
      <c r="A204" s="635">
        <v>20</v>
      </c>
      <c r="B204" s="636">
        <v>11</v>
      </c>
      <c r="C204" s="645" t="s">
        <v>498</v>
      </c>
      <c r="D204" s="512">
        <v>114426424</v>
      </c>
      <c r="E204" s="175">
        <v>111521189.27</v>
      </c>
      <c r="F204" s="513">
        <v>97.5</v>
      </c>
      <c r="G204" s="512">
        <v>116844041.52</v>
      </c>
      <c r="H204" s="175">
        <v>96968410.599999994</v>
      </c>
      <c r="I204" s="513">
        <v>83</v>
      </c>
      <c r="J204" s="651">
        <v>14552778.670000002</v>
      </c>
      <c r="K204" s="176">
        <v>27200000</v>
      </c>
      <c r="L204" s="513">
        <v>24.4</v>
      </c>
    </row>
    <row r="205" spans="1:12" ht="13.5">
      <c r="A205" s="635">
        <v>20</v>
      </c>
      <c r="B205" s="636">
        <v>12</v>
      </c>
      <c r="C205" s="645" t="s">
        <v>497</v>
      </c>
      <c r="D205" s="512">
        <v>50937457.710000001</v>
      </c>
      <c r="E205" s="175">
        <v>50118144.539999999</v>
      </c>
      <c r="F205" s="513">
        <v>98.4</v>
      </c>
      <c r="G205" s="512">
        <v>61832134.189999998</v>
      </c>
      <c r="H205" s="175">
        <v>49296128.090000004</v>
      </c>
      <c r="I205" s="513">
        <v>79.7</v>
      </c>
      <c r="J205" s="651">
        <v>822016.44999999553</v>
      </c>
      <c r="K205" s="176">
        <v>3719566.96</v>
      </c>
      <c r="L205" s="513">
        <v>7.4</v>
      </c>
    </row>
    <row r="206" spans="1:12" ht="13.5">
      <c r="A206" s="635">
        <v>20</v>
      </c>
      <c r="B206" s="636">
        <v>13</v>
      </c>
      <c r="C206" s="645" t="s">
        <v>496</v>
      </c>
      <c r="D206" s="512">
        <v>111666708.23999999</v>
      </c>
      <c r="E206" s="175">
        <v>117288438.17</v>
      </c>
      <c r="F206" s="513">
        <v>105</v>
      </c>
      <c r="G206" s="512">
        <v>122758670.23999999</v>
      </c>
      <c r="H206" s="175">
        <v>103605834.02</v>
      </c>
      <c r="I206" s="513">
        <v>84.4</v>
      </c>
      <c r="J206" s="651">
        <v>13682604.150000006</v>
      </c>
      <c r="K206" s="176">
        <v>1200000</v>
      </c>
      <c r="L206" s="513">
        <v>1</v>
      </c>
    </row>
    <row r="207" spans="1:12" ht="13.5">
      <c r="A207" s="635">
        <v>20</v>
      </c>
      <c r="B207" s="636">
        <v>14</v>
      </c>
      <c r="C207" s="645" t="s">
        <v>495</v>
      </c>
      <c r="D207" s="512">
        <v>57340479.310000002</v>
      </c>
      <c r="E207" s="175">
        <v>60390758.039999999</v>
      </c>
      <c r="F207" s="513">
        <v>105.3</v>
      </c>
      <c r="G207" s="512">
        <v>61272839.310000002</v>
      </c>
      <c r="H207" s="175">
        <v>59113728.539999999</v>
      </c>
      <c r="I207" s="513">
        <v>96.5</v>
      </c>
      <c r="J207" s="651">
        <v>1277029.5</v>
      </c>
      <c r="K207" s="176">
        <v>6950000</v>
      </c>
      <c r="L207" s="513">
        <v>11.5</v>
      </c>
    </row>
    <row r="208" spans="1:12" ht="13.5">
      <c r="A208" s="635">
        <v>22</v>
      </c>
      <c r="B208" s="636">
        <v>1</v>
      </c>
      <c r="C208" s="645" t="s">
        <v>494</v>
      </c>
      <c r="D208" s="512">
        <v>129402288</v>
      </c>
      <c r="E208" s="175">
        <v>127477845.18000001</v>
      </c>
      <c r="F208" s="513">
        <v>98.5</v>
      </c>
      <c r="G208" s="512">
        <v>133380852</v>
      </c>
      <c r="H208" s="175">
        <v>119427582.84</v>
      </c>
      <c r="I208" s="513">
        <v>89.5</v>
      </c>
      <c r="J208" s="651">
        <v>8050262.3400000036</v>
      </c>
      <c r="K208" s="176">
        <v>39443495.630000003</v>
      </c>
      <c r="L208" s="513">
        <v>30.9</v>
      </c>
    </row>
    <row r="209" spans="1:12" ht="13.5">
      <c r="A209" s="635">
        <v>22</v>
      </c>
      <c r="B209" s="636">
        <v>2</v>
      </c>
      <c r="C209" s="645" t="s">
        <v>493</v>
      </c>
      <c r="D209" s="512">
        <v>146801350</v>
      </c>
      <c r="E209" s="175">
        <v>165333192.97</v>
      </c>
      <c r="F209" s="513">
        <v>112.6</v>
      </c>
      <c r="G209" s="512">
        <v>157301350</v>
      </c>
      <c r="H209" s="175">
        <v>143736948.59</v>
      </c>
      <c r="I209" s="513">
        <v>91.4</v>
      </c>
      <c r="J209" s="651">
        <v>21596244.379999995</v>
      </c>
      <c r="K209" s="176">
        <v>21500000</v>
      </c>
      <c r="L209" s="513">
        <v>13</v>
      </c>
    </row>
    <row r="210" spans="1:12" ht="13.5">
      <c r="A210" s="635">
        <v>22</v>
      </c>
      <c r="B210" s="636">
        <v>3</v>
      </c>
      <c r="C210" s="645" t="s">
        <v>492</v>
      </c>
      <c r="D210" s="512">
        <v>124561804</v>
      </c>
      <c r="E210" s="175">
        <v>120585491.75</v>
      </c>
      <c r="F210" s="513">
        <v>96.8</v>
      </c>
      <c r="G210" s="512">
        <v>137037068</v>
      </c>
      <c r="H210" s="175">
        <v>113946311.93000001</v>
      </c>
      <c r="I210" s="513">
        <v>83.1</v>
      </c>
      <c r="J210" s="651">
        <v>6639179.8199999928</v>
      </c>
      <c r="K210" s="176">
        <v>55558562.5</v>
      </c>
      <c r="L210" s="513">
        <v>46.1</v>
      </c>
    </row>
    <row r="211" spans="1:12" ht="13.5">
      <c r="A211" s="635">
        <v>22</v>
      </c>
      <c r="B211" s="636">
        <v>4</v>
      </c>
      <c r="C211" s="645" t="s">
        <v>491</v>
      </c>
      <c r="D211" s="512">
        <v>121912793</v>
      </c>
      <c r="E211" s="175">
        <v>127058120.31</v>
      </c>
      <c r="F211" s="513">
        <v>104.2</v>
      </c>
      <c r="G211" s="512">
        <v>129924367</v>
      </c>
      <c r="H211" s="175">
        <v>119742243.18000001</v>
      </c>
      <c r="I211" s="513">
        <v>92.2</v>
      </c>
      <c r="J211" s="651">
        <v>7315877.1299999952</v>
      </c>
      <c r="K211" s="176">
        <v>700000</v>
      </c>
      <c r="L211" s="513">
        <v>0.6</v>
      </c>
    </row>
    <row r="212" spans="1:12" ht="13.5">
      <c r="A212" s="635">
        <v>22</v>
      </c>
      <c r="B212" s="636">
        <v>5</v>
      </c>
      <c r="C212" s="645" t="s">
        <v>490</v>
      </c>
      <c r="D212" s="512">
        <v>197849358</v>
      </c>
      <c r="E212" s="175">
        <v>199641842.31999999</v>
      </c>
      <c r="F212" s="513">
        <v>100.9</v>
      </c>
      <c r="G212" s="512">
        <v>207913218</v>
      </c>
      <c r="H212" s="175">
        <v>176960248.78</v>
      </c>
      <c r="I212" s="513">
        <v>85.1</v>
      </c>
      <c r="J212" s="651">
        <v>22681593.539999992</v>
      </c>
      <c r="K212" s="176">
        <v>39900000</v>
      </c>
      <c r="L212" s="513">
        <v>20</v>
      </c>
    </row>
    <row r="213" spans="1:12" ht="13.5">
      <c r="A213" s="635">
        <v>22</v>
      </c>
      <c r="B213" s="636">
        <v>6</v>
      </c>
      <c r="C213" s="645" t="s">
        <v>489</v>
      </c>
      <c r="D213" s="512">
        <v>111902708.09</v>
      </c>
      <c r="E213" s="175">
        <v>114798120.91</v>
      </c>
      <c r="F213" s="513">
        <v>102.6</v>
      </c>
      <c r="G213" s="512">
        <v>117424469.98999999</v>
      </c>
      <c r="H213" s="175">
        <v>113282266.04000001</v>
      </c>
      <c r="I213" s="513">
        <v>96.5</v>
      </c>
      <c r="J213" s="651">
        <v>1515854.8699999899</v>
      </c>
      <c r="K213" s="176">
        <v>19296788.559999999</v>
      </c>
      <c r="L213" s="513">
        <v>16.8</v>
      </c>
    </row>
    <row r="214" spans="1:12" ht="13.5">
      <c r="A214" s="635">
        <v>22</v>
      </c>
      <c r="B214" s="636">
        <v>7</v>
      </c>
      <c r="C214" s="645" t="s">
        <v>488</v>
      </c>
      <c r="D214" s="512">
        <v>110718993</v>
      </c>
      <c r="E214" s="175">
        <v>115043387.36</v>
      </c>
      <c r="F214" s="513">
        <v>103.9</v>
      </c>
      <c r="G214" s="512">
        <v>115862812</v>
      </c>
      <c r="H214" s="175">
        <v>108098239.33</v>
      </c>
      <c r="I214" s="513">
        <v>93.3</v>
      </c>
      <c r="J214" s="651">
        <v>6945148.0300000012</v>
      </c>
      <c r="K214" s="176">
        <v>10136500</v>
      </c>
      <c r="L214" s="513">
        <v>8.8000000000000007</v>
      </c>
    </row>
    <row r="215" spans="1:12" ht="13.5">
      <c r="A215" s="635">
        <v>22</v>
      </c>
      <c r="B215" s="636">
        <v>8</v>
      </c>
      <c r="C215" s="645" t="s">
        <v>487</v>
      </c>
      <c r="D215" s="512">
        <v>105449353</v>
      </c>
      <c r="E215" s="175">
        <v>108478015.31999999</v>
      </c>
      <c r="F215" s="513">
        <v>102.9</v>
      </c>
      <c r="G215" s="512">
        <v>115832746</v>
      </c>
      <c r="H215" s="175">
        <v>103227802.48</v>
      </c>
      <c r="I215" s="513">
        <v>89.1</v>
      </c>
      <c r="J215" s="651">
        <v>5250212.8399999887</v>
      </c>
      <c r="K215" s="176">
        <v>11529440</v>
      </c>
      <c r="L215" s="513">
        <v>10.6</v>
      </c>
    </row>
    <row r="216" spans="1:12" ht="13.5">
      <c r="A216" s="635">
        <v>22</v>
      </c>
      <c r="B216" s="636">
        <v>9</v>
      </c>
      <c r="C216" s="645" t="s">
        <v>486</v>
      </c>
      <c r="D216" s="512">
        <v>98130505</v>
      </c>
      <c r="E216" s="175">
        <v>97732865.420000002</v>
      </c>
      <c r="F216" s="513">
        <v>99.6</v>
      </c>
      <c r="G216" s="512">
        <v>99848281</v>
      </c>
      <c r="H216" s="175">
        <v>92408197.969999999</v>
      </c>
      <c r="I216" s="513">
        <v>92.5</v>
      </c>
      <c r="J216" s="651">
        <v>5324667.450000003</v>
      </c>
      <c r="K216" s="176">
        <v>32258096.280000001</v>
      </c>
      <c r="L216" s="513">
        <v>33</v>
      </c>
    </row>
    <row r="217" spans="1:12" ht="13.5">
      <c r="A217" s="635">
        <v>22</v>
      </c>
      <c r="B217" s="636">
        <v>10</v>
      </c>
      <c r="C217" s="645" t="s">
        <v>485</v>
      </c>
      <c r="D217" s="512">
        <v>63244776.469999999</v>
      </c>
      <c r="E217" s="175">
        <v>61940431.380000003</v>
      </c>
      <c r="F217" s="513">
        <v>97.9</v>
      </c>
      <c r="G217" s="512">
        <v>64254414.469999999</v>
      </c>
      <c r="H217" s="175">
        <v>56162069.960000001</v>
      </c>
      <c r="I217" s="513">
        <v>87.4</v>
      </c>
      <c r="J217" s="651">
        <v>5778361.4200000018</v>
      </c>
      <c r="K217" s="176">
        <v>13236527</v>
      </c>
      <c r="L217" s="513">
        <v>21.4</v>
      </c>
    </row>
    <row r="218" spans="1:12" ht="13.5">
      <c r="A218" s="635">
        <v>22</v>
      </c>
      <c r="B218" s="636">
        <v>11</v>
      </c>
      <c r="C218" s="645" t="s">
        <v>484</v>
      </c>
      <c r="D218" s="512">
        <v>95101543</v>
      </c>
      <c r="E218" s="175">
        <v>107941822.17</v>
      </c>
      <c r="F218" s="513">
        <v>113.5</v>
      </c>
      <c r="G218" s="512">
        <v>104073321</v>
      </c>
      <c r="H218" s="175">
        <v>98267054.879999995</v>
      </c>
      <c r="I218" s="513">
        <v>94.4</v>
      </c>
      <c r="J218" s="651">
        <v>9674767.2900000066</v>
      </c>
      <c r="K218" s="176">
        <v>13200000</v>
      </c>
      <c r="L218" s="513">
        <v>12.2</v>
      </c>
    </row>
    <row r="219" spans="1:12" ht="13.5">
      <c r="A219" s="635">
        <v>22</v>
      </c>
      <c r="B219" s="636">
        <v>12</v>
      </c>
      <c r="C219" s="645" t="s">
        <v>483</v>
      </c>
      <c r="D219" s="512">
        <v>138892762</v>
      </c>
      <c r="E219" s="175">
        <v>150817715.02000001</v>
      </c>
      <c r="F219" s="513">
        <v>108.6</v>
      </c>
      <c r="G219" s="512">
        <v>161879286</v>
      </c>
      <c r="H219" s="175">
        <v>145839803.19</v>
      </c>
      <c r="I219" s="513">
        <v>90.1</v>
      </c>
      <c r="J219" s="651">
        <v>4977911.8300000131</v>
      </c>
      <c r="K219" s="176">
        <v>24504942</v>
      </c>
      <c r="L219" s="513">
        <v>16.2</v>
      </c>
    </row>
    <row r="220" spans="1:12" ht="13.5">
      <c r="A220" s="635">
        <v>22</v>
      </c>
      <c r="B220" s="636">
        <v>13</v>
      </c>
      <c r="C220" s="645" t="s">
        <v>482</v>
      </c>
      <c r="D220" s="512">
        <v>193402568.97</v>
      </c>
      <c r="E220" s="175">
        <v>188010422.59999999</v>
      </c>
      <c r="F220" s="513">
        <v>97.2</v>
      </c>
      <c r="G220" s="512">
        <v>221760277.46000001</v>
      </c>
      <c r="H220" s="175">
        <v>192034757.44</v>
      </c>
      <c r="I220" s="513">
        <v>86.6</v>
      </c>
      <c r="J220" s="651">
        <v>-4024334.8400000036</v>
      </c>
      <c r="K220" s="176">
        <v>50536388.32</v>
      </c>
      <c r="L220" s="513">
        <v>26.9</v>
      </c>
    </row>
    <row r="221" spans="1:12" ht="13.5">
      <c r="A221" s="635">
        <v>22</v>
      </c>
      <c r="B221" s="636">
        <v>14</v>
      </c>
      <c r="C221" s="645" t="s">
        <v>481</v>
      </c>
      <c r="D221" s="512">
        <v>190793861</v>
      </c>
      <c r="E221" s="175">
        <v>185427382.78</v>
      </c>
      <c r="F221" s="513">
        <v>97.2</v>
      </c>
      <c r="G221" s="512">
        <v>196464335</v>
      </c>
      <c r="H221" s="175">
        <v>181487432.18000001</v>
      </c>
      <c r="I221" s="513">
        <v>92.4</v>
      </c>
      <c r="J221" s="651">
        <v>3939950.599999994</v>
      </c>
      <c r="K221" s="176">
        <v>42500000</v>
      </c>
      <c r="L221" s="513">
        <v>22.9</v>
      </c>
    </row>
    <row r="222" spans="1:12" ht="13.5">
      <c r="A222" s="635">
        <v>22</v>
      </c>
      <c r="B222" s="636">
        <v>15</v>
      </c>
      <c r="C222" s="645" t="s">
        <v>480</v>
      </c>
      <c r="D222" s="512">
        <v>253586440</v>
      </c>
      <c r="E222" s="175">
        <v>274747205.58999997</v>
      </c>
      <c r="F222" s="513">
        <v>108.3</v>
      </c>
      <c r="G222" s="512">
        <v>289416112</v>
      </c>
      <c r="H222" s="175">
        <v>247684429.13</v>
      </c>
      <c r="I222" s="513">
        <v>85.6</v>
      </c>
      <c r="J222" s="651">
        <v>27062776.459999979</v>
      </c>
      <c r="K222" s="176">
        <v>19471000</v>
      </c>
      <c r="L222" s="513">
        <v>7.1</v>
      </c>
    </row>
    <row r="223" spans="1:12" ht="13.5">
      <c r="A223" s="635">
        <v>22</v>
      </c>
      <c r="B223" s="636">
        <v>16</v>
      </c>
      <c r="C223" s="645" t="s">
        <v>479</v>
      </c>
      <c r="D223" s="512">
        <v>60675926.799999997</v>
      </c>
      <c r="E223" s="175">
        <v>65359866.189999998</v>
      </c>
      <c r="F223" s="513">
        <v>107.7</v>
      </c>
      <c r="G223" s="512">
        <v>73108237.650000006</v>
      </c>
      <c r="H223" s="175">
        <v>68963089.260000005</v>
      </c>
      <c r="I223" s="513">
        <v>94.3</v>
      </c>
      <c r="J223" s="651">
        <v>-3603223.0700000077</v>
      </c>
      <c r="K223" s="176">
        <v>5660000</v>
      </c>
      <c r="L223" s="513">
        <v>8.6999999999999993</v>
      </c>
    </row>
    <row r="224" spans="1:12" ht="13.5">
      <c r="A224" s="635">
        <v>24</v>
      </c>
      <c r="B224" s="636">
        <v>1</v>
      </c>
      <c r="C224" s="645" t="s">
        <v>478</v>
      </c>
      <c r="D224" s="512">
        <v>160324714.66</v>
      </c>
      <c r="E224" s="175">
        <v>156229411.08000001</v>
      </c>
      <c r="F224" s="513">
        <v>97.4</v>
      </c>
      <c r="G224" s="512">
        <v>160533462.46000001</v>
      </c>
      <c r="H224" s="175">
        <v>140177782.97999999</v>
      </c>
      <c r="I224" s="513">
        <v>87.3</v>
      </c>
      <c r="J224" s="651">
        <v>16051628.100000024</v>
      </c>
      <c r="K224" s="176">
        <v>6396000</v>
      </c>
      <c r="L224" s="513">
        <v>4.0999999999999996</v>
      </c>
    </row>
    <row r="225" spans="1:12" ht="13.5">
      <c r="A225" s="635">
        <v>24</v>
      </c>
      <c r="B225" s="636">
        <v>2</v>
      </c>
      <c r="C225" s="645" t="s">
        <v>477</v>
      </c>
      <c r="D225" s="512">
        <v>138377655.41</v>
      </c>
      <c r="E225" s="175">
        <v>146655508.59</v>
      </c>
      <c r="F225" s="513">
        <v>106</v>
      </c>
      <c r="G225" s="512">
        <v>147879571.09999999</v>
      </c>
      <c r="H225" s="175">
        <v>135904764.84</v>
      </c>
      <c r="I225" s="513">
        <v>91.9</v>
      </c>
      <c r="J225" s="651">
        <v>10750743.75</v>
      </c>
      <c r="K225" s="176">
        <v>1451647</v>
      </c>
      <c r="L225" s="513">
        <v>1</v>
      </c>
    </row>
    <row r="226" spans="1:12" ht="13.5">
      <c r="A226" s="635">
        <v>24</v>
      </c>
      <c r="B226" s="636">
        <v>3</v>
      </c>
      <c r="C226" s="645" t="s">
        <v>476</v>
      </c>
      <c r="D226" s="512">
        <v>251122429</v>
      </c>
      <c r="E226" s="175">
        <v>243574399.84</v>
      </c>
      <c r="F226" s="513">
        <v>97</v>
      </c>
      <c r="G226" s="512">
        <v>262435028</v>
      </c>
      <c r="H226" s="175">
        <v>228291295.99000001</v>
      </c>
      <c r="I226" s="513">
        <v>87</v>
      </c>
      <c r="J226" s="651">
        <v>15283103.849999994</v>
      </c>
      <c r="K226" s="176">
        <v>12279848.6</v>
      </c>
      <c r="L226" s="513">
        <v>5</v>
      </c>
    </row>
    <row r="227" spans="1:12" ht="13.5">
      <c r="A227" s="635">
        <v>24</v>
      </c>
      <c r="B227" s="636">
        <v>4</v>
      </c>
      <c r="C227" s="645" t="s">
        <v>475</v>
      </c>
      <c r="D227" s="512">
        <v>137060653.44999999</v>
      </c>
      <c r="E227" s="175">
        <v>141224302.66999999</v>
      </c>
      <c r="F227" s="513">
        <v>103</v>
      </c>
      <c r="G227" s="512">
        <v>142256906.44999999</v>
      </c>
      <c r="H227" s="175">
        <v>131866289.69</v>
      </c>
      <c r="I227" s="513">
        <v>92.7</v>
      </c>
      <c r="J227" s="651">
        <v>9358012.9799999893</v>
      </c>
      <c r="K227" s="176">
        <v>26250153.629999999</v>
      </c>
      <c r="L227" s="513">
        <v>18.600000000000001</v>
      </c>
    </row>
    <row r="228" spans="1:12" ht="13.5">
      <c r="A228" s="635">
        <v>24</v>
      </c>
      <c r="B228" s="636">
        <v>5</v>
      </c>
      <c r="C228" s="645" t="s">
        <v>474</v>
      </c>
      <c r="D228" s="512">
        <v>116072104</v>
      </c>
      <c r="E228" s="175">
        <v>115435125.97</v>
      </c>
      <c r="F228" s="513">
        <v>99.5</v>
      </c>
      <c r="G228" s="512">
        <v>123029945</v>
      </c>
      <c r="H228" s="175">
        <v>111375580.34</v>
      </c>
      <c r="I228" s="513">
        <v>90.5</v>
      </c>
      <c r="J228" s="651">
        <v>4059545.6299999952</v>
      </c>
      <c r="K228" s="176">
        <v>0</v>
      </c>
      <c r="L228" s="513">
        <v>0</v>
      </c>
    </row>
    <row r="229" spans="1:12" ht="13.5">
      <c r="A229" s="635">
        <v>24</v>
      </c>
      <c r="B229" s="636">
        <v>6</v>
      </c>
      <c r="C229" s="645" t="s">
        <v>473</v>
      </c>
      <c r="D229" s="512">
        <v>71098715.859999999</v>
      </c>
      <c r="E229" s="175">
        <v>77558843.180000007</v>
      </c>
      <c r="F229" s="513">
        <v>109.1</v>
      </c>
      <c r="G229" s="512">
        <v>82823802.859999999</v>
      </c>
      <c r="H229" s="175">
        <v>77830065.010000005</v>
      </c>
      <c r="I229" s="513">
        <v>94</v>
      </c>
      <c r="J229" s="651">
        <v>-271221.82999999821</v>
      </c>
      <c r="K229" s="176">
        <v>8653351.7799999993</v>
      </c>
      <c r="L229" s="513">
        <v>11.2</v>
      </c>
    </row>
    <row r="230" spans="1:12" ht="13.5">
      <c r="A230" s="635">
        <v>24</v>
      </c>
      <c r="B230" s="636">
        <v>7</v>
      </c>
      <c r="C230" s="645" t="s">
        <v>472</v>
      </c>
      <c r="D230" s="512">
        <v>120002528.72</v>
      </c>
      <c r="E230" s="175">
        <v>121963453.98999999</v>
      </c>
      <c r="F230" s="513">
        <v>101.6</v>
      </c>
      <c r="G230" s="512">
        <v>118587731.78</v>
      </c>
      <c r="H230" s="175">
        <v>114010354.84</v>
      </c>
      <c r="I230" s="513">
        <v>96.1</v>
      </c>
      <c r="J230" s="651">
        <v>7953099.1499999911</v>
      </c>
      <c r="K230" s="176">
        <v>9460080.1899999995</v>
      </c>
      <c r="L230" s="513">
        <v>7.8</v>
      </c>
    </row>
    <row r="231" spans="1:12" ht="13.5">
      <c r="A231" s="635">
        <v>24</v>
      </c>
      <c r="B231" s="636">
        <v>8</v>
      </c>
      <c r="C231" s="645" t="s">
        <v>471</v>
      </c>
      <c r="D231" s="512">
        <v>131819810.34999999</v>
      </c>
      <c r="E231" s="175">
        <v>131085775.81999999</v>
      </c>
      <c r="F231" s="513">
        <v>99.4</v>
      </c>
      <c r="G231" s="512">
        <v>136682260.13</v>
      </c>
      <c r="H231" s="175">
        <v>129774725.70999999</v>
      </c>
      <c r="I231" s="513">
        <v>94.9</v>
      </c>
      <c r="J231" s="651">
        <v>1311050.1099999994</v>
      </c>
      <c r="K231" s="176">
        <v>19581318.280000001</v>
      </c>
      <c r="L231" s="513">
        <v>14.9</v>
      </c>
    </row>
    <row r="232" spans="1:12" ht="13.5">
      <c r="A232" s="635">
        <v>24</v>
      </c>
      <c r="B232" s="636">
        <v>9</v>
      </c>
      <c r="C232" s="645" t="s">
        <v>470</v>
      </c>
      <c r="D232" s="512">
        <v>81972036.599999994</v>
      </c>
      <c r="E232" s="175">
        <v>86821733.019999996</v>
      </c>
      <c r="F232" s="513">
        <v>105.9</v>
      </c>
      <c r="G232" s="512">
        <v>87076338.599999994</v>
      </c>
      <c r="H232" s="175">
        <v>83387192.849999994</v>
      </c>
      <c r="I232" s="513">
        <v>95.8</v>
      </c>
      <c r="J232" s="651">
        <v>3434540.1700000018</v>
      </c>
      <c r="K232" s="176">
        <v>8694570</v>
      </c>
      <c r="L232" s="513">
        <v>10</v>
      </c>
    </row>
    <row r="233" spans="1:12" ht="13.5">
      <c r="A233" s="635">
        <v>24</v>
      </c>
      <c r="B233" s="636">
        <v>10</v>
      </c>
      <c r="C233" s="645" t="s">
        <v>469</v>
      </c>
      <c r="D233" s="512">
        <v>128173657.73999999</v>
      </c>
      <c r="E233" s="175">
        <v>127978625.34999999</v>
      </c>
      <c r="F233" s="513">
        <v>99.8</v>
      </c>
      <c r="G233" s="512">
        <v>136002282.74000001</v>
      </c>
      <c r="H233" s="175">
        <v>123040260.84999999</v>
      </c>
      <c r="I233" s="513">
        <v>90.5</v>
      </c>
      <c r="J233" s="651">
        <v>4938364.5</v>
      </c>
      <c r="K233" s="176">
        <v>19741646</v>
      </c>
      <c r="L233" s="513">
        <v>15.4</v>
      </c>
    </row>
    <row r="234" spans="1:12" ht="13.5">
      <c r="A234" s="635">
        <v>24</v>
      </c>
      <c r="B234" s="636">
        <v>11</v>
      </c>
      <c r="C234" s="645" t="s">
        <v>468</v>
      </c>
      <c r="D234" s="512">
        <v>174183419.44</v>
      </c>
      <c r="E234" s="175">
        <v>174967879.52000001</v>
      </c>
      <c r="F234" s="513">
        <v>100.5</v>
      </c>
      <c r="G234" s="512">
        <v>179390740.25</v>
      </c>
      <c r="H234" s="175">
        <v>167784249.27000001</v>
      </c>
      <c r="I234" s="513">
        <v>93.5</v>
      </c>
      <c r="J234" s="651">
        <v>7183630.25</v>
      </c>
      <c r="K234" s="176">
        <v>13580744</v>
      </c>
      <c r="L234" s="513">
        <v>7.8</v>
      </c>
    </row>
    <row r="235" spans="1:12" ht="13.5">
      <c r="A235" s="635">
        <v>24</v>
      </c>
      <c r="B235" s="636">
        <v>12</v>
      </c>
      <c r="C235" s="645" t="s">
        <v>467</v>
      </c>
      <c r="D235" s="512">
        <v>63014802.009999998</v>
      </c>
      <c r="E235" s="175">
        <v>64657761.25</v>
      </c>
      <c r="F235" s="513">
        <v>102.6</v>
      </c>
      <c r="G235" s="512">
        <v>66813897.270000003</v>
      </c>
      <c r="H235" s="175">
        <v>60243050.689999998</v>
      </c>
      <c r="I235" s="513">
        <v>90.2</v>
      </c>
      <c r="J235" s="651">
        <v>4414710.5600000024</v>
      </c>
      <c r="K235" s="176">
        <v>0</v>
      </c>
      <c r="L235" s="513">
        <v>0</v>
      </c>
    </row>
    <row r="236" spans="1:12" ht="13.5">
      <c r="A236" s="635">
        <v>24</v>
      </c>
      <c r="B236" s="636">
        <v>13</v>
      </c>
      <c r="C236" s="645" t="s">
        <v>466</v>
      </c>
      <c r="D236" s="512">
        <v>204119335.75999999</v>
      </c>
      <c r="E236" s="175">
        <v>207669158.96000001</v>
      </c>
      <c r="F236" s="513">
        <v>101.7</v>
      </c>
      <c r="G236" s="512">
        <v>225372113.75999999</v>
      </c>
      <c r="H236" s="175">
        <v>207551452.78999999</v>
      </c>
      <c r="I236" s="513">
        <v>92.1</v>
      </c>
      <c r="J236" s="651">
        <v>117706.17000001669</v>
      </c>
      <c r="K236" s="176">
        <v>15506229.210000001</v>
      </c>
      <c r="L236" s="513">
        <v>7.5</v>
      </c>
    </row>
    <row r="237" spans="1:12" ht="13.5">
      <c r="A237" s="635">
        <v>24</v>
      </c>
      <c r="B237" s="636">
        <v>14</v>
      </c>
      <c r="C237" s="645" t="s">
        <v>465</v>
      </c>
      <c r="D237" s="512">
        <v>62537505.590000004</v>
      </c>
      <c r="E237" s="175">
        <v>64968948.57</v>
      </c>
      <c r="F237" s="513">
        <v>103.9</v>
      </c>
      <c r="G237" s="512">
        <v>63313744.200000003</v>
      </c>
      <c r="H237" s="175">
        <v>57912452.189999998</v>
      </c>
      <c r="I237" s="513">
        <v>91.5</v>
      </c>
      <c r="J237" s="651">
        <v>7056496.3800000027</v>
      </c>
      <c r="K237" s="176">
        <v>2920016</v>
      </c>
      <c r="L237" s="513">
        <v>4.5</v>
      </c>
    </row>
    <row r="238" spans="1:12" ht="13.5">
      <c r="A238" s="635">
        <v>24</v>
      </c>
      <c r="B238" s="636">
        <v>15</v>
      </c>
      <c r="C238" s="645" t="s">
        <v>464</v>
      </c>
      <c r="D238" s="512">
        <v>202419461.05000001</v>
      </c>
      <c r="E238" s="175">
        <v>210122270.00999999</v>
      </c>
      <c r="F238" s="513">
        <v>103.8</v>
      </c>
      <c r="G238" s="512">
        <v>213023516.05000001</v>
      </c>
      <c r="H238" s="175">
        <v>187629426.40000001</v>
      </c>
      <c r="I238" s="513">
        <v>88.1</v>
      </c>
      <c r="J238" s="651">
        <v>22492843.609999985</v>
      </c>
      <c r="K238" s="176">
        <v>46384367</v>
      </c>
      <c r="L238" s="513">
        <v>22.1</v>
      </c>
    </row>
    <row r="239" spans="1:12" ht="13.5">
      <c r="A239" s="635">
        <v>24</v>
      </c>
      <c r="B239" s="636">
        <v>16</v>
      </c>
      <c r="C239" s="645" t="s">
        <v>463</v>
      </c>
      <c r="D239" s="512">
        <v>164303066.05000001</v>
      </c>
      <c r="E239" s="175">
        <v>160551703.59999999</v>
      </c>
      <c r="F239" s="513">
        <v>97.7</v>
      </c>
      <c r="G239" s="512">
        <v>169645722.96000001</v>
      </c>
      <c r="H239" s="175">
        <v>140273452.91</v>
      </c>
      <c r="I239" s="513">
        <v>82.7</v>
      </c>
      <c r="J239" s="651">
        <v>20278250.689999998</v>
      </c>
      <c r="K239" s="176">
        <v>10743049.880000001</v>
      </c>
      <c r="L239" s="513">
        <v>6.7</v>
      </c>
    </row>
    <row r="240" spans="1:12" ht="13.5">
      <c r="A240" s="635">
        <v>24</v>
      </c>
      <c r="B240" s="636">
        <v>17</v>
      </c>
      <c r="C240" s="645" t="s">
        <v>462</v>
      </c>
      <c r="D240" s="512">
        <v>205058206.15000001</v>
      </c>
      <c r="E240" s="175">
        <v>207430514.00999999</v>
      </c>
      <c r="F240" s="513">
        <v>101.2</v>
      </c>
      <c r="G240" s="512">
        <v>221110379.15000001</v>
      </c>
      <c r="H240" s="175">
        <v>209736058.52000001</v>
      </c>
      <c r="I240" s="513">
        <v>94.9</v>
      </c>
      <c r="J240" s="651">
        <v>-2305544.5100000203</v>
      </c>
      <c r="K240" s="176">
        <v>37110758</v>
      </c>
      <c r="L240" s="513">
        <v>17.899999999999999</v>
      </c>
    </row>
    <row r="241" spans="1:12" ht="13.5">
      <c r="A241" s="635">
        <v>26</v>
      </c>
      <c r="B241" s="636">
        <v>1</v>
      </c>
      <c r="C241" s="645" t="s">
        <v>461</v>
      </c>
      <c r="D241" s="512">
        <v>113345076.58</v>
      </c>
      <c r="E241" s="175">
        <v>114998685.97</v>
      </c>
      <c r="F241" s="513">
        <v>101.5</v>
      </c>
      <c r="G241" s="512">
        <v>117980083.58</v>
      </c>
      <c r="H241" s="175">
        <v>106036460.41</v>
      </c>
      <c r="I241" s="513">
        <v>89.9</v>
      </c>
      <c r="J241" s="651">
        <v>8962225.5600000024</v>
      </c>
      <c r="K241" s="176">
        <v>20970184</v>
      </c>
      <c r="L241" s="513">
        <v>18.2</v>
      </c>
    </row>
    <row r="242" spans="1:12" ht="13.5">
      <c r="A242" s="635">
        <v>26</v>
      </c>
      <c r="B242" s="636">
        <v>2</v>
      </c>
      <c r="C242" s="645" t="s">
        <v>460</v>
      </c>
      <c r="D242" s="512">
        <v>121760478</v>
      </c>
      <c r="E242" s="175">
        <v>121362416.3</v>
      </c>
      <c r="F242" s="513">
        <v>99.7</v>
      </c>
      <c r="G242" s="512">
        <v>124924793</v>
      </c>
      <c r="H242" s="175">
        <v>114018591.97</v>
      </c>
      <c r="I242" s="513">
        <v>91.3</v>
      </c>
      <c r="J242" s="651">
        <v>7343824.3299999982</v>
      </c>
      <c r="K242" s="176">
        <v>20038620</v>
      </c>
      <c r="L242" s="513">
        <v>16.5</v>
      </c>
    </row>
    <row r="243" spans="1:12" ht="13.5">
      <c r="A243" s="635">
        <v>26</v>
      </c>
      <c r="B243" s="636">
        <v>3</v>
      </c>
      <c r="C243" s="645" t="s">
        <v>459</v>
      </c>
      <c r="D243" s="512">
        <v>73116880.159999996</v>
      </c>
      <c r="E243" s="175">
        <v>67975960.25</v>
      </c>
      <c r="F243" s="513">
        <v>93</v>
      </c>
      <c r="G243" s="512">
        <v>78241106.159999996</v>
      </c>
      <c r="H243" s="175">
        <v>69308245.930000007</v>
      </c>
      <c r="I243" s="513">
        <v>88.6</v>
      </c>
      <c r="J243" s="651">
        <v>-1332285.6800000072</v>
      </c>
      <c r="K243" s="176">
        <v>14631462.939999999</v>
      </c>
      <c r="L243" s="513">
        <v>21.5</v>
      </c>
    </row>
    <row r="244" spans="1:12" ht="13.5">
      <c r="A244" s="635">
        <v>26</v>
      </c>
      <c r="B244" s="636">
        <v>4</v>
      </c>
      <c r="C244" s="645" t="s">
        <v>458</v>
      </c>
      <c r="D244" s="512">
        <v>247197298.5</v>
      </c>
      <c r="E244" s="175">
        <v>248604797.38999999</v>
      </c>
      <c r="F244" s="513">
        <v>100.6</v>
      </c>
      <c r="G244" s="512">
        <v>290323039.73000002</v>
      </c>
      <c r="H244" s="175">
        <v>195051830.78999999</v>
      </c>
      <c r="I244" s="513">
        <v>67.2</v>
      </c>
      <c r="J244" s="651">
        <v>53552966.599999994</v>
      </c>
      <c r="K244" s="176">
        <v>41065238.799999997</v>
      </c>
      <c r="L244" s="513">
        <v>16.5</v>
      </c>
    </row>
    <row r="245" spans="1:12" ht="13.5">
      <c r="A245" s="635">
        <v>26</v>
      </c>
      <c r="B245" s="636">
        <v>5</v>
      </c>
      <c r="C245" s="645" t="s">
        <v>457</v>
      </c>
      <c r="D245" s="512">
        <v>118424138.5</v>
      </c>
      <c r="E245" s="175">
        <v>122374582.28</v>
      </c>
      <c r="F245" s="513">
        <v>103.3</v>
      </c>
      <c r="G245" s="512">
        <v>125957907.5</v>
      </c>
      <c r="H245" s="175">
        <v>121399816.7</v>
      </c>
      <c r="I245" s="513">
        <v>96.4</v>
      </c>
      <c r="J245" s="651">
        <v>974765.57999999821</v>
      </c>
      <c r="K245" s="176">
        <v>2068996.17</v>
      </c>
      <c r="L245" s="513">
        <v>1.7</v>
      </c>
    </row>
    <row r="246" spans="1:12" ht="13.5">
      <c r="A246" s="635">
        <v>26</v>
      </c>
      <c r="B246" s="636">
        <v>6</v>
      </c>
      <c r="C246" s="645" t="s">
        <v>456</v>
      </c>
      <c r="D246" s="512">
        <v>121154937.40000001</v>
      </c>
      <c r="E246" s="175">
        <v>120711917.25</v>
      </c>
      <c r="F246" s="513">
        <v>99.6</v>
      </c>
      <c r="G246" s="512">
        <v>125711047.40000001</v>
      </c>
      <c r="H246" s="175">
        <v>109121337.28</v>
      </c>
      <c r="I246" s="513">
        <v>86.8</v>
      </c>
      <c r="J246" s="651">
        <v>11590579.969999999</v>
      </c>
      <c r="K246" s="176">
        <v>287067.71999999997</v>
      </c>
      <c r="L246" s="513">
        <v>0.2</v>
      </c>
    </row>
    <row r="247" spans="1:12" ht="13.5">
      <c r="A247" s="635">
        <v>26</v>
      </c>
      <c r="B247" s="636">
        <v>7</v>
      </c>
      <c r="C247" s="645" t="s">
        <v>455</v>
      </c>
      <c r="D247" s="512">
        <v>181294020.88</v>
      </c>
      <c r="E247" s="175">
        <v>177236442.72</v>
      </c>
      <c r="F247" s="513">
        <v>97.8</v>
      </c>
      <c r="G247" s="512">
        <v>191712878.46000001</v>
      </c>
      <c r="H247" s="175">
        <v>177478186.81999999</v>
      </c>
      <c r="I247" s="513">
        <v>92.6</v>
      </c>
      <c r="J247" s="651">
        <v>-241744.09999999404</v>
      </c>
      <c r="K247" s="176">
        <v>53365302.57</v>
      </c>
      <c r="L247" s="513">
        <v>30.1</v>
      </c>
    </row>
    <row r="248" spans="1:12" ht="13.5">
      <c r="A248" s="635">
        <v>26</v>
      </c>
      <c r="B248" s="636">
        <v>8</v>
      </c>
      <c r="C248" s="645" t="s">
        <v>454</v>
      </c>
      <c r="D248" s="512">
        <v>60664754.549999997</v>
      </c>
      <c r="E248" s="175">
        <v>57976109.130000003</v>
      </c>
      <c r="F248" s="513">
        <v>95.6</v>
      </c>
      <c r="G248" s="512">
        <v>68250485.739999995</v>
      </c>
      <c r="H248" s="175">
        <v>57012735.469999999</v>
      </c>
      <c r="I248" s="513">
        <v>83.5</v>
      </c>
      <c r="J248" s="651">
        <v>963373.66000000387</v>
      </c>
      <c r="K248" s="176">
        <v>12705070.76</v>
      </c>
      <c r="L248" s="513">
        <v>21.9</v>
      </c>
    </row>
    <row r="249" spans="1:12" ht="13.5">
      <c r="A249" s="635">
        <v>26</v>
      </c>
      <c r="B249" s="636">
        <v>9</v>
      </c>
      <c r="C249" s="645" t="s">
        <v>453</v>
      </c>
      <c r="D249" s="512">
        <v>104460812.22</v>
      </c>
      <c r="E249" s="175">
        <v>103362070.45999999</v>
      </c>
      <c r="F249" s="513">
        <v>98.9</v>
      </c>
      <c r="G249" s="512">
        <v>114930088.23999999</v>
      </c>
      <c r="H249" s="175">
        <v>101274352.83</v>
      </c>
      <c r="I249" s="513">
        <v>88.1</v>
      </c>
      <c r="J249" s="651">
        <v>2087717.6299999952</v>
      </c>
      <c r="K249" s="176">
        <v>22765000</v>
      </c>
      <c r="L249" s="513">
        <v>22</v>
      </c>
    </row>
    <row r="250" spans="1:12" ht="13.5">
      <c r="A250" s="635">
        <v>26</v>
      </c>
      <c r="B250" s="636">
        <v>10</v>
      </c>
      <c r="C250" s="645" t="s">
        <v>452</v>
      </c>
      <c r="D250" s="512">
        <v>133372981.53</v>
      </c>
      <c r="E250" s="175">
        <v>138673938.03999999</v>
      </c>
      <c r="F250" s="513">
        <v>104</v>
      </c>
      <c r="G250" s="512">
        <v>134149585.13</v>
      </c>
      <c r="H250" s="175">
        <v>129888776.09999999</v>
      </c>
      <c r="I250" s="513">
        <v>96.8</v>
      </c>
      <c r="J250" s="651">
        <v>8785161.9399999976</v>
      </c>
      <c r="K250" s="176">
        <v>34723333</v>
      </c>
      <c r="L250" s="513">
        <v>25</v>
      </c>
    </row>
    <row r="251" spans="1:12" ht="13.5">
      <c r="A251" s="635">
        <v>26</v>
      </c>
      <c r="B251" s="636">
        <v>11</v>
      </c>
      <c r="C251" s="645" t="s">
        <v>451</v>
      </c>
      <c r="D251" s="512">
        <v>115310009.06999999</v>
      </c>
      <c r="E251" s="175">
        <v>120456156.68000001</v>
      </c>
      <c r="F251" s="513">
        <v>104.5</v>
      </c>
      <c r="G251" s="512">
        <v>124099996.23999999</v>
      </c>
      <c r="H251" s="175">
        <v>113890995.44</v>
      </c>
      <c r="I251" s="513">
        <v>91.8</v>
      </c>
      <c r="J251" s="651">
        <v>6565161.2400000095</v>
      </c>
      <c r="K251" s="176">
        <v>28788008</v>
      </c>
      <c r="L251" s="513">
        <v>23.9</v>
      </c>
    </row>
    <row r="252" spans="1:12" ht="13.5">
      <c r="A252" s="635">
        <v>26</v>
      </c>
      <c r="B252" s="636">
        <v>12</v>
      </c>
      <c r="C252" s="645" t="s">
        <v>450</v>
      </c>
      <c r="D252" s="512">
        <v>84131352.140000001</v>
      </c>
      <c r="E252" s="175">
        <v>84917873.010000005</v>
      </c>
      <c r="F252" s="513">
        <v>100.9</v>
      </c>
      <c r="G252" s="512">
        <v>86522449.109999999</v>
      </c>
      <c r="H252" s="175">
        <v>75505085.730000004</v>
      </c>
      <c r="I252" s="513">
        <v>87.3</v>
      </c>
      <c r="J252" s="651">
        <v>9412787.2800000012</v>
      </c>
      <c r="K252" s="176">
        <v>15464715</v>
      </c>
      <c r="L252" s="513">
        <v>18.2</v>
      </c>
    </row>
    <row r="253" spans="1:12" ht="13.5">
      <c r="A253" s="635">
        <v>26</v>
      </c>
      <c r="B253" s="636">
        <v>13</v>
      </c>
      <c r="C253" s="645" t="s">
        <v>449</v>
      </c>
      <c r="D253" s="512">
        <v>69811498.200000003</v>
      </c>
      <c r="E253" s="175">
        <v>71311497.310000002</v>
      </c>
      <c r="F253" s="513">
        <v>102.1</v>
      </c>
      <c r="G253" s="512">
        <v>79676463.269999996</v>
      </c>
      <c r="H253" s="175">
        <v>72223067.810000002</v>
      </c>
      <c r="I253" s="513">
        <v>90.6</v>
      </c>
      <c r="J253" s="651">
        <v>-911570.5</v>
      </c>
      <c r="K253" s="176">
        <v>3845000</v>
      </c>
      <c r="L253" s="513">
        <v>5.4</v>
      </c>
    </row>
    <row r="254" spans="1:12" ht="13.5">
      <c r="A254" s="635">
        <v>28</v>
      </c>
      <c r="B254" s="636">
        <v>1</v>
      </c>
      <c r="C254" s="645" t="s">
        <v>448</v>
      </c>
      <c r="D254" s="512">
        <v>103074803.58</v>
      </c>
      <c r="E254" s="175">
        <v>103484402.70999999</v>
      </c>
      <c r="F254" s="513">
        <v>100.4</v>
      </c>
      <c r="G254" s="512">
        <v>113869686.94</v>
      </c>
      <c r="H254" s="175">
        <v>103463101.95999999</v>
      </c>
      <c r="I254" s="513">
        <v>90.9</v>
      </c>
      <c r="J254" s="651">
        <v>21300.75</v>
      </c>
      <c r="K254" s="176">
        <v>29017900</v>
      </c>
      <c r="L254" s="513">
        <v>28</v>
      </c>
    </row>
    <row r="255" spans="1:12" ht="13.5">
      <c r="A255" s="635">
        <v>28</v>
      </c>
      <c r="B255" s="636">
        <v>2</v>
      </c>
      <c r="C255" s="645" t="s">
        <v>447</v>
      </c>
      <c r="D255" s="512">
        <v>70310365.920000002</v>
      </c>
      <c r="E255" s="175">
        <v>71651664.310000002</v>
      </c>
      <c r="F255" s="513">
        <v>101.9</v>
      </c>
      <c r="G255" s="512">
        <v>72613446.920000002</v>
      </c>
      <c r="H255" s="175">
        <v>66797633.310000002</v>
      </c>
      <c r="I255" s="513">
        <v>92</v>
      </c>
      <c r="J255" s="651">
        <v>4854031</v>
      </c>
      <c r="K255" s="176">
        <v>10100000</v>
      </c>
      <c r="L255" s="513">
        <v>14.1</v>
      </c>
    </row>
    <row r="256" spans="1:12" ht="13.5">
      <c r="A256" s="635">
        <v>28</v>
      </c>
      <c r="B256" s="636">
        <v>3</v>
      </c>
      <c r="C256" s="645" t="s">
        <v>446</v>
      </c>
      <c r="D256" s="512">
        <v>97103953.120000005</v>
      </c>
      <c r="E256" s="175">
        <v>99571811.319999993</v>
      </c>
      <c r="F256" s="513">
        <v>102.5</v>
      </c>
      <c r="G256" s="512">
        <v>108497013.56</v>
      </c>
      <c r="H256" s="175">
        <v>98336490.799999997</v>
      </c>
      <c r="I256" s="513">
        <v>90.6</v>
      </c>
      <c r="J256" s="651">
        <v>1235320.5199999958</v>
      </c>
      <c r="K256" s="176">
        <v>0</v>
      </c>
      <c r="L256" s="513">
        <v>0</v>
      </c>
    </row>
    <row r="257" spans="1:12" ht="13.5">
      <c r="A257" s="635">
        <v>28</v>
      </c>
      <c r="B257" s="636">
        <v>4</v>
      </c>
      <c r="C257" s="645" t="s">
        <v>445</v>
      </c>
      <c r="D257" s="512">
        <v>94156069.349999994</v>
      </c>
      <c r="E257" s="175">
        <v>94432286.280000001</v>
      </c>
      <c r="F257" s="513">
        <v>100.3</v>
      </c>
      <c r="G257" s="512">
        <v>101960881.45999999</v>
      </c>
      <c r="H257" s="175">
        <v>93527114.430000007</v>
      </c>
      <c r="I257" s="513">
        <v>91.7</v>
      </c>
      <c r="J257" s="651">
        <v>905171.84999999404</v>
      </c>
      <c r="K257" s="176">
        <v>18181691.359999999</v>
      </c>
      <c r="L257" s="513">
        <v>19.3</v>
      </c>
    </row>
    <row r="258" spans="1:12" ht="13.5">
      <c r="A258" s="635">
        <v>28</v>
      </c>
      <c r="B258" s="636">
        <v>5</v>
      </c>
      <c r="C258" s="645" t="s">
        <v>444</v>
      </c>
      <c r="D258" s="512">
        <v>167165682</v>
      </c>
      <c r="E258" s="175">
        <v>154988706.12</v>
      </c>
      <c r="F258" s="513">
        <v>92.7</v>
      </c>
      <c r="G258" s="512">
        <v>170797510</v>
      </c>
      <c r="H258" s="175">
        <v>149094758.75999999</v>
      </c>
      <c r="I258" s="513">
        <v>87.3</v>
      </c>
      <c r="J258" s="651">
        <v>5893947.3600000143</v>
      </c>
      <c r="K258" s="176">
        <v>23000000</v>
      </c>
      <c r="L258" s="513">
        <v>14.8</v>
      </c>
    </row>
    <row r="259" spans="1:12" ht="13.5">
      <c r="A259" s="635">
        <v>28</v>
      </c>
      <c r="B259" s="636">
        <v>6</v>
      </c>
      <c r="C259" s="645" t="s">
        <v>443</v>
      </c>
      <c r="D259" s="512">
        <v>111088471</v>
      </c>
      <c r="E259" s="175">
        <v>102841200.64</v>
      </c>
      <c r="F259" s="513">
        <v>92.6</v>
      </c>
      <c r="G259" s="512">
        <v>118901496</v>
      </c>
      <c r="H259" s="175">
        <v>95726712.819999993</v>
      </c>
      <c r="I259" s="513">
        <v>80.5</v>
      </c>
      <c r="J259" s="651">
        <v>7114487.8200000077</v>
      </c>
      <c r="K259" s="176">
        <v>15011114.91</v>
      </c>
      <c r="L259" s="513">
        <v>14.6</v>
      </c>
    </row>
    <row r="260" spans="1:12" ht="13.5">
      <c r="A260" s="635">
        <v>28</v>
      </c>
      <c r="B260" s="636">
        <v>7</v>
      </c>
      <c r="C260" s="645" t="s">
        <v>442</v>
      </c>
      <c r="D260" s="512">
        <v>130229568.15000001</v>
      </c>
      <c r="E260" s="175">
        <v>134458134.69</v>
      </c>
      <c r="F260" s="513">
        <v>103.2</v>
      </c>
      <c r="G260" s="512">
        <v>133550369.23999999</v>
      </c>
      <c r="H260" s="175">
        <v>123982960.47</v>
      </c>
      <c r="I260" s="513">
        <v>92.8</v>
      </c>
      <c r="J260" s="651">
        <v>10475174.219999999</v>
      </c>
      <c r="K260" s="176">
        <v>14146398</v>
      </c>
      <c r="L260" s="513">
        <v>10.5</v>
      </c>
    </row>
    <row r="261" spans="1:12" ht="13.5">
      <c r="A261" s="635">
        <v>28</v>
      </c>
      <c r="B261" s="636">
        <v>8</v>
      </c>
      <c r="C261" s="645" t="s">
        <v>441</v>
      </c>
      <c r="D261" s="512">
        <v>101583217</v>
      </c>
      <c r="E261" s="175">
        <v>101725849.48999999</v>
      </c>
      <c r="F261" s="513">
        <v>100.1</v>
      </c>
      <c r="G261" s="512">
        <v>106803846</v>
      </c>
      <c r="H261" s="175">
        <v>93244422.280000001</v>
      </c>
      <c r="I261" s="513">
        <v>87.3</v>
      </c>
      <c r="J261" s="651">
        <v>8481427.2099999934</v>
      </c>
      <c r="K261" s="176">
        <v>25733202.199999999</v>
      </c>
      <c r="L261" s="513">
        <v>25.3</v>
      </c>
    </row>
    <row r="262" spans="1:12" ht="13.5">
      <c r="A262" s="635">
        <v>28</v>
      </c>
      <c r="B262" s="636">
        <v>9</v>
      </c>
      <c r="C262" s="645" t="s">
        <v>440</v>
      </c>
      <c r="D262" s="512">
        <v>79924755.140000001</v>
      </c>
      <c r="E262" s="175">
        <v>64993415.189999998</v>
      </c>
      <c r="F262" s="513">
        <v>81.3</v>
      </c>
      <c r="G262" s="512">
        <v>85365743.140000001</v>
      </c>
      <c r="H262" s="175">
        <v>60643615.850000001</v>
      </c>
      <c r="I262" s="513">
        <v>71</v>
      </c>
      <c r="J262" s="651">
        <v>4349799.3399999961</v>
      </c>
      <c r="K262" s="176">
        <v>23258228.199999999</v>
      </c>
      <c r="L262" s="513">
        <v>35.799999999999997</v>
      </c>
    </row>
    <row r="263" spans="1:12" ht="13.5">
      <c r="A263" s="635">
        <v>28</v>
      </c>
      <c r="B263" s="636">
        <v>10</v>
      </c>
      <c r="C263" s="645" t="s">
        <v>439</v>
      </c>
      <c r="D263" s="512">
        <v>75336102</v>
      </c>
      <c r="E263" s="175">
        <v>75560910.219999999</v>
      </c>
      <c r="F263" s="513">
        <v>100.3</v>
      </c>
      <c r="G263" s="512">
        <v>74860364</v>
      </c>
      <c r="H263" s="175">
        <v>62925468.049999997</v>
      </c>
      <c r="I263" s="513">
        <v>84.1</v>
      </c>
      <c r="J263" s="651">
        <v>12635442.170000002</v>
      </c>
      <c r="K263" s="176">
        <v>20120400</v>
      </c>
      <c r="L263" s="513">
        <v>26.6</v>
      </c>
    </row>
    <row r="264" spans="1:12" ht="13.5">
      <c r="A264" s="635">
        <v>28</v>
      </c>
      <c r="B264" s="636">
        <v>11</v>
      </c>
      <c r="C264" s="645" t="s">
        <v>438</v>
      </c>
      <c r="D264" s="512">
        <v>77157332.620000005</v>
      </c>
      <c r="E264" s="175">
        <v>70032125.049999997</v>
      </c>
      <c r="F264" s="513">
        <v>90.8</v>
      </c>
      <c r="G264" s="512">
        <v>79095537.170000002</v>
      </c>
      <c r="H264" s="175">
        <v>60937987.280000001</v>
      </c>
      <c r="I264" s="513">
        <v>77</v>
      </c>
      <c r="J264" s="651">
        <v>9094137.7699999958</v>
      </c>
      <c r="K264" s="176">
        <v>15173521.689999999</v>
      </c>
      <c r="L264" s="513">
        <v>21.7</v>
      </c>
    </row>
    <row r="265" spans="1:12" ht="13.5">
      <c r="A265" s="635">
        <v>28</v>
      </c>
      <c r="B265" s="636">
        <v>12</v>
      </c>
      <c r="C265" s="645" t="s">
        <v>437</v>
      </c>
      <c r="D265" s="512">
        <v>56795262.450000003</v>
      </c>
      <c r="E265" s="175">
        <v>57299905.399999999</v>
      </c>
      <c r="F265" s="513">
        <v>100.9</v>
      </c>
      <c r="G265" s="512">
        <v>58071076.450000003</v>
      </c>
      <c r="H265" s="175">
        <v>49106389.490000002</v>
      </c>
      <c r="I265" s="513">
        <v>84.6</v>
      </c>
      <c r="J265" s="651">
        <v>8193515.9099999964</v>
      </c>
      <c r="K265" s="176">
        <v>13142800</v>
      </c>
      <c r="L265" s="513">
        <v>22.9</v>
      </c>
    </row>
    <row r="266" spans="1:12" ht="13.5">
      <c r="A266" s="635">
        <v>28</v>
      </c>
      <c r="B266" s="636">
        <v>13</v>
      </c>
      <c r="C266" s="645" t="s">
        <v>436</v>
      </c>
      <c r="D266" s="512">
        <v>68954702.609999999</v>
      </c>
      <c r="E266" s="175">
        <v>67342325.200000003</v>
      </c>
      <c r="F266" s="513">
        <v>97.7</v>
      </c>
      <c r="G266" s="512">
        <v>73618410.629999995</v>
      </c>
      <c r="H266" s="175">
        <v>65935207.899999999</v>
      </c>
      <c r="I266" s="513">
        <v>89.6</v>
      </c>
      <c r="J266" s="651">
        <v>1407117.3000000045</v>
      </c>
      <c r="K266" s="176">
        <v>18680000</v>
      </c>
      <c r="L266" s="513">
        <v>27.7</v>
      </c>
    </row>
    <row r="267" spans="1:12" ht="13.5">
      <c r="A267" s="635">
        <v>28</v>
      </c>
      <c r="B267" s="636">
        <v>14</v>
      </c>
      <c r="C267" s="645" t="s">
        <v>435</v>
      </c>
      <c r="D267" s="512">
        <v>182841782.31999999</v>
      </c>
      <c r="E267" s="175">
        <v>189271153.31</v>
      </c>
      <c r="F267" s="513">
        <v>103.5</v>
      </c>
      <c r="G267" s="512">
        <v>177978144.31999999</v>
      </c>
      <c r="H267" s="175">
        <v>168923704.34</v>
      </c>
      <c r="I267" s="513">
        <v>94.9</v>
      </c>
      <c r="J267" s="651">
        <v>20347448.969999999</v>
      </c>
      <c r="K267" s="176">
        <v>39576528.759999998</v>
      </c>
      <c r="L267" s="513">
        <v>20.9</v>
      </c>
    </row>
    <row r="268" spans="1:12" ht="13.5">
      <c r="A268" s="635">
        <v>28</v>
      </c>
      <c r="B268" s="636">
        <v>15</v>
      </c>
      <c r="C268" s="645" t="s">
        <v>434</v>
      </c>
      <c r="D268" s="512">
        <v>171483092.33000001</v>
      </c>
      <c r="E268" s="175">
        <v>172283494.46000001</v>
      </c>
      <c r="F268" s="513">
        <v>100.5</v>
      </c>
      <c r="G268" s="512">
        <v>167197644.52000001</v>
      </c>
      <c r="H268" s="175">
        <v>159307335.33000001</v>
      </c>
      <c r="I268" s="513">
        <v>95.3</v>
      </c>
      <c r="J268" s="651">
        <v>12976159.129999995</v>
      </c>
      <c r="K268" s="176">
        <v>43442128.450000003</v>
      </c>
      <c r="L268" s="513">
        <v>25.2</v>
      </c>
    </row>
    <row r="269" spans="1:12" ht="13.5">
      <c r="A269" s="635">
        <v>28</v>
      </c>
      <c r="B269" s="636">
        <v>16</v>
      </c>
      <c r="C269" s="645" t="s">
        <v>433</v>
      </c>
      <c r="D269" s="512">
        <v>102797262</v>
      </c>
      <c r="E269" s="175">
        <v>87887681.319999993</v>
      </c>
      <c r="F269" s="513">
        <v>85.5</v>
      </c>
      <c r="G269" s="512">
        <v>108778908</v>
      </c>
      <c r="H269" s="175">
        <v>90456687.459999993</v>
      </c>
      <c r="I269" s="513">
        <v>83.2</v>
      </c>
      <c r="J269" s="651">
        <v>-2569006.1400000006</v>
      </c>
      <c r="K269" s="176">
        <v>10699680</v>
      </c>
      <c r="L269" s="513">
        <v>12.2</v>
      </c>
    </row>
    <row r="270" spans="1:12" ht="13.5">
      <c r="A270" s="635">
        <v>28</v>
      </c>
      <c r="B270" s="636">
        <v>17</v>
      </c>
      <c r="C270" s="645" t="s">
        <v>432</v>
      </c>
      <c r="D270" s="512">
        <v>104576059.04000001</v>
      </c>
      <c r="E270" s="175">
        <v>106078405.55</v>
      </c>
      <c r="F270" s="513">
        <v>101.4</v>
      </c>
      <c r="G270" s="512">
        <v>108843980.04000001</v>
      </c>
      <c r="H270" s="175">
        <v>104655069.72</v>
      </c>
      <c r="I270" s="513">
        <v>96.2</v>
      </c>
      <c r="J270" s="651">
        <v>1423335.8299999982</v>
      </c>
      <c r="K270" s="176">
        <v>27104000</v>
      </c>
      <c r="L270" s="513">
        <v>25.6</v>
      </c>
    </row>
    <row r="271" spans="1:12" ht="13.5">
      <c r="A271" s="635">
        <v>28</v>
      </c>
      <c r="B271" s="636">
        <v>18</v>
      </c>
      <c r="C271" s="645" t="s">
        <v>431</v>
      </c>
      <c r="D271" s="512">
        <v>38141081.920000002</v>
      </c>
      <c r="E271" s="175">
        <v>38551721.5</v>
      </c>
      <c r="F271" s="513">
        <v>101.1</v>
      </c>
      <c r="G271" s="512">
        <v>42164051.899999999</v>
      </c>
      <c r="H271" s="175">
        <v>41175458.729999997</v>
      </c>
      <c r="I271" s="513">
        <v>97.7</v>
      </c>
      <c r="J271" s="651">
        <v>-2623737.2299999967</v>
      </c>
      <c r="K271" s="176">
        <v>13440000</v>
      </c>
      <c r="L271" s="513">
        <v>34.9</v>
      </c>
    </row>
    <row r="272" spans="1:12" ht="13.5">
      <c r="A272" s="635">
        <v>28</v>
      </c>
      <c r="B272" s="636">
        <v>19</v>
      </c>
      <c r="C272" s="645" t="s">
        <v>430</v>
      </c>
      <c r="D272" s="512">
        <v>54675618.740000002</v>
      </c>
      <c r="E272" s="175">
        <v>53985875.950000003</v>
      </c>
      <c r="F272" s="513">
        <v>98.7</v>
      </c>
      <c r="G272" s="512">
        <v>58669354.68</v>
      </c>
      <c r="H272" s="175">
        <v>54364029.859999999</v>
      </c>
      <c r="I272" s="513">
        <v>92.7</v>
      </c>
      <c r="J272" s="651">
        <v>-378153.90999999642</v>
      </c>
      <c r="K272" s="176">
        <v>6000000</v>
      </c>
      <c r="L272" s="513">
        <v>11.1</v>
      </c>
    </row>
    <row r="273" spans="1:12" ht="13.5">
      <c r="A273" s="635">
        <v>30</v>
      </c>
      <c r="B273" s="636">
        <v>1</v>
      </c>
      <c r="C273" s="645" t="s">
        <v>429</v>
      </c>
      <c r="D273" s="512">
        <v>63755386.840000004</v>
      </c>
      <c r="E273" s="175">
        <v>69766238.040000007</v>
      </c>
      <c r="F273" s="513">
        <v>109.4</v>
      </c>
      <c r="G273" s="512">
        <v>63485245.829999998</v>
      </c>
      <c r="H273" s="175">
        <v>60506043.210000001</v>
      </c>
      <c r="I273" s="513">
        <v>95.3</v>
      </c>
      <c r="J273" s="651">
        <v>9260194.8300000057</v>
      </c>
      <c r="K273" s="176">
        <v>7000000</v>
      </c>
      <c r="L273" s="513">
        <v>10</v>
      </c>
    </row>
    <row r="274" spans="1:12" ht="13.5">
      <c r="A274" s="635">
        <v>30</v>
      </c>
      <c r="B274" s="636">
        <v>2</v>
      </c>
      <c r="C274" s="645" t="s">
        <v>428</v>
      </c>
      <c r="D274" s="512">
        <v>121018874.61</v>
      </c>
      <c r="E274" s="175">
        <v>123365014.33</v>
      </c>
      <c r="F274" s="513">
        <v>101.9</v>
      </c>
      <c r="G274" s="512">
        <v>122146231.29000001</v>
      </c>
      <c r="H274" s="175">
        <v>118057161.33</v>
      </c>
      <c r="I274" s="513">
        <v>96.7</v>
      </c>
      <c r="J274" s="651">
        <v>5307853</v>
      </c>
      <c r="K274" s="176">
        <v>20147600</v>
      </c>
      <c r="L274" s="513">
        <v>16.3</v>
      </c>
    </row>
    <row r="275" spans="1:12" ht="13.5">
      <c r="A275" s="635">
        <v>30</v>
      </c>
      <c r="B275" s="636">
        <v>3</v>
      </c>
      <c r="C275" s="645" t="s">
        <v>427</v>
      </c>
      <c r="D275" s="512">
        <v>176873871.58000001</v>
      </c>
      <c r="E275" s="175">
        <v>180378793.22999999</v>
      </c>
      <c r="F275" s="513">
        <v>102</v>
      </c>
      <c r="G275" s="512">
        <v>186649382.27000001</v>
      </c>
      <c r="H275" s="175">
        <v>175219270.65000001</v>
      </c>
      <c r="I275" s="513">
        <v>93.9</v>
      </c>
      <c r="J275" s="651">
        <v>5159522.5799999833</v>
      </c>
      <c r="K275" s="176">
        <v>19500000</v>
      </c>
      <c r="L275" s="513">
        <v>10.8</v>
      </c>
    </row>
    <row r="276" spans="1:12" ht="13.5">
      <c r="A276" s="635">
        <v>30</v>
      </c>
      <c r="B276" s="636">
        <v>4</v>
      </c>
      <c r="C276" s="645" t="s">
        <v>426</v>
      </c>
      <c r="D276" s="512">
        <v>105509878.27</v>
      </c>
      <c r="E276" s="175">
        <v>107611441.12</v>
      </c>
      <c r="F276" s="513">
        <v>102</v>
      </c>
      <c r="G276" s="512">
        <v>115267139.36</v>
      </c>
      <c r="H276" s="175">
        <v>102400633.53</v>
      </c>
      <c r="I276" s="513">
        <v>88.8</v>
      </c>
      <c r="J276" s="651">
        <v>5210807.5900000036</v>
      </c>
      <c r="K276" s="176">
        <v>27978240.5</v>
      </c>
      <c r="L276" s="513">
        <v>26</v>
      </c>
    </row>
    <row r="277" spans="1:12" ht="13.5">
      <c r="A277" s="635">
        <v>30</v>
      </c>
      <c r="B277" s="636">
        <v>5</v>
      </c>
      <c r="C277" s="645" t="s">
        <v>425</v>
      </c>
      <c r="D277" s="512">
        <v>57940541.399999999</v>
      </c>
      <c r="E277" s="175">
        <v>59789603.479999997</v>
      </c>
      <c r="F277" s="513">
        <v>103.2</v>
      </c>
      <c r="G277" s="512">
        <v>63986507.939999998</v>
      </c>
      <c r="H277" s="175">
        <v>54354689.950000003</v>
      </c>
      <c r="I277" s="513">
        <v>84.9</v>
      </c>
      <c r="J277" s="651">
        <v>5434913.5299999937</v>
      </c>
      <c r="K277" s="176">
        <v>17131814.77</v>
      </c>
      <c r="L277" s="513">
        <v>28.7</v>
      </c>
    </row>
    <row r="278" spans="1:12" ht="13.5">
      <c r="A278" s="635">
        <v>30</v>
      </c>
      <c r="B278" s="636">
        <v>6</v>
      </c>
      <c r="C278" s="645" t="s">
        <v>424</v>
      </c>
      <c r="D278" s="512">
        <v>103353750.62</v>
      </c>
      <c r="E278" s="175">
        <v>107406594.70999999</v>
      </c>
      <c r="F278" s="513">
        <v>103.9</v>
      </c>
      <c r="G278" s="512">
        <v>104851917.37</v>
      </c>
      <c r="H278" s="175">
        <v>100793019.53</v>
      </c>
      <c r="I278" s="513">
        <v>96.1</v>
      </c>
      <c r="J278" s="651">
        <v>6613575.1799999923</v>
      </c>
      <c r="K278" s="176">
        <v>14899065</v>
      </c>
      <c r="L278" s="513">
        <v>13.9</v>
      </c>
    </row>
    <row r="279" spans="1:12" ht="13.5">
      <c r="A279" s="635">
        <v>30</v>
      </c>
      <c r="B279" s="636">
        <v>7</v>
      </c>
      <c r="C279" s="645" t="s">
        <v>423</v>
      </c>
      <c r="D279" s="512">
        <v>88784921.75</v>
      </c>
      <c r="E279" s="175">
        <v>78566528.340000004</v>
      </c>
      <c r="F279" s="513">
        <v>88.5</v>
      </c>
      <c r="G279" s="512">
        <v>93115050.579999998</v>
      </c>
      <c r="H279" s="175">
        <v>80480209.200000003</v>
      </c>
      <c r="I279" s="513">
        <v>86.4</v>
      </c>
      <c r="J279" s="651">
        <v>-1913680.8599999994</v>
      </c>
      <c r="K279" s="176">
        <v>16574374</v>
      </c>
      <c r="L279" s="513">
        <v>21.1</v>
      </c>
    </row>
    <row r="280" spans="1:12" ht="13.5">
      <c r="A280" s="635">
        <v>30</v>
      </c>
      <c r="B280" s="636">
        <v>8</v>
      </c>
      <c r="C280" s="645" t="s">
        <v>422</v>
      </c>
      <c r="D280" s="512">
        <v>100412533.73</v>
      </c>
      <c r="E280" s="175">
        <v>100128995.59</v>
      </c>
      <c r="F280" s="513">
        <v>99.7</v>
      </c>
      <c r="G280" s="512">
        <v>79943543.359999999</v>
      </c>
      <c r="H280" s="175">
        <v>75528313.140000001</v>
      </c>
      <c r="I280" s="513">
        <v>94.5</v>
      </c>
      <c r="J280" s="651">
        <v>24600682.450000003</v>
      </c>
      <c r="K280" s="176">
        <v>22347500</v>
      </c>
      <c r="L280" s="513">
        <v>22.3</v>
      </c>
    </row>
    <row r="281" spans="1:12" ht="13.5">
      <c r="A281" s="635">
        <v>30</v>
      </c>
      <c r="B281" s="636">
        <v>9</v>
      </c>
      <c r="C281" s="645" t="s">
        <v>421</v>
      </c>
      <c r="D281" s="512">
        <v>113051766.98</v>
      </c>
      <c r="E281" s="175">
        <v>117532329.08</v>
      </c>
      <c r="F281" s="513">
        <v>104</v>
      </c>
      <c r="G281" s="512">
        <v>122179160.44</v>
      </c>
      <c r="H281" s="175">
        <v>105661514.08</v>
      </c>
      <c r="I281" s="513">
        <v>86.5</v>
      </c>
      <c r="J281" s="651">
        <v>11870815</v>
      </c>
      <c r="K281" s="176">
        <v>2400000</v>
      </c>
      <c r="L281" s="513">
        <v>2</v>
      </c>
    </row>
    <row r="282" spans="1:12" ht="13.5">
      <c r="A282" s="635">
        <v>30</v>
      </c>
      <c r="B282" s="636">
        <v>10</v>
      </c>
      <c r="C282" s="645" t="s">
        <v>420</v>
      </c>
      <c r="D282" s="512">
        <v>126508764.04000001</v>
      </c>
      <c r="E282" s="175">
        <v>130296716.78</v>
      </c>
      <c r="F282" s="513">
        <v>103</v>
      </c>
      <c r="G282" s="512">
        <v>127332051.48999999</v>
      </c>
      <c r="H282" s="175">
        <v>123142713.25</v>
      </c>
      <c r="I282" s="513">
        <v>96.7</v>
      </c>
      <c r="J282" s="651">
        <v>7154003.5300000012</v>
      </c>
      <c r="K282" s="176">
        <v>13184089.279999999</v>
      </c>
      <c r="L282" s="513">
        <v>10.1</v>
      </c>
    </row>
    <row r="283" spans="1:12" ht="13.5">
      <c r="A283" s="635">
        <v>30</v>
      </c>
      <c r="B283" s="636">
        <v>11</v>
      </c>
      <c r="C283" s="645" t="s">
        <v>419</v>
      </c>
      <c r="D283" s="512">
        <v>93598874.049999997</v>
      </c>
      <c r="E283" s="175">
        <v>96261344.939999998</v>
      </c>
      <c r="F283" s="513">
        <v>102.8</v>
      </c>
      <c r="G283" s="512">
        <v>99816708.700000003</v>
      </c>
      <c r="H283" s="175">
        <v>92437734.340000004</v>
      </c>
      <c r="I283" s="513">
        <v>92.6</v>
      </c>
      <c r="J283" s="651">
        <v>3823610.599999994</v>
      </c>
      <c r="K283" s="176">
        <v>18678297</v>
      </c>
      <c r="L283" s="513">
        <v>19.399999999999999</v>
      </c>
    </row>
    <row r="284" spans="1:12" ht="13.5">
      <c r="A284" s="635">
        <v>30</v>
      </c>
      <c r="B284" s="636">
        <v>12</v>
      </c>
      <c r="C284" s="645" t="s">
        <v>418</v>
      </c>
      <c r="D284" s="512">
        <v>134359234.02000001</v>
      </c>
      <c r="E284" s="175">
        <v>128307300.38</v>
      </c>
      <c r="F284" s="513">
        <v>95.5</v>
      </c>
      <c r="G284" s="512">
        <v>142599829.03999999</v>
      </c>
      <c r="H284" s="175">
        <v>112250245.39</v>
      </c>
      <c r="I284" s="513">
        <v>78.7</v>
      </c>
      <c r="J284" s="651">
        <v>16057054.989999995</v>
      </c>
      <c r="K284" s="176">
        <v>32798077.600000001</v>
      </c>
      <c r="L284" s="513">
        <v>25.6</v>
      </c>
    </row>
    <row r="285" spans="1:12" ht="13.5">
      <c r="A285" s="635">
        <v>30</v>
      </c>
      <c r="B285" s="636">
        <v>13</v>
      </c>
      <c r="C285" s="645" t="s">
        <v>417</v>
      </c>
      <c r="D285" s="512">
        <v>56234626.689999998</v>
      </c>
      <c r="E285" s="175">
        <v>59292797.530000001</v>
      </c>
      <c r="F285" s="513">
        <v>105.4</v>
      </c>
      <c r="G285" s="512">
        <v>61736090.689999998</v>
      </c>
      <c r="H285" s="175">
        <v>49399425.350000001</v>
      </c>
      <c r="I285" s="513">
        <v>80</v>
      </c>
      <c r="J285" s="651">
        <v>9893372.1799999997</v>
      </c>
      <c r="K285" s="176">
        <v>0</v>
      </c>
      <c r="L285" s="513">
        <v>0</v>
      </c>
    </row>
    <row r="286" spans="1:12" ht="13.5">
      <c r="A286" s="635">
        <v>30</v>
      </c>
      <c r="B286" s="636">
        <v>14</v>
      </c>
      <c r="C286" s="645" t="s">
        <v>416</v>
      </c>
      <c r="D286" s="512">
        <v>60282700.18</v>
      </c>
      <c r="E286" s="175">
        <v>64555418.259999998</v>
      </c>
      <c r="F286" s="513">
        <v>107.1</v>
      </c>
      <c r="G286" s="512">
        <v>62960775.280000001</v>
      </c>
      <c r="H286" s="175">
        <v>56619077.549999997</v>
      </c>
      <c r="I286" s="513">
        <v>89.9</v>
      </c>
      <c r="J286" s="651">
        <v>7936340.7100000009</v>
      </c>
      <c r="K286" s="176">
        <v>2179675</v>
      </c>
      <c r="L286" s="513">
        <v>3.4</v>
      </c>
    </row>
    <row r="287" spans="1:12" ht="13.5">
      <c r="A287" s="635">
        <v>30</v>
      </c>
      <c r="B287" s="636">
        <v>15</v>
      </c>
      <c r="C287" s="645" t="s">
        <v>415</v>
      </c>
      <c r="D287" s="512">
        <v>93481648.299999997</v>
      </c>
      <c r="E287" s="175">
        <v>92904857.219999999</v>
      </c>
      <c r="F287" s="513">
        <v>99.4</v>
      </c>
      <c r="G287" s="512">
        <v>101281145.87</v>
      </c>
      <c r="H287" s="175">
        <v>89622906.459999993</v>
      </c>
      <c r="I287" s="513">
        <v>88.5</v>
      </c>
      <c r="J287" s="651">
        <v>3281950.7600000054</v>
      </c>
      <c r="K287" s="176">
        <v>23994156.760000002</v>
      </c>
      <c r="L287" s="513">
        <v>25.8</v>
      </c>
    </row>
    <row r="288" spans="1:12" ht="13.5">
      <c r="A288" s="635">
        <v>30</v>
      </c>
      <c r="B288" s="636">
        <v>16</v>
      </c>
      <c r="C288" s="645" t="s">
        <v>414</v>
      </c>
      <c r="D288" s="512">
        <v>61953811.090000004</v>
      </c>
      <c r="E288" s="175">
        <v>63358260.609999999</v>
      </c>
      <c r="F288" s="513">
        <v>102.3</v>
      </c>
      <c r="G288" s="512">
        <v>64108716.259999998</v>
      </c>
      <c r="H288" s="175">
        <v>59034744.340000004</v>
      </c>
      <c r="I288" s="513">
        <v>92.1</v>
      </c>
      <c r="J288" s="651">
        <v>4323516.2699999958</v>
      </c>
      <c r="K288" s="176">
        <v>12197250.630000001</v>
      </c>
      <c r="L288" s="513">
        <v>19.3</v>
      </c>
    </row>
    <row r="289" spans="1:12" ht="13.5">
      <c r="A289" s="635">
        <v>30</v>
      </c>
      <c r="B289" s="636">
        <v>17</v>
      </c>
      <c r="C289" s="645" t="s">
        <v>413</v>
      </c>
      <c r="D289" s="512">
        <v>219499266</v>
      </c>
      <c r="E289" s="175">
        <v>221378315.84</v>
      </c>
      <c r="F289" s="513">
        <v>100.9</v>
      </c>
      <c r="G289" s="512">
        <v>226746471.15000001</v>
      </c>
      <c r="H289" s="175">
        <v>224213575.84</v>
      </c>
      <c r="I289" s="513">
        <v>98.9</v>
      </c>
      <c r="J289" s="651">
        <v>-2835260</v>
      </c>
      <c r="K289" s="176">
        <v>37508363.649999999</v>
      </c>
      <c r="L289" s="513">
        <v>16.899999999999999</v>
      </c>
    </row>
    <row r="290" spans="1:12" ht="13.5">
      <c r="A290" s="635">
        <v>30</v>
      </c>
      <c r="B290" s="636">
        <v>18</v>
      </c>
      <c r="C290" s="645" t="s">
        <v>412</v>
      </c>
      <c r="D290" s="512">
        <v>85729753.569999993</v>
      </c>
      <c r="E290" s="175">
        <v>87775064.219999999</v>
      </c>
      <c r="F290" s="513">
        <v>102.4</v>
      </c>
      <c r="G290" s="512">
        <v>90947242.120000005</v>
      </c>
      <c r="H290" s="175">
        <v>86992595.530000001</v>
      </c>
      <c r="I290" s="513">
        <v>95.7</v>
      </c>
      <c r="J290" s="651">
        <v>782468.68999999762</v>
      </c>
      <c r="K290" s="176">
        <v>3000000</v>
      </c>
      <c r="L290" s="513">
        <v>3.4</v>
      </c>
    </row>
    <row r="291" spans="1:12" ht="13.5">
      <c r="A291" s="635">
        <v>30</v>
      </c>
      <c r="B291" s="636">
        <v>19</v>
      </c>
      <c r="C291" s="645" t="s">
        <v>411</v>
      </c>
      <c r="D291" s="512">
        <v>226035634.44999999</v>
      </c>
      <c r="E291" s="175">
        <v>215045029.56999999</v>
      </c>
      <c r="F291" s="513">
        <v>95.1</v>
      </c>
      <c r="G291" s="512">
        <v>243866121.09999999</v>
      </c>
      <c r="H291" s="175">
        <v>211731220.24000001</v>
      </c>
      <c r="I291" s="513">
        <v>86.8</v>
      </c>
      <c r="J291" s="651">
        <v>3313809.3299999833</v>
      </c>
      <c r="K291" s="176">
        <v>58311195.869999997</v>
      </c>
      <c r="L291" s="513">
        <v>27.1</v>
      </c>
    </row>
    <row r="292" spans="1:12" ht="13.5">
      <c r="A292" s="635">
        <v>30</v>
      </c>
      <c r="B292" s="636">
        <v>20</v>
      </c>
      <c r="C292" s="645" t="s">
        <v>410</v>
      </c>
      <c r="D292" s="512">
        <v>104472152.59999999</v>
      </c>
      <c r="E292" s="175">
        <v>105018404.59</v>
      </c>
      <c r="F292" s="513">
        <v>100.5</v>
      </c>
      <c r="G292" s="512">
        <v>102763600.65000001</v>
      </c>
      <c r="H292" s="175">
        <v>94151842.840000004</v>
      </c>
      <c r="I292" s="513">
        <v>91.6</v>
      </c>
      <c r="J292" s="651">
        <v>10866561.75</v>
      </c>
      <c r="K292" s="176">
        <v>33043774.960000001</v>
      </c>
      <c r="L292" s="513">
        <v>31.5</v>
      </c>
    </row>
    <row r="293" spans="1:12" ht="13.5">
      <c r="A293" s="635">
        <v>30</v>
      </c>
      <c r="B293" s="636">
        <v>21</v>
      </c>
      <c r="C293" s="645" t="s">
        <v>409</v>
      </c>
      <c r="D293" s="512">
        <v>444476791.69</v>
      </c>
      <c r="E293" s="175">
        <v>456442014.92000002</v>
      </c>
      <c r="F293" s="513">
        <v>102.7</v>
      </c>
      <c r="G293" s="512">
        <v>493490875.69</v>
      </c>
      <c r="H293" s="175">
        <v>457665774.35000002</v>
      </c>
      <c r="I293" s="513">
        <v>92.7</v>
      </c>
      <c r="J293" s="651">
        <v>-1223759.4300000072</v>
      </c>
      <c r="K293" s="176">
        <v>136000000</v>
      </c>
      <c r="L293" s="513">
        <v>29.8</v>
      </c>
    </row>
    <row r="294" spans="1:12" ht="13.5">
      <c r="A294" s="635">
        <v>30</v>
      </c>
      <c r="B294" s="636">
        <v>22</v>
      </c>
      <c r="C294" s="645" t="s">
        <v>408</v>
      </c>
      <c r="D294" s="512">
        <v>90337701.129999995</v>
      </c>
      <c r="E294" s="175">
        <v>92949624.290000007</v>
      </c>
      <c r="F294" s="513">
        <v>102.9</v>
      </c>
      <c r="G294" s="512">
        <v>95576339.569999993</v>
      </c>
      <c r="H294" s="175">
        <v>91274357.780000001</v>
      </c>
      <c r="I294" s="513">
        <v>95.5</v>
      </c>
      <c r="J294" s="651">
        <v>1675266.5100000054</v>
      </c>
      <c r="K294" s="176">
        <v>6150000</v>
      </c>
      <c r="L294" s="513">
        <v>6.6</v>
      </c>
    </row>
    <row r="295" spans="1:12" ht="13.5">
      <c r="A295" s="635">
        <v>30</v>
      </c>
      <c r="B295" s="636">
        <v>23</v>
      </c>
      <c r="C295" s="645" t="s">
        <v>407</v>
      </c>
      <c r="D295" s="512">
        <v>123419607.09</v>
      </c>
      <c r="E295" s="175">
        <v>123275798.64</v>
      </c>
      <c r="F295" s="513">
        <v>99.9</v>
      </c>
      <c r="G295" s="512">
        <v>128762368.62</v>
      </c>
      <c r="H295" s="175">
        <v>125234700.95999999</v>
      </c>
      <c r="I295" s="513">
        <v>97.3</v>
      </c>
      <c r="J295" s="651">
        <v>-1958902.3199999928</v>
      </c>
      <c r="K295" s="176">
        <v>30012684</v>
      </c>
      <c r="L295" s="513">
        <v>24.3</v>
      </c>
    </row>
    <row r="296" spans="1:12" ht="13.5">
      <c r="A296" s="635">
        <v>30</v>
      </c>
      <c r="B296" s="636">
        <v>24</v>
      </c>
      <c r="C296" s="645" t="s">
        <v>406</v>
      </c>
      <c r="D296" s="512">
        <v>99865016.590000004</v>
      </c>
      <c r="E296" s="175">
        <v>102017965.13</v>
      </c>
      <c r="F296" s="513">
        <v>102.2</v>
      </c>
      <c r="G296" s="512">
        <v>103471523.2</v>
      </c>
      <c r="H296" s="175">
        <v>93974559.780000001</v>
      </c>
      <c r="I296" s="513">
        <v>90.8</v>
      </c>
      <c r="J296" s="651">
        <v>8043405.349999994</v>
      </c>
      <c r="K296" s="176">
        <v>22052652</v>
      </c>
      <c r="L296" s="513">
        <v>21.6</v>
      </c>
    </row>
    <row r="297" spans="1:12" ht="13.5">
      <c r="A297" s="635">
        <v>30</v>
      </c>
      <c r="B297" s="636">
        <v>25</v>
      </c>
      <c r="C297" s="645" t="s">
        <v>405</v>
      </c>
      <c r="D297" s="512">
        <v>89038337.890000001</v>
      </c>
      <c r="E297" s="175">
        <v>90588870.349999994</v>
      </c>
      <c r="F297" s="513">
        <v>101.7</v>
      </c>
      <c r="G297" s="512">
        <v>102970872.42</v>
      </c>
      <c r="H297" s="175">
        <v>94363577.849999994</v>
      </c>
      <c r="I297" s="513">
        <v>91.6</v>
      </c>
      <c r="J297" s="651">
        <v>-3774707.5</v>
      </c>
      <c r="K297" s="176">
        <v>40911971.5</v>
      </c>
      <c r="L297" s="513">
        <v>45.2</v>
      </c>
    </row>
    <row r="298" spans="1:12" ht="13.5">
      <c r="A298" s="635">
        <v>30</v>
      </c>
      <c r="B298" s="636">
        <v>26</v>
      </c>
      <c r="C298" s="645" t="s">
        <v>404</v>
      </c>
      <c r="D298" s="512">
        <v>85976891.959999993</v>
      </c>
      <c r="E298" s="175">
        <v>87996004.930000007</v>
      </c>
      <c r="F298" s="513">
        <v>102.3</v>
      </c>
      <c r="G298" s="512">
        <v>86824191.170000002</v>
      </c>
      <c r="H298" s="175">
        <v>84834624.730000004</v>
      </c>
      <c r="I298" s="513">
        <v>97.7</v>
      </c>
      <c r="J298" s="651">
        <v>3161380.200000003</v>
      </c>
      <c r="K298" s="176">
        <v>87166175.359999999</v>
      </c>
      <c r="L298" s="513">
        <v>99.1</v>
      </c>
    </row>
    <row r="299" spans="1:12" ht="13.5">
      <c r="A299" s="635">
        <v>30</v>
      </c>
      <c r="B299" s="636">
        <v>27</v>
      </c>
      <c r="C299" s="645" t="s">
        <v>403</v>
      </c>
      <c r="D299" s="512">
        <v>108387915.41</v>
      </c>
      <c r="E299" s="175">
        <v>109790530.18000001</v>
      </c>
      <c r="F299" s="513">
        <v>101.3</v>
      </c>
      <c r="G299" s="512">
        <v>111534598.41</v>
      </c>
      <c r="H299" s="175">
        <v>98528731.849999994</v>
      </c>
      <c r="I299" s="513">
        <v>88.3</v>
      </c>
      <c r="J299" s="651">
        <v>11261798.330000013</v>
      </c>
      <c r="K299" s="176">
        <v>4000000</v>
      </c>
      <c r="L299" s="513">
        <v>3.6</v>
      </c>
    </row>
    <row r="300" spans="1:12" ht="13.5">
      <c r="A300" s="635">
        <v>30</v>
      </c>
      <c r="B300" s="636">
        <v>28</v>
      </c>
      <c r="C300" s="645" t="s">
        <v>402</v>
      </c>
      <c r="D300" s="512">
        <v>95319056.849999994</v>
      </c>
      <c r="E300" s="175">
        <v>95696813.670000002</v>
      </c>
      <c r="F300" s="513">
        <v>100.4</v>
      </c>
      <c r="G300" s="512">
        <v>115890482.69</v>
      </c>
      <c r="H300" s="175">
        <v>105884415.27</v>
      </c>
      <c r="I300" s="513">
        <v>91.4</v>
      </c>
      <c r="J300" s="651">
        <v>-10187601.599999994</v>
      </c>
      <c r="K300" s="176">
        <v>37434284</v>
      </c>
      <c r="L300" s="513">
        <v>39.1</v>
      </c>
    </row>
    <row r="301" spans="1:12" ht="13.5">
      <c r="A301" s="635">
        <v>30</v>
      </c>
      <c r="B301" s="636">
        <v>29</v>
      </c>
      <c r="C301" s="645" t="s">
        <v>401</v>
      </c>
      <c r="D301" s="512">
        <v>78942537.090000004</v>
      </c>
      <c r="E301" s="175">
        <v>76059057.290000007</v>
      </c>
      <c r="F301" s="513">
        <v>96.3</v>
      </c>
      <c r="G301" s="512">
        <v>87665792.030000001</v>
      </c>
      <c r="H301" s="175">
        <v>76314425.329999998</v>
      </c>
      <c r="I301" s="513">
        <v>87.1</v>
      </c>
      <c r="J301" s="651">
        <v>-255368.03999999166</v>
      </c>
      <c r="K301" s="176">
        <v>16335281.42</v>
      </c>
      <c r="L301" s="513">
        <v>21.5</v>
      </c>
    </row>
    <row r="302" spans="1:12" ht="13.5">
      <c r="A302" s="635">
        <v>30</v>
      </c>
      <c r="B302" s="636">
        <v>30</v>
      </c>
      <c r="C302" s="645" t="s">
        <v>400</v>
      </c>
      <c r="D302" s="512">
        <v>113138882.93000001</v>
      </c>
      <c r="E302" s="175">
        <v>111326881.95</v>
      </c>
      <c r="F302" s="513">
        <v>98.4</v>
      </c>
      <c r="G302" s="512">
        <v>112682826.02</v>
      </c>
      <c r="H302" s="175">
        <v>106454536.48</v>
      </c>
      <c r="I302" s="513">
        <v>94.5</v>
      </c>
      <c r="J302" s="651">
        <v>4872345.4699999988</v>
      </c>
      <c r="K302" s="176">
        <v>27047666.640000001</v>
      </c>
      <c r="L302" s="513">
        <v>24.3</v>
      </c>
    </row>
    <row r="303" spans="1:12" ht="13.5">
      <c r="A303" s="635">
        <v>30</v>
      </c>
      <c r="B303" s="636">
        <v>31</v>
      </c>
      <c r="C303" s="645" t="s">
        <v>399</v>
      </c>
      <c r="D303" s="512">
        <v>90355615.280000001</v>
      </c>
      <c r="E303" s="175">
        <v>90688155.439999998</v>
      </c>
      <c r="F303" s="513">
        <v>100.4</v>
      </c>
      <c r="G303" s="512">
        <v>92218339.599999994</v>
      </c>
      <c r="H303" s="175">
        <v>86340642.549999997</v>
      </c>
      <c r="I303" s="513">
        <v>93.6</v>
      </c>
      <c r="J303" s="651">
        <v>4347512.8900000006</v>
      </c>
      <c r="K303" s="176">
        <v>14489072</v>
      </c>
      <c r="L303" s="513">
        <v>16</v>
      </c>
    </row>
    <row r="304" spans="1:12" ht="13.5">
      <c r="A304" s="635">
        <v>32</v>
      </c>
      <c r="B304" s="636">
        <v>1</v>
      </c>
      <c r="C304" s="645" t="s">
        <v>398</v>
      </c>
      <c r="D304" s="512">
        <v>73458924.109999999</v>
      </c>
      <c r="E304" s="175">
        <v>76260053.790000007</v>
      </c>
      <c r="F304" s="513">
        <v>103.8</v>
      </c>
      <c r="G304" s="512">
        <v>81660245.829999998</v>
      </c>
      <c r="H304" s="175">
        <v>75620049</v>
      </c>
      <c r="I304" s="513">
        <v>92.6</v>
      </c>
      <c r="J304" s="651">
        <v>640004.79000000656</v>
      </c>
      <c r="K304" s="176">
        <v>8046133.1299999999</v>
      </c>
      <c r="L304" s="513">
        <v>10.6</v>
      </c>
    </row>
    <row r="305" spans="1:12" ht="13.5">
      <c r="A305" s="635">
        <v>32</v>
      </c>
      <c r="B305" s="636">
        <v>2</v>
      </c>
      <c r="C305" s="645" t="s">
        <v>397</v>
      </c>
      <c r="D305" s="512">
        <v>79097405.549999997</v>
      </c>
      <c r="E305" s="175">
        <v>69441073.939999998</v>
      </c>
      <c r="F305" s="513">
        <v>87.8</v>
      </c>
      <c r="G305" s="512">
        <v>86563920.549999997</v>
      </c>
      <c r="H305" s="175">
        <v>65062061.659999996</v>
      </c>
      <c r="I305" s="513">
        <v>75.2</v>
      </c>
      <c r="J305" s="651">
        <v>4379012.2800000012</v>
      </c>
      <c r="K305" s="176">
        <v>8483862.8200000003</v>
      </c>
      <c r="L305" s="513">
        <v>12.2</v>
      </c>
    </row>
    <row r="306" spans="1:12" ht="13.5">
      <c r="A306" s="635">
        <v>32</v>
      </c>
      <c r="B306" s="636">
        <v>3</v>
      </c>
      <c r="C306" s="645" t="s">
        <v>396</v>
      </c>
      <c r="D306" s="512">
        <v>110877599.26000001</v>
      </c>
      <c r="E306" s="175">
        <v>111112282.84</v>
      </c>
      <c r="F306" s="513">
        <v>100.2</v>
      </c>
      <c r="G306" s="512">
        <v>122732880.25</v>
      </c>
      <c r="H306" s="175">
        <v>114704787.34999999</v>
      </c>
      <c r="I306" s="513">
        <v>93.5</v>
      </c>
      <c r="J306" s="651">
        <v>-3592504.5099999905</v>
      </c>
      <c r="K306" s="176">
        <v>26955894</v>
      </c>
      <c r="L306" s="513">
        <v>24.3</v>
      </c>
    </row>
    <row r="307" spans="1:12" ht="13.5">
      <c r="A307" s="635">
        <v>32</v>
      </c>
      <c r="B307" s="636">
        <v>4</v>
      </c>
      <c r="C307" s="645" t="s">
        <v>395</v>
      </c>
      <c r="D307" s="512">
        <v>115425825.72</v>
      </c>
      <c r="E307" s="175">
        <v>114308389.75</v>
      </c>
      <c r="F307" s="513">
        <v>99</v>
      </c>
      <c r="G307" s="512">
        <v>122259426.72</v>
      </c>
      <c r="H307" s="175">
        <v>107011456.77</v>
      </c>
      <c r="I307" s="513">
        <v>87.5</v>
      </c>
      <c r="J307" s="651">
        <v>7296932.9800000042</v>
      </c>
      <c r="K307" s="176">
        <v>28019881.530000001</v>
      </c>
      <c r="L307" s="513">
        <v>24.5</v>
      </c>
    </row>
    <row r="308" spans="1:12" ht="13.5">
      <c r="A308" s="635">
        <v>32</v>
      </c>
      <c r="B308" s="636">
        <v>5</v>
      </c>
      <c r="C308" s="645" t="s">
        <v>394</v>
      </c>
      <c r="D308" s="512">
        <v>104831055.88</v>
      </c>
      <c r="E308" s="175">
        <v>106208453.86</v>
      </c>
      <c r="F308" s="513">
        <v>101.3</v>
      </c>
      <c r="G308" s="512">
        <v>105873962.34</v>
      </c>
      <c r="H308" s="175">
        <v>98541495.959999993</v>
      </c>
      <c r="I308" s="513">
        <v>93.1</v>
      </c>
      <c r="J308" s="651">
        <v>7666957.900000006</v>
      </c>
      <c r="K308" s="176">
        <v>7928723.1799999997</v>
      </c>
      <c r="L308" s="513">
        <v>7.5</v>
      </c>
    </row>
    <row r="309" spans="1:12" ht="13.5">
      <c r="A309" s="635">
        <v>32</v>
      </c>
      <c r="B309" s="636">
        <v>6</v>
      </c>
      <c r="C309" s="645" t="s">
        <v>393</v>
      </c>
      <c r="D309" s="512">
        <v>115298841.34999999</v>
      </c>
      <c r="E309" s="175">
        <v>117733539.05</v>
      </c>
      <c r="F309" s="513">
        <v>102.1</v>
      </c>
      <c r="G309" s="512">
        <v>124120188.48</v>
      </c>
      <c r="H309" s="175">
        <v>109697183.42</v>
      </c>
      <c r="I309" s="513">
        <v>88.4</v>
      </c>
      <c r="J309" s="651">
        <v>8036355.6299999952</v>
      </c>
      <c r="K309" s="176">
        <v>10985000</v>
      </c>
      <c r="L309" s="513">
        <v>9.3000000000000007</v>
      </c>
    </row>
    <row r="310" spans="1:12" ht="13.5">
      <c r="A310" s="635">
        <v>32</v>
      </c>
      <c r="B310" s="636">
        <v>7</v>
      </c>
      <c r="C310" s="645" t="s">
        <v>392</v>
      </c>
      <c r="D310" s="512">
        <v>67805807.099999994</v>
      </c>
      <c r="E310" s="175">
        <v>72167661.980000004</v>
      </c>
      <c r="F310" s="513">
        <v>106.4</v>
      </c>
      <c r="G310" s="512">
        <v>71040603.700000003</v>
      </c>
      <c r="H310" s="175">
        <v>64180734.630000003</v>
      </c>
      <c r="I310" s="513">
        <v>90.3</v>
      </c>
      <c r="J310" s="651">
        <v>7986927.3500000015</v>
      </c>
      <c r="K310" s="176">
        <v>9030066.2200000007</v>
      </c>
      <c r="L310" s="513">
        <v>12.5</v>
      </c>
    </row>
    <row r="311" spans="1:12" ht="13.5">
      <c r="A311" s="635">
        <v>32</v>
      </c>
      <c r="B311" s="636">
        <v>8</v>
      </c>
      <c r="C311" s="645" t="s">
        <v>391</v>
      </c>
      <c r="D311" s="512">
        <v>128319385.51000001</v>
      </c>
      <c r="E311" s="175">
        <v>133797054.87</v>
      </c>
      <c r="F311" s="513">
        <v>104.3</v>
      </c>
      <c r="G311" s="512">
        <v>134463285.22999999</v>
      </c>
      <c r="H311" s="175">
        <v>129670788.31999999</v>
      </c>
      <c r="I311" s="513">
        <v>96.4</v>
      </c>
      <c r="J311" s="651">
        <v>4126266.5500000119</v>
      </c>
      <c r="K311" s="176">
        <v>15156000</v>
      </c>
      <c r="L311" s="513">
        <v>11.3</v>
      </c>
    </row>
    <row r="312" spans="1:12" ht="13.5">
      <c r="A312" s="635">
        <v>32</v>
      </c>
      <c r="B312" s="636">
        <v>9</v>
      </c>
      <c r="C312" s="645" t="s">
        <v>390</v>
      </c>
      <c r="D312" s="512">
        <v>110216830.08</v>
      </c>
      <c r="E312" s="175">
        <v>120801296.12</v>
      </c>
      <c r="F312" s="513">
        <v>109.6</v>
      </c>
      <c r="G312" s="512">
        <v>115155574.29000001</v>
      </c>
      <c r="H312" s="175">
        <v>110136996.31999999</v>
      </c>
      <c r="I312" s="513">
        <v>95.6</v>
      </c>
      <c r="J312" s="651">
        <v>10664299.800000012</v>
      </c>
      <c r="K312" s="176">
        <v>15568400</v>
      </c>
      <c r="L312" s="513">
        <v>12.9</v>
      </c>
    </row>
    <row r="313" spans="1:12" ht="13.5">
      <c r="A313" s="635">
        <v>32</v>
      </c>
      <c r="B313" s="636">
        <v>10</v>
      </c>
      <c r="C313" s="645" t="s">
        <v>389</v>
      </c>
      <c r="D313" s="512">
        <v>103542439.02</v>
      </c>
      <c r="E313" s="175">
        <v>119030315.01000001</v>
      </c>
      <c r="F313" s="513">
        <v>115</v>
      </c>
      <c r="G313" s="512">
        <v>107397947.12</v>
      </c>
      <c r="H313" s="175">
        <v>100631886.69</v>
      </c>
      <c r="I313" s="513">
        <v>93.7</v>
      </c>
      <c r="J313" s="651">
        <v>18398428.320000008</v>
      </c>
      <c r="K313" s="176">
        <v>30380000</v>
      </c>
      <c r="L313" s="513">
        <v>25.5</v>
      </c>
    </row>
    <row r="314" spans="1:12" ht="13.5">
      <c r="A314" s="635">
        <v>32</v>
      </c>
      <c r="B314" s="636">
        <v>11</v>
      </c>
      <c r="C314" s="645" t="s">
        <v>388</v>
      </c>
      <c r="D314" s="512">
        <v>137917489.93000001</v>
      </c>
      <c r="E314" s="175">
        <v>134978162.13999999</v>
      </c>
      <c r="F314" s="513">
        <v>97.9</v>
      </c>
      <c r="G314" s="512">
        <v>139000508.53999999</v>
      </c>
      <c r="H314" s="175">
        <v>122828519.34</v>
      </c>
      <c r="I314" s="513">
        <v>88.4</v>
      </c>
      <c r="J314" s="651">
        <v>12149642.799999982</v>
      </c>
      <c r="K314" s="176">
        <v>2500000</v>
      </c>
      <c r="L314" s="513">
        <v>1.9</v>
      </c>
    </row>
    <row r="315" spans="1:12" ht="13.5">
      <c r="A315" s="635">
        <v>32</v>
      </c>
      <c r="B315" s="636">
        <v>12</v>
      </c>
      <c r="C315" s="645" t="s">
        <v>387</v>
      </c>
      <c r="D315" s="512">
        <v>60827595.590000004</v>
      </c>
      <c r="E315" s="175">
        <v>59861033.75</v>
      </c>
      <c r="F315" s="513">
        <v>98.4</v>
      </c>
      <c r="G315" s="512">
        <v>68354379.790000007</v>
      </c>
      <c r="H315" s="175">
        <v>60352931.520000003</v>
      </c>
      <c r="I315" s="513">
        <v>88.3</v>
      </c>
      <c r="J315" s="651">
        <v>-491897.77000000328</v>
      </c>
      <c r="K315" s="176">
        <v>12992014.74</v>
      </c>
      <c r="L315" s="513">
        <v>21.7</v>
      </c>
    </row>
    <row r="316" spans="1:12" ht="13.5">
      <c r="A316" s="635">
        <v>32</v>
      </c>
      <c r="B316" s="636">
        <v>13</v>
      </c>
      <c r="C316" s="645" t="s">
        <v>386</v>
      </c>
      <c r="D316" s="512">
        <v>90041061</v>
      </c>
      <c r="E316" s="175">
        <v>90834134.439999998</v>
      </c>
      <c r="F316" s="513">
        <v>100.9</v>
      </c>
      <c r="G316" s="512">
        <v>91800938</v>
      </c>
      <c r="H316" s="175">
        <v>82912082.879999995</v>
      </c>
      <c r="I316" s="513">
        <v>90.3</v>
      </c>
      <c r="J316" s="651">
        <v>7922051.5600000024</v>
      </c>
      <c r="K316" s="176">
        <v>17404513.140000001</v>
      </c>
      <c r="L316" s="513">
        <v>19.2</v>
      </c>
    </row>
    <row r="317" spans="1:12" ht="13.5">
      <c r="A317" s="635">
        <v>32</v>
      </c>
      <c r="B317" s="636">
        <v>14</v>
      </c>
      <c r="C317" s="645" t="s">
        <v>385</v>
      </c>
      <c r="D317" s="512">
        <v>156459894.19</v>
      </c>
      <c r="E317" s="175">
        <v>161478286.83000001</v>
      </c>
      <c r="F317" s="513">
        <v>103.2</v>
      </c>
      <c r="G317" s="512">
        <v>175174237.56999999</v>
      </c>
      <c r="H317" s="175">
        <v>161812644.43000001</v>
      </c>
      <c r="I317" s="513">
        <v>92.4</v>
      </c>
      <c r="J317" s="651">
        <v>-334357.59999999404</v>
      </c>
      <c r="K317" s="176">
        <v>25138930.5</v>
      </c>
      <c r="L317" s="513">
        <v>15.6</v>
      </c>
    </row>
    <row r="318" spans="1:12" ht="13.5">
      <c r="A318" s="635">
        <v>32</v>
      </c>
      <c r="B318" s="636">
        <v>15</v>
      </c>
      <c r="C318" s="645" t="s">
        <v>384</v>
      </c>
      <c r="D318" s="512">
        <v>151180870.06</v>
      </c>
      <c r="E318" s="175">
        <v>144799745.56</v>
      </c>
      <c r="F318" s="513">
        <v>95.8</v>
      </c>
      <c r="G318" s="512">
        <v>144862958.15000001</v>
      </c>
      <c r="H318" s="175">
        <v>136489721.25</v>
      </c>
      <c r="I318" s="513">
        <v>94.2</v>
      </c>
      <c r="J318" s="651">
        <v>8310024.3100000024</v>
      </c>
      <c r="K318" s="176">
        <v>50371051.450000003</v>
      </c>
      <c r="L318" s="513">
        <v>34.799999999999997</v>
      </c>
    </row>
    <row r="319" spans="1:12" ht="13.5">
      <c r="A319" s="635">
        <v>32</v>
      </c>
      <c r="B319" s="636">
        <v>16</v>
      </c>
      <c r="C319" s="645" t="s">
        <v>383</v>
      </c>
      <c r="D319" s="512">
        <v>88680666</v>
      </c>
      <c r="E319" s="175">
        <v>87044976.430000007</v>
      </c>
      <c r="F319" s="513">
        <v>98.2</v>
      </c>
      <c r="G319" s="512">
        <v>90873046</v>
      </c>
      <c r="H319" s="175">
        <v>84356614.010000005</v>
      </c>
      <c r="I319" s="513">
        <v>92.8</v>
      </c>
      <c r="J319" s="651">
        <v>2688362.4200000018</v>
      </c>
      <c r="K319" s="176">
        <v>5297500</v>
      </c>
      <c r="L319" s="513">
        <v>6.1</v>
      </c>
    </row>
    <row r="320" spans="1:12" ht="13.5">
      <c r="A320" s="635">
        <v>32</v>
      </c>
      <c r="B320" s="636">
        <v>17</v>
      </c>
      <c r="C320" s="645" t="s">
        <v>382</v>
      </c>
      <c r="D320" s="512">
        <v>87978335.629999995</v>
      </c>
      <c r="E320" s="175">
        <v>69357429.049999997</v>
      </c>
      <c r="F320" s="513">
        <v>78.8</v>
      </c>
      <c r="G320" s="512">
        <v>89573017.629999995</v>
      </c>
      <c r="H320" s="175">
        <v>76073205.739999995</v>
      </c>
      <c r="I320" s="513">
        <v>84.9</v>
      </c>
      <c r="J320" s="651">
        <v>-6715776.6899999976</v>
      </c>
      <c r="K320" s="176">
        <v>29383158.050000001</v>
      </c>
      <c r="L320" s="513">
        <v>42.4</v>
      </c>
    </row>
    <row r="321" spans="1:12" ht="13.5">
      <c r="A321" s="637">
        <v>32</v>
      </c>
      <c r="B321" s="638">
        <v>18</v>
      </c>
      <c r="C321" s="646" t="s">
        <v>381</v>
      </c>
      <c r="D321" s="514">
        <v>68538931.739999995</v>
      </c>
      <c r="E321" s="498">
        <v>69994993.689999998</v>
      </c>
      <c r="F321" s="515">
        <v>102.1</v>
      </c>
      <c r="G321" s="514">
        <v>67654140.109999999</v>
      </c>
      <c r="H321" s="498">
        <v>59992827.689999998</v>
      </c>
      <c r="I321" s="515">
        <v>88.7</v>
      </c>
      <c r="J321" s="652">
        <v>10002166</v>
      </c>
      <c r="K321" s="497">
        <v>3560761.01</v>
      </c>
      <c r="L321" s="515">
        <v>5.0999999999999996</v>
      </c>
    </row>
    <row r="323" spans="1:12">
      <c r="A323" s="2192" t="s">
        <v>970</v>
      </c>
      <c r="B323" s="2193"/>
      <c r="C323" s="2193"/>
      <c r="D323" s="2193"/>
      <c r="E323" s="2193"/>
      <c r="F323" s="2193"/>
      <c r="G323" s="2193"/>
      <c r="H323" s="2193"/>
      <c r="I323" s="2193"/>
    </row>
    <row r="324" spans="1:12" ht="12.75" customHeight="1"/>
  </sheetData>
  <mergeCells count="15">
    <mergeCell ref="A1:L1"/>
    <mergeCell ref="A323:I323"/>
    <mergeCell ref="I3:I4"/>
    <mergeCell ref="J3:J4"/>
    <mergeCell ref="K3:K4"/>
    <mergeCell ref="L3:L4"/>
    <mergeCell ref="D5:E5"/>
    <mergeCell ref="J5:K5"/>
    <mergeCell ref="G3:H3"/>
    <mergeCell ref="G5:H5"/>
    <mergeCell ref="A3:A5"/>
    <mergeCell ref="B3:B5"/>
    <mergeCell ref="C3:C5"/>
    <mergeCell ref="D3:E3"/>
    <mergeCell ref="F3:F4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25"/>
  <sheetViews>
    <sheetView showGridLines="0" workbookViewId="0">
      <selection activeCell="M7" sqref="M7"/>
    </sheetView>
  </sheetViews>
  <sheetFormatPr defaultColWidth="8.85546875" defaultRowHeight="13.5"/>
  <cols>
    <col min="1" max="1" width="4.7109375" style="896" customWidth="1"/>
    <col min="2" max="2" width="4" style="896" customWidth="1"/>
    <col min="3" max="3" width="15.7109375" style="896" bestFit="1" customWidth="1"/>
    <col min="4" max="4" width="16.28515625" style="896" customWidth="1"/>
    <col min="5" max="5" width="15.7109375" style="896" customWidth="1"/>
    <col min="6" max="6" width="13.85546875" style="896" customWidth="1"/>
    <col min="7" max="7" width="11.5703125" style="896" bestFit="1" customWidth="1"/>
    <col min="8" max="8" width="22.7109375" style="896" customWidth="1"/>
    <col min="9" max="9" width="9" style="896" bestFit="1" customWidth="1"/>
    <col min="10" max="16384" width="8.85546875" style="896"/>
  </cols>
  <sheetData>
    <row r="1" spans="1:9" ht="35.450000000000003" customHeight="1">
      <c r="A1" s="2211" t="s">
        <v>1052</v>
      </c>
      <c r="B1" s="2211"/>
      <c r="C1" s="2211"/>
      <c r="D1" s="2211"/>
      <c r="E1" s="2211"/>
      <c r="F1" s="2211"/>
      <c r="G1" s="2211"/>
      <c r="H1" s="2211"/>
      <c r="I1" s="2211"/>
    </row>
    <row r="2" spans="1:9">
      <c r="A2" s="2212" t="s">
        <v>41</v>
      </c>
      <c r="B2" s="2215" t="s">
        <v>67</v>
      </c>
      <c r="C2" s="2218" t="s">
        <v>40</v>
      </c>
      <c r="D2" s="2221" t="s">
        <v>1038</v>
      </c>
      <c r="E2" s="2063"/>
      <c r="F2" s="2063"/>
      <c r="G2" s="2063"/>
      <c r="H2" s="2063"/>
      <c r="I2" s="2064"/>
    </row>
    <row r="3" spans="1:9" ht="12.75" customHeight="1">
      <c r="A3" s="2213"/>
      <c r="B3" s="2216"/>
      <c r="C3" s="2219"/>
      <c r="D3" s="2222" t="s">
        <v>733</v>
      </c>
      <c r="E3" s="925" t="s">
        <v>734</v>
      </c>
      <c r="F3" s="2067" t="s">
        <v>375</v>
      </c>
      <c r="G3" s="2068"/>
      <c r="H3" s="2224" t="s">
        <v>760</v>
      </c>
      <c r="I3" s="2227" t="s">
        <v>1053</v>
      </c>
    </row>
    <row r="4" spans="1:9" ht="12.75" customHeight="1">
      <c r="A4" s="2213"/>
      <c r="B4" s="2216"/>
      <c r="C4" s="2219"/>
      <c r="D4" s="2223"/>
      <c r="E4" s="2230" t="s">
        <v>761</v>
      </c>
      <c r="F4" s="2232" t="s">
        <v>25</v>
      </c>
      <c r="G4" s="2234" t="s">
        <v>737</v>
      </c>
      <c r="H4" s="2225"/>
      <c r="I4" s="2228"/>
    </row>
    <row r="5" spans="1:9" ht="75" customHeight="1">
      <c r="A5" s="2213"/>
      <c r="B5" s="2216"/>
      <c r="C5" s="2219"/>
      <c r="D5" s="2066"/>
      <c r="E5" s="2231"/>
      <c r="F5" s="2233"/>
      <c r="G5" s="2235"/>
      <c r="H5" s="2226"/>
      <c r="I5" s="2229"/>
    </row>
    <row r="6" spans="1:9" ht="17.25" customHeight="1">
      <c r="A6" s="2214"/>
      <c r="B6" s="2217"/>
      <c r="C6" s="2220"/>
      <c r="D6" s="2236" t="s">
        <v>4</v>
      </c>
      <c r="E6" s="2074"/>
      <c r="F6" s="2074"/>
      <c r="G6" s="2074"/>
      <c r="H6" s="2075"/>
      <c r="I6" s="1003" t="s">
        <v>5</v>
      </c>
    </row>
    <row r="7" spans="1:9" ht="10.9" customHeight="1">
      <c r="A7" s="910" t="s">
        <v>887</v>
      </c>
      <c r="B7" s="911" t="s">
        <v>888</v>
      </c>
      <c r="C7" s="912" t="s">
        <v>889</v>
      </c>
      <c r="D7" s="919" t="s">
        <v>890</v>
      </c>
      <c r="E7" s="926" t="s">
        <v>891</v>
      </c>
      <c r="F7" s="913" t="s">
        <v>892</v>
      </c>
      <c r="G7" s="997" t="s">
        <v>893</v>
      </c>
      <c r="H7" s="937" t="s">
        <v>894</v>
      </c>
      <c r="I7" s="1000" t="s">
        <v>932</v>
      </c>
    </row>
    <row r="8" spans="1:9" ht="12.6" customHeight="1">
      <c r="A8" s="904">
        <v>2</v>
      </c>
      <c r="B8" s="905">
        <v>1</v>
      </c>
      <c r="C8" s="908" t="s">
        <v>683</v>
      </c>
      <c r="D8" s="993">
        <v>42441644</v>
      </c>
      <c r="E8" s="994">
        <v>0</v>
      </c>
      <c r="F8" s="906">
        <v>603583.79</v>
      </c>
      <c r="G8" s="998">
        <v>0</v>
      </c>
      <c r="H8" s="1001">
        <v>43045227.789999999</v>
      </c>
      <c r="I8" s="964">
        <f>E8/D8*100</f>
        <v>0</v>
      </c>
    </row>
    <row r="9" spans="1:9" ht="12.6" customHeight="1">
      <c r="A9" s="902">
        <v>2</v>
      </c>
      <c r="B9" s="903">
        <v>2</v>
      </c>
      <c r="C9" s="909" t="s">
        <v>682</v>
      </c>
      <c r="D9" s="995">
        <v>42947128</v>
      </c>
      <c r="E9" s="996">
        <v>0</v>
      </c>
      <c r="F9" s="907">
        <v>724834.3</v>
      </c>
      <c r="G9" s="999">
        <v>0</v>
      </c>
      <c r="H9" s="1002">
        <v>43671962.299999997</v>
      </c>
      <c r="I9" s="965">
        <f>E9/D9*100</f>
        <v>0</v>
      </c>
    </row>
    <row r="10" spans="1:9" ht="12.6" customHeight="1">
      <c r="A10" s="902">
        <v>2</v>
      </c>
      <c r="B10" s="903">
        <v>3</v>
      </c>
      <c r="C10" s="909" t="s">
        <v>681</v>
      </c>
      <c r="D10" s="995">
        <v>62098282</v>
      </c>
      <c r="E10" s="996">
        <v>0</v>
      </c>
      <c r="F10" s="907">
        <v>850034.03</v>
      </c>
      <c r="G10" s="999">
        <v>0</v>
      </c>
      <c r="H10" s="1002">
        <v>62948316.030000001</v>
      </c>
      <c r="I10" s="965">
        <f t="shared" ref="I10:I73" si="0">E10/D10*100</f>
        <v>0</v>
      </c>
    </row>
    <row r="11" spans="1:9" ht="12.6" customHeight="1">
      <c r="A11" s="902">
        <v>2</v>
      </c>
      <c r="B11" s="903">
        <v>4</v>
      </c>
      <c r="C11" s="909" t="s">
        <v>680</v>
      </c>
      <c r="D11" s="995">
        <v>11589083</v>
      </c>
      <c r="E11" s="996">
        <v>5759</v>
      </c>
      <c r="F11" s="907">
        <v>178772.45</v>
      </c>
      <c r="G11" s="999">
        <v>0</v>
      </c>
      <c r="H11" s="1002">
        <v>11767855.449999999</v>
      </c>
      <c r="I11" s="965">
        <f t="shared" si="0"/>
        <v>4.9693319134913434E-2</v>
      </c>
    </row>
    <row r="12" spans="1:9" ht="12.6" customHeight="1">
      <c r="A12" s="902">
        <v>2</v>
      </c>
      <c r="B12" s="903">
        <v>5</v>
      </c>
      <c r="C12" s="909" t="s">
        <v>679</v>
      </c>
      <c r="D12" s="995">
        <v>16894220</v>
      </c>
      <c r="E12" s="996">
        <v>32589</v>
      </c>
      <c r="F12" s="907">
        <v>170551.45</v>
      </c>
      <c r="G12" s="999">
        <v>0</v>
      </c>
      <c r="H12" s="1002">
        <v>17064771.449999999</v>
      </c>
      <c r="I12" s="965">
        <f t="shared" si="0"/>
        <v>0.19290029370991973</v>
      </c>
    </row>
    <row r="13" spans="1:9" ht="12.6" customHeight="1">
      <c r="A13" s="902">
        <v>2</v>
      </c>
      <c r="B13" s="903">
        <v>6</v>
      </c>
      <c r="C13" s="909" t="s">
        <v>773</v>
      </c>
      <c r="D13" s="995">
        <v>15343417</v>
      </c>
      <c r="E13" s="996">
        <v>0</v>
      </c>
      <c r="F13" s="907">
        <v>65734.06</v>
      </c>
      <c r="G13" s="999">
        <v>150000</v>
      </c>
      <c r="H13" s="1002">
        <v>15559151.060000001</v>
      </c>
      <c r="I13" s="965">
        <f t="shared" si="0"/>
        <v>0</v>
      </c>
    </row>
    <row r="14" spans="1:9" ht="12.6" customHeight="1">
      <c r="A14" s="902">
        <v>2</v>
      </c>
      <c r="B14" s="903">
        <v>7</v>
      </c>
      <c r="C14" s="909" t="s">
        <v>678</v>
      </c>
      <c r="D14" s="995">
        <v>16687663</v>
      </c>
      <c r="E14" s="996">
        <v>18991</v>
      </c>
      <c r="F14" s="907">
        <v>253576.18</v>
      </c>
      <c r="G14" s="999">
        <v>0</v>
      </c>
      <c r="H14" s="1002">
        <v>16941239.18</v>
      </c>
      <c r="I14" s="965">
        <f t="shared" si="0"/>
        <v>0.11380263371809463</v>
      </c>
    </row>
    <row r="15" spans="1:9" ht="12.6" customHeight="1">
      <c r="A15" s="902">
        <v>2</v>
      </c>
      <c r="B15" s="903">
        <v>8</v>
      </c>
      <c r="C15" s="909" t="s">
        <v>677</v>
      </c>
      <c r="D15" s="995">
        <v>74084516</v>
      </c>
      <c r="E15" s="996">
        <v>10977</v>
      </c>
      <c r="F15" s="907">
        <v>662074.91</v>
      </c>
      <c r="G15" s="999">
        <v>0</v>
      </c>
      <c r="H15" s="1002">
        <v>74746590.909999996</v>
      </c>
      <c r="I15" s="965">
        <f t="shared" si="0"/>
        <v>1.4816861326326272E-2</v>
      </c>
    </row>
    <row r="16" spans="1:9" ht="12.6" customHeight="1">
      <c r="A16" s="902">
        <v>2</v>
      </c>
      <c r="B16" s="903">
        <v>9</v>
      </c>
      <c r="C16" s="909" t="s">
        <v>676</v>
      </c>
      <c r="D16" s="995">
        <v>6393725</v>
      </c>
      <c r="E16" s="996">
        <v>25033</v>
      </c>
      <c r="F16" s="907">
        <v>35521.800000000003</v>
      </c>
      <c r="G16" s="999">
        <v>0</v>
      </c>
      <c r="H16" s="1002">
        <v>6429246.7999999998</v>
      </c>
      <c r="I16" s="965">
        <f t="shared" si="0"/>
        <v>0.39152450253959936</v>
      </c>
    </row>
    <row r="17" spans="1:9" ht="12.6" customHeight="1">
      <c r="A17" s="902">
        <v>2</v>
      </c>
      <c r="B17" s="903">
        <v>10</v>
      </c>
      <c r="C17" s="909" t="s">
        <v>675</v>
      </c>
      <c r="D17" s="995">
        <v>24568752</v>
      </c>
      <c r="E17" s="996">
        <v>0</v>
      </c>
      <c r="F17" s="907">
        <v>379251.77</v>
      </c>
      <c r="G17" s="999">
        <v>0</v>
      </c>
      <c r="H17" s="1002">
        <v>24948003.77</v>
      </c>
      <c r="I17" s="965">
        <f t="shared" si="0"/>
        <v>0</v>
      </c>
    </row>
    <row r="18" spans="1:9" ht="12.6" customHeight="1">
      <c r="A18" s="902">
        <v>2</v>
      </c>
      <c r="B18" s="903">
        <v>11</v>
      </c>
      <c r="C18" s="909" t="s">
        <v>674</v>
      </c>
      <c r="D18" s="995">
        <v>58085076</v>
      </c>
      <c r="E18" s="996">
        <v>0</v>
      </c>
      <c r="F18" s="907">
        <v>264968.92</v>
      </c>
      <c r="G18" s="999">
        <v>0</v>
      </c>
      <c r="H18" s="1002">
        <v>58350044.920000002</v>
      </c>
      <c r="I18" s="965">
        <f t="shared" si="0"/>
        <v>0</v>
      </c>
    </row>
    <row r="19" spans="1:9" ht="12.6" customHeight="1">
      <c r="A19" s="902">
        <v>2</v>
      </c>
      <c r="B19" s="903">
        <v>12</v>
      </c>
      <c r="C19" s="909" t="s">
        <v>673</v>
      </c>
      <c r="D19" s="995">
        <v>24845421</v>
      </c>
      <c r="E19" s="996">
        <v>40055</v>
      </c>
      <c r="F19" s="907">
        <v>113265.88</v>
      </c>
      <c r="G19" s="999">
        <v>0</v>
      </c>
      <c r="H19" s="1002">
        <v>24958686.879999999</v>
      </c>
      <c r="I19" s="965">
        <f t="shared" si="0"/>
        <v>0.16121682945118943</v>
      </c>
    </row>
    <row r="20" spans="1:9" ht="12.6" customHeight="1">
      <c r="A20" s="902">
        <v>2</v>
      </c>
      <c r="B20" s="903">
        <v>13</v>
      </c>
      <c r="C20" s="909" t="s">
        <v>672</v>
      </c>
      <c r="D20" s="995">
        <v>21036067</v>
      </c>
      <c r="E20" s="996">
        <v>0</v>
      </c>
      <c r="F20" s="907">
        <v>43420.56</v>
      </c>
      <c r="G20" s="999">
        <v>0</v>
      </c>
      <c r="H20" s="1002">
        <v>21079487.559999999</v>
      </c>
      <c r="I20" s="965">
        <f t="shared" si="0"/>
        <v>0</v>
      </c>
    </row>
    <row r="21" spans="1:9" ht="12.6" customHeight="1">
      <c r="A21" s="902">
        <v>2</v>
      </c>
      <c r="B21" s="903">
        <v>14</v>
      </c>
      <c r="C21" s="909" t="s">
        <v>671</v>
      </c>
      <c r="D21" s="995">
        <v>44897717</v>
      </c>
      <c r="E21" s="996">
        <v>59686</v>
      </c>
      <c r="F21" s="907">
        <v>1245254.1100000001</v>
      </c>
      <c r="G21" s="999">
        <v>0</v>
      </c>
      <c r="H21" s="1002">
        <v>46142971.109999999</v>
      </c>
      <c r="I21" s="965">
        <f t="shared" si="0"/>
        <v>0.13293771707813118</v>
      </c>
    </row>
    <row r="22" spans="1:9" ht="12.6" customHeight="1">
      <c r="A22" s="902">
        <v>2</v>
      </c>
      <c r="B22" s="903">
        <v>15</v>
      </c>
      <c r="C22" s="909" t="s">
        <v>670</v>
      </c>
      <c r="D22" s="995">
        <v>31452298</v>
      </c>
      <c r="E22" s="996">
        <v>30958</v>
      </c>
      <c r="F22" s="907">
        <v>420808.16</v>
      </c>
      <c r="G22" s="999">
        <v>0</v>
      </c>
      <c r="H22" s="1002">
        <v>31873106.16</v>
      </c>
      <c r="I22" s="965">
        <f t="shared" si="0"/>
        <v>9.8428420079194209E-2</v>
      </c>
    </row>
    <row r="23" spans="1:9" ht="12.6" customHeight="1">
      <c r="A23" s="902">
        <v>2</v>
      </c>
      <c r="B23" s="903">
        <v>16</v>
      </c>
      <c r="C23" s="909" t="s">
        <v>669</v>
      </c>
      <c r="D23" s="995">
        <v>13719166</v>
      </c>
      <c r="E23" s="996">
        <v>0</v>
      </c>
      <c r="F23" s="907">
        <v>333390.5</v>
      </c>
      <c r="G23" s="999">
        <v>0</v>
      </c>
      <c r="H23" s="1002">
        <v>14052556.5</v>
      </c>
      <c r="I23" s="965">
        <f t="shared" si="0"/>
        <v>0</v>
      </c>
    </row>
    <row r="24" spans="1:9" ht="12.6" customHeight="1">
      <c r="A24" s="902">
        <v>2</v>
      </c>
      <c r="B24" s="903">
        <v>17</v>
      </c>
      <c r="C24" s="909" t="s">
        <v>668</v>
      </c>
      <c r="D24" s="995">
        <v>21439944</v>
      </c>
      <c r="E24" s="996">
        <v>0</v>
      </c>
      <c r="F24" s="907">
        <v>234650.16</v>
      </c>
      <c r="G24" s="999">
        <v>0</v>
      </c>
      <c r="H24" s="1002">
        <v>21674594.16</v>
      </c>
      <c r="I24" s="965">
        <f t="shared" si="0"/>
        <v>0</v>
      </c>
    </row>
    <row r="25" spans="1:9" ht="12.6" customHeight="1">
      <c r="A25" s="902">
        <v>2</v>
      </c>
      <c r="B25" s="903">
        <v>18</v>
      </c>
      <c r="C25" s="909" t="s">
        <v>405</v>
      </c>
      <c r="D25" s="995">
        <v>11716088</v>
      </c>
      <c r="E25" s="996">
        <v>0</v>
      </c>
      <c r="F25" s="907">
        <v>48222.16</v>
      </c>
      <c r="G25" s="999">
        <v>0</v>
      </c>
      <c r="H25" s="1002">
        <v>11764310.16</v>
      </c>
      <c r="I25" s="965">
        <f t="shared" si="0"/>
        <v>0</v>
      </c>
    </row>
    <row r="26" spans="1:9" ht="12.6" customHeight="1">
      <c r="A26" s="902">
        <v>2</v>
      </c>
      <c r="B26" s="903">
        <v>19</v>
      </c>
      <c r="C26" s="909" t="s">
        <v>626</v>
      </c>
      <c r="D26" s="995">
        <v>79745308</v>
      </c>
      <c r="E26" s="996">
        <v>46259</v>
      </c>
      <c r="F26" s="907">
        <v>692199.1</v>
      </c>
      <c r="G26" s="999">
        <v>118000</v>
      </c>
      <c r="H26" s="1002">
        <v>80555507.099999994</v>
      </c>
      <c r="I26" s="965">
        <f t="shared" si="0"/>
        <v>5.8008428533500682E-2</v>
      </c>
    </row>
    <row r="27" spans="1:9" ht="12.6" customHeight="1">
      <c r="A27" s="902">
        <v>2</v>
      </c>
      <c r="B27" s="903">
        <v>20</v>
      </c>
      <c r="C27" s="909" t="s">
        <v>667</v>
      </c>
      <c r="D27" s="995">
        <v>25957660</v>
      </c>
      <c r="E27" s="996">
        <v>0</v>
      </c>
      <c r="F27" s="907">
        <v>357404.58</v>
      </c>
      <c r="G27" s="999">
        <v>0</v>
      </c>
      <c r="H27" s="1002">
        <v>26315064.579999998</v>
      </c>
      <c r="I27" s="965">
        <f t="shared" si="0"/>
        <v>0</v>
      </c>
    </row>
    <row r="28" spans="1:9" ht="12.6" customHeight="1">
      <c r="A28" s="902">
        <v>2</v>
      </c>
      <c r="B28" s="903">
        <v>21</v>
      </c>
      <c r="C28" s="909" t="s">
        <v>666</v>
      </c>
      <c r="D28" s="995">
        <v>13887792</v>
      </c>
      <c r="E28" s="996">
        <v>0</v>
      </c>
      <c r="F28" s="907">
        <v>82120.56</v>
      </c>
      <c r="G28" s="999">
        <v>0</v>
      </c>
      <c r="H28" s="1002">
        <v>13969912.560000001</v>
      </c>
      <c r="I28" s="965">
        <f t="shared" si="0"/>
        <v>0</v>
      </c>
    </row>
    <row r="29" spans="1:9" ht="12.6" customHeight="1">
      <c r="A29" s="902">
        <v>2</v>
      </c>
      <c r="B29" s="903">
        <v>22</v>
      </c>
      <c r="C29" s="909" t="s">
        <v>665</v>
      </c>
      <c r="D29" s="995">
        <v>25473884</v>
      </c>
      <c r="E29" s="996">
        <v>0</v>
      </c>
      <c r="F29" s="907">
        <v>524542.79</v>
      </c>
      <c r="G29" s="999">
        <v>0</v>
      </c>
      <c r="H29" s="1002">
        <v>25998426.789999999</v>
      </c>
      <c r="I29" s="965">
        <f t="shared" si="0"/>
        <v>0</v>
      </c>
    </row>
    <row r="30" spans="1:9" ht="12.6" customHeight="1">
      <c r="A30" s="902">
        <v>2</v>
      </c>
      <c r="B30" s="903">
        <v>23</v>
      </c>
      <c r="C30" s="909" t="s">
        <v>664</v>
      </c>
      <c r="D30" s="995">
        <v>23471327</v>
      </c>
      <c r="E30" s="996">
        <v>25671</v>
      </c>
      <c r="F30" s="907">
        <v>383271.71</v>
      </c>
      <c r="G30" s="999">
        <v>0</v>
      </c>
      <c r="H30" s="1002">
        <v>23854598.710000001</v>
      </c>
      <c r="I30" s="965">
        <f t="shared" si="0"/>
        <v>0.10937174536403502</v>
      </c>
    </row>
    <row r="31" spans="1:9" ht="12.6" customHeight="1">
      <c r="A31" s="902">
        <v>2</v>
      </c>
      <c r="B31" s="903">
        <v>24</v>
      </c>
      <c r="C31" s="909" t="s">
        <v>663</v>
      </c>
      <c r="D31" s="995">
        <v>28638100</v>
      </c>
      <c r="E31" s="996">
        <v>60535</v>
      </c>
      <c r="F31" s="907">
        <v>228562.7</v>
      </c>
      <c r="G31" s="999">
        <v>0</v>
      </c>
      <c r="H31" s="1002">
        <v>28866662.699999999</v>
      </c>
      <c r="I31" s="965">
        <f t="shared" si="0"/>
        <v>0.21137924652822637</v>
      </c>
    </row>
    <row r="32" spans="1:9" ht="12.6" customHeight="1">
      <c r="A32" s="902">
        <v>2</v>
      </c>
      <c r="B32" s="903">
        <v>25</v>
      </c>
      <c r="C32" s="909" t="s">
        <v>662</v>
      </c>
      <c r="D32" s="995">
        <v>38134532</v>
      </c>
      <c r="E32" s="996">
        <v>0</v>
      </c>
      <c r="F32" s="907">
        <v>42796.94</v>
      </c>
      <c r="G32" s="999">
        <v>0</v>
      </c>
      <c r="H32" s="1002">
        <v>38177328.939999998</v>
      </c>
      <c r="I32" s="965">
        <f t="shared" si="0"/>
        <v>0</v>
      </c>
    </row>
    <row r="33" spans="1:9" ht="12.6" customHeight="1">
      <c r="A33" s="902">
        <v>2</v>
      </c>
      <c r="B33" s="903">
        <v>26</v>
      </c>
      <c r="C33" s="909" t="s">
        <v>661</v>
      </c>
      <c r="D33" s="995">
        <v>13690370</v>
      </c>
      <c r="E33" s="996">
        <v>23496</v>
      </c>
      <c r="F33" s="907">
        <v>94480.02</v>
      </c>
      <c r="G33" s="999">
        <v>0</v>
      </c>
      <c r="H33" s="1002">
        <v>13784850.02</v>
      </c>
      <c r="I33" s="965">
        <f t="shared" si="0"/>
        <v>0.17162428772925786</v>
      </c>
    </row>
    <row r="34" spans="1:9" ht="12.6" customHeight="1">
      <c r="A34" s="902">
        <v>4</v>
      </c>
      <c r="B34" s="903">
        <v>1</v>
      </c>
      <c r="C34" s="909" t="s">
        <v>660</v>
      </c>
      <c r="D34" s="995">
        <v>17781251</v>
      </c>
      <c r="E34" s="996">
        <v>0</v>
      </c>
      <c r="F34" s="907">
        <v>54980.99</v>
      </c>
      <c r="G34" s="999">
        <v>0</v>
      </c>
      <c r="H34" s="1002">
        <v>17836231.989999998</v>
      </c>
      <c r="I34" s="965">
        <f t="shared" si="0"/>
        <v>0</v>
      </c>
    </row>
    <row r="35" spans="1:9" ht="12.6" customHeight="1">
      <c r="A35" s="902">
        <v>4</v>
      </c>
      <c r="B35" s="903">
        <v>2</v>
      </c>
      <c r="C35" s="909" t="s">
        <v>659</v>
      </c>
      <c r="D35" s="995">
        <v>36589204</v>
      </c>
      <c r="E35" s="996">
        <v>0</v>
      </c>
      <c r="F35" s="907">
        <v>182767.35999999999</v>
      </c>
      <c r="G35" s="999">
        <v>0</v>
      </c>
      <c r="H35" s="1002">
        <v>36771971.359999999</v>
      </c>
      <c r="I35" s="965">
        <f t="shared" si="0"/>
        <v>0</v>
      </c>
    </row>
    <row r="36" spans="1:9" ht="12.6" customHeight="1">
      <c r="A36" s="902">
        <v>4</v>
      </c>
      <c r="B36" s="903">
        <v>3</v>
      </c>
      <c r="C36" s="909" t="s">
        <v>658</v>
      </c>
      <c r="D36" s="995">
        <v>15093246</v>
      </c>
      <c r="E36" s="996">
        <v>0</v>
      </c>
      <c r="F36" s="907">
        <v>255521.69</v>
      </c>
      <c r="G36" s="999">
        <v>0</v>
      </c>
      <c r="H36" s="1002">
        <v>15348767.689999999</v>
      </c>
      <c r="I36" s="965">
        <f t="shared" si="0"/>
        <v>0</v>
      </c>
    </row>
    <row r="37" spans="1:9" ht="12.6" customHeight="1">
      <c r="A37" s="902">
        <v>4</v>
      </c>
      <c r="B37" s="903">
        <v>4</v>
      </c>
      <c r="C37" s="909" t="s">
        <v>657</v>
      </c>
      <c r="D37" s="995">
        <v>26199913</v>
      </c>
      <c r="E37" s="996">
        <v>43134</v>
      </c>
      <c r="F37" s="907">
        <v>225904.38</v>
      </c>
      <c r="G37" s="999">
        <v>0</v>
      </c>
      <c r="H37" s="1002">
        <v>26425817.379999999</v>
      </c>
      <c r="I37" s="965">
        <f t="shared" si="0"/>
        <v>0.16463413447212591</v>
      </c>
    </row>
    <row r="38" spans="1:9" ht="12.6" customHeight="1">
      <c r="A38" s="902">
        <v>4</v>
      </c>
      <c r="B38" s="903">
        <v>5</v>
      </c>
      <c r="C38" s="909" t="s">
        <v>656</v>
      </c>
      <c r="D38" s="995">
        <v>17796267</v>
      </c>
      <c r="E38" s="996">
        <v>0</v>
      </c>
      <c r="F38" s="907">
        <v>152561.25</v>
      </c>
      <c r="G38" s="999">
        <v>0</v>
      </c>
      <c r="H38" s="1002">
        <v>17948828.25</v>
      </c>
      <c r="I38" s="965">
        <f t="shared" si="0"/>
        <v>0</v>
      </c>
    </row>
    <row r="39" spans="1:9" ht="12.6" customHeight="1">
      <c r="A39" s="902">
        <v>4</v>
      </c>
      <c r="B39" s="903">
        <v>6</v>
      </c>
      <c r="C39" s="909" t="s">
        <v>655</v>
      </c>
      <c r="D39" s="995">
        <v>3308475</v>
      </c>
      <c r="E39" s="996">
        <v>0</v>
      </c>
      <c r="F39" s="907">
        <v>0</v>
      </c>
      <c r="G39" s="999">
        <v>0</v>
      </c>
      <c r="H39" s="1002">
        <v>3308475</v>
      </c>
      <c r="I39" s="965">
        <f t="shared" si="0"/>
        <v>0</v>
      </c>
    </row>
    <row r="40" spans="1:9" ht="12.6" customHeight="1">
      <c r="A40" s="902">
        <v>4</v>
      </c>
      <c r="B40" s="903">
        <v>7</v>
      </c>
      <c r="C40" s="909" t="s">
        <v>654</v>
      </c>
      <c r="D40" s="995">
        <v>70887151</v>
      </c>
      <c r="E40" s="996">
        <v>0</v>
      </c>
      <c r="F40" s="907">
        <v>1015969.78</v>
      </c>
      <c r="G40" s="999">
        <v>116075.44</v>
      </c>
      <c r="H40" s="1002">
        <v>72019196.219999999</v>
      </c>
      <c r="I40" s="965">
        <f t="shared" si="0"/>
        <v>0</v>
      </c>
    </row>
    <row r="41" spans="1:9" ht="12.6" customHeight="1">
      <c r="A41" s="902">
        <v>4</v>
      </c>
      <c r="B41" s="903">
        <v>8</v>
      </c>
      <c r="C41" s="909" t="s">
        <v>653</v>
      </c>
      <c r="D41" s="995">
        <v>22747287</v>
      </c>
      <c r="E41" s="996">
        <v>0</v>
      </c>
      <c r="F41" s="907">
        <v>19881.28</v>
      </c>
      <c r="G41" s="999">
        <v>0</v>
      </c>
      <c r="H41" s="1002">
        <v>22767168.280000001</v>
      </c>
      <c r="I41" s="965">
        <f t="shared" si="0"/>
        <v>0</v>
      </c>
    </row>
    <row r="42" spans="1:9" ht="12.6" customHeight="1">
      <c r="A42" s="902">
        <v>4</v>
      </c>
      <c r="B42" s="903">
        <v>9</v>
      </c>
      <c r="C42" s="909" t="s">
        <v>652</v>
      </c>
      <c r="D42" s="995">
        <v>28576846</v>
      </c>
      <c r="E42" s="996">
        <v>0</v>
      </c>
      <c r="F42" s="907">
        <v>65070.64</v>
      </c>
      <c r="G42" s="999">
        <v>0</v>
      </c>
      <c r="H42" s="1002">
        <v>28641916.640000001</v>
      </c>
      <c r="I42" s="965">
        <f t="shared" si="0"/>
        <v>0</v>
      </c>
    </row>
    <row r="43" spans="1:9" ht="12.6" customHeight="1">
      <c r="A43" s="902">
        <v>4</v>
      </c>
      <c r="B43" s="903">
        <v>10</v>
      </c>
      <c r="C43" s="909" t="s">
        <v>651</v>
      </c>
      <c r="D43" s="995">
        <v>42273577</v>
      </c>
      <c r="E43" s="996">
        <v>0</v>
      </c>
      <c r="F43" s="907">
        <v>355079.36</v>
      </c>
      <c r="G43" s="999">
        <v>0</v>
      </c>
      <c r="H43" s="1002">
        <v>42628656.359999999</v>
      </c>
      <c r="I43" s="965">
        <f t="shared" si="0"/>
        <v>0</v>
      </c>
    </row>
    <row r="44" spans="1:9" ht="12.6" customHeight="1">
      <c r="A44" s="902">
        <v>4</v>
      </c>
      <c r="B44" s="903">
        <v>11</v>
      </c>
      <c r="C44" s="909" t="s">
        <v>650</v>
      </c>
      <c r="D44" s="995">
        <v>21423006</v>
      </c>
      <c r="E44" s="996">
        <v>0</v>
      </c>
      <c r="F44" s="907">
        <v>186659.37</v>
      </c>
      <c r="G44" s="999">
        <v>0</v>
      </c>
      <c r="H44" s="1002">
        <v>21609665.370000001</v>
      </c>
      <c r="I44" s="965">
        <f t="shared" si="0"/>
        <v>0</v>
      </c>
    </row>
    <row r="45" spans="1:9" ht="12.6" customHeight="1">
      <c r="A45" s="902">
        <v>4</v>
      </c>
      <c r="B45" s="903">
        <v>12</v>
      </c>
      <c r="C45" s="909" t="s">
        <v>649</v>
      </c>
      <c r="D45" s="995">
        <v>24962522</v>
      </c>
      <c r="E45" s="996">
        <v>44354</v>
      </c>
      <c r="F45" s="907">
        <v>245175.1</v>
      </c>
      <c r="G45" s="999">
        <v>0</v>
      </c>
      <c r="H45" s="1002">
        <v>25207697.100000001</v>
      </c>
      <c r="I45" s="965">
        <f t="shared" si="0"/>
        <v>0.17768236719030234</v>
      </c>
    </row>
    <row r="46" spans="1:9" ht="12.6" customHeight="1">
      <c r="A46" s="902">
        <v>4</v>
      </c>
      <c r="B46" s="903">
        <v>13</v>
      </c>
      <c r="C46" s="909" t="s">
        <v>648</v>
      </c>
      <c r="D46" s="995">
        <v>14661593</v>
      </c>
      <c r="E46" s="996">
        <v>0</v>
      </c>
      <c r="F46" s="907">
        <v>128361.97</v>
      </c>
      <c r="G46" s="999">
        <v>0</v>
      </c>
      <c r="H46" s="1002">
        <v>14789954.970000001</v>
      </c>
      <c r="I46" s="965">
        <f t="shared" si="0"/>
        <v>0</v>
      </c>
    </row>
    <row r="47" spans="1:9" ht="12.6" customHeight="1">
      <c r="A47" s="902">
        <v>4</v>
      </c>
      <c r="B47" s="903">
        <v>14</v>
      </c>
      <c r="C47" s="909" t="s">
        <v>647</v>
      </c>
      <c r="D47" s="995">
        <v>41213482</v>
      </c>
      <c r="E47" s="996">
        <v>74087</v>
      </c>
      <c r="F47" s="907">
        <v>1719417.67</v>
      </c>
      <c r="G47" s="999">
        <v>1016723.8</v>
      </c>
      <c r="H47" s="1002">
        <v>43949623.469999999</v>
      </c>
      <c r="I47" s="965">
        <f t="shared" si="0"/>
        <v>0.17976399082222658</v>
      </c>
    </row>
    <row r="48" spans="1:9" ht="12.6" customHeight="1">
      <c r="A48" s="902">
        <v>4</v>
      </c>
      <c r="B48" s="903">
        <v>15</v>
      </c>
      <c r="C48" s="909" t="s">
        <v>646</v>
      </c>
      <c r="D48" s="995">
        <v>20933765</v>
      </c>
      <c r="E48" s="996">
        <v>57932</v>
      </c>
      <c r="F48" s="907">
        <v>86281.08</v>
      </c>
      <c r="G48" s="999">
        <v>0</v>
      </c>
      <c r="H48" s="1002">
        <v>21020046.079999998</v>
      </c>
      <c r="I48" s="965">
        <f t="shared" si="0"/>
        <v>0.27673951627908311</v>
      </c>
    </row>
    <row r="49" spans="1:9" ht="12.6" customHeight="1">
      <c r="A49" s="902">
        <v>4</v>
      </c>
      <c r="B49" s="903">
        <v>16</v>
      </c>
      <c r="C49" s="909" t="s">
        <v>645</v>
      </c>
      <c r="D49" s="995">
        <v>24953392</v>
      </c>
      <c r="E49" s="996">
        <v>47337</v>
      </c>
      <c r="F49" s="907">
        <v>210515.38</v>
      </c>
      <c r="G49" s="999">
        <v>0</v>
      </c>
      <c r="H49" s="1002">
        <v>25163907.379999999</v>
      </c>
      <c r="I49" s="965">
        <f t="shared" si="0"/>
        <v>0.18970166460736079</v>
      </c>
    </row>
    <row r="50" spans="1:9" ht="12.6" customHeight="1">
      <c r="A50" s="902">
        <v>4</v>
      </c>
      <c r="B50" s="903">
        <v>17</v>
      </c>
      <c r="C50" s="909" t="s">
        <v>644</v>
      </c>
      <c r="D50" s="995">
        <v>11402397</v>
      </c>
      <c r="E50" s="996">
        <v>0</v>
      </c>
      <c r="F50" s="907">
        <v>28055.06</v>
      </c>
      <c r="G50" s="999">
        <v>0</v>
      </c>
      <c r="H50" s="1002">
        <v>11430452.060000001</v>
      </c>
      <c r="I50" s="965">
        <f t="shared" si="0"/>
        <v>0</v>
      </c>
    </row>
    <row r="51" spans="1:9" ht="12.6" customHeight="1">
      <c r="A51" s="902">
        <v>4</v>
      </c>
      <c r="B51" s="903">
        <v>18</v>
      </c>
      <c r="C51" s="909" t="s">
        <v>643</v>
      </c>
      <c r="D51" s="995">
        <v>12430229</v>
      </c>
      <c r="E51" s="996">
        <v>0</v>
      </c>
      <c r="F51" s="907">
        <v>161846.20000000001</v>
      </c>
      <c r="G51" s="999">
        <v>0</v>
      </c>
      <c r="H51" s="1002">
        <v>12592075.199999999</v>
      </c>
      <c r="I51" s="965">
        <f t="shared" si="0"/>
        <v>0</v>
      </c>
    </row>
    <row r="52" spans="1:9" ht="12.6" customHeight="1">
      <c r="A52" s="902">
        <v>4</v>
      </c>
      <c r="B52" s="903">
        <v>19</v>
      </c>
      <c r="C52" s="909" t="s">
        <v>642</v>
      </c>
      <c r="D52" s="995">
        <v>26995110</v>
      </c>
      <c r="E52" s="996">
        <v>0</v>
      </c>
      <c r="F52" s="907">
        <v>94497.02</v>
      </c>
      <c r="G52" s="999">
        <v>0</v>
      </c>
      <c r="H52" s="1002">
        <v>27089607.02</v>
      </c>
      <c r="I52" s="965">
        <f t="shared" si="0"/>
        <v>0</v>
      </c>
    </row>
    <row r="53" spans="1:9" ht="12.6" customHeight="1">
      <c r="A53" s="902">
        <v>6</v>
      </c>
      <c r="B53" s="903">
        <v>1</v>
      </c>
      <c r="C53" s="909" t="s">
        <v>641</v>
      </c>
      <c r="D53" s="995">
        <v>25027498</v>
      </c>
      <c r="E53" s="996">
        <v>0</v>
      </c>
      <c r="F53" s="907">
        <v>202200</v>
      </c>
      <c r="G53" s="999">
        <v>0</v>
      </c>
      <c r="H53" s="1002">
        <v>25229698</v>
      </c>
      <c r="I53" s="965">
        <f t="shared" si="0"/>
        <v>0</v>
      </c>
    </row>
    <row r="54" spans="1:9" ht="12.6" customHeight="1">
      <c r="A54" s="902">
        <v>6</v>
      </c>
      <c r="B54" s="903">
        <v>2</v>
      </c>
      <c r="C54" s="909" t="s">
        <v>640</v>
      </c>
      <c r="D54" s="995">
        <v>44223500</v>
      </c>
      <c r="E54" s="996">
        <v>0</v>
      </c>
      <c r="F54" s="907">
        <v>109228.33</v>
      </c>
      <c r="G54" s="999">
        <v>0</v>
      </c>
      <c r="H54" s="1002">
        <v>44332728.329999998</v>
      </c>
      <c r="I54" s="965">
        <f t="shared" si="0"/>
        <v>0</v>
      </c>
    </row>
    <row r="55" spans="1:9" ht="12.6" customHeight="1">
      <c r="A55" s="902">
        <v>6</v>
      </c>
      <c r="B55" s="903">
        <v>3</v>
      </c>
      <c r="C55" s="909" t="s">
        <v>639</v>
      </c>
      <c r="D55" s="995">
        <v>9451021</v>
      </c>
      <c r="E55" s="996">
        <v>65148</v>
      </c>
      <c r="F55" s="907">
        <v>4736.1499999999996</v>
      </c>
      <c r="G55" s="999">
        <v>0</v>
      </c>
      <c r="H55" s="1002">
        <v>9455757.1500000004</v>
      </c>
      <c r="I55" s="965">
        <f t="shared" si="0"/>
        <v>0.68932234940542403</v>
      </c>
    </row>
    <row r="56" spans="1:9" ht="12.6" customHeight="1">
      <c r="A56" s="902">
        <v>6</v>
      </c>
      <c r="B56" s="903">
        <v>4</v>
      </c>
      <c r="C56" s="909" t="s">
        <v>638</v>
      </c>
      <c r="D56" s="995">
        <v>24807324</v>
      </c>
      <c r="E56" s="996">
        <v>0</v>
      </c>
      <c r="F56" s="907">
        <v>21655.68</v>
      </c>
      <c r="G56" s="999">
        <v>0</v>
      </c>
      <c r="H56" s="1002">
        <v>24828979.68</v>
      </c>
      <c r="I56" s="965">
        <f t="shared" si="0"/>
        <v>0</v>
      </c>
    </row>
    <row r="57" spans="1:9" ht="12.6" customHeight="1">
      <c r="A57" s="902">
        <v>6</v>
      </c>
      <c r="B57" s="903">
        <v>5</v>
      </c>
      <c r="C57" s="909" t="s">
        <v>637</v>
      </c>
      <c r="D57" s="995">
        <v>16663447</v>
      </c>
      <c r="E57" s="996">
        <v>0</v>
      </c>
      <c r="F57" s="907">
        <v>76342.149999999994</v>
      </c>
      <c r="G57" s="999">
        <v>0</v>
      </c>
      <c r="H57" s="1002">
        <v>16739789.15</v>
      </c>
      <c r="I57" s="965">
        <f t="shared" si="0"/>
        <v>0</v>
      </c>
    </row>
    <row r="58" spans="1:9" ht="12.6" customHeight="1">
      <c r="A58" s="902">
        <v>6</v>
      </c>
      <c r="B58" s="903">
        <v>6</v>
      </c>
      <c r="C58" s="909" t="s">
        <v>636</v>
      </c>
      <c r="D58" s="995">
        <v>20729351</v>
      </c>
      <c r="E58" s="996">
        <v>0</v>
      </c>
      <c r="F58" s="907">
        <v>120597.92</v>
      </c>
      <c r="G58" s="999">
        <v>0</v>
      </c>
      <c r="H58" s="1002">
        <v>20849948.920000002</v>
      </c>
      <c r="I58" s="965">
        <f t="shared" si="0"/>
        <v>0</v>
      </c>
    </row>
    <row r="59" spans="1:9" ht="12.6" customHeight="1">
      <c r="A59" s="902">
        <v>6</v>
      </c>
      <c r="B59" s="903">
        <v>7</v>
      </c>
      <c r="C59" s="909" t="s">
        <v>635</v>
      </c>
      <c r="D59" s="995">
        <v>41389689</v>
      </c>
      <c r="E59" s="996">
        <v>0</v>
      </c>
      <c r="F59" s="907">
        <v>184399.94</v>
      </c>
      <c r="G59" s="999">
        <v>0</v>
      </c>
      <c r="H59" s="1002">
        <v>41574088.939999998</v>
      </c>
      <c r="I59" s="965">
        <f t="shared" si="0"/>
        <v>0</v>
      </c>
    </row>
    <row r="60" spans="1:9" ht="12.6" customHeight="1">
      <c r="A60" s="902">
        <v>6</v>
      </c>
      <c r="B60" s="903">
        <v>8</v>
      </c>
      <c r="C60" s="909" t="s">
        <v>634</v>
      </c>
      <c r="D60" s="995">
        <v>25645374</v>
      </c>
      <c r="E60" s="996">
        <v>0</v>
      </c>
      <c r="F60" s="907">
        <v>122878.48</v>
      </c>
      <c r="G60" s="999">
        <v>0</v>
      </c>
      <c r="H60" s="1002">
        <v>25768252.48</v>
      </c>
      <c r="I60" s="965">
        <f t="shared" si="0"/>
        <v>0</v>
      </c>
    </row>
    <row r="61" spans="1:9" ht="12.6" customHeight="1">
      <c r="A61" s="902">
        <v>6</v>
      </c>
      <c r="B61" s="903">
        <v>9</v>
      </c>
      <c r="C61" s="909" t="s">
        <v>633</v>
      </c>
      <c r="D61" s="995">
        <v>38702395</v>
      </c>
      <c r="E61" s="996">
        <v>21201</v>
      </c>
      <c r="F61" s="907">
        <v>265572.46000000002</v>
      </c>
      <c r="G61" s="999">
        <v>0</v>
      </c>
      <c r="H61" s="1002">
        <v>38967967.460000001</v>
      </c>
      <c r="I61" s="965">
        <f t="shared" si="0"/>
        <v>5.477955563215145E-2</v>
      </c>
    </row>
    <row r="62" spans="1:9" ht="12.6" customHeight="1">
      <c r="A62" s="902">
        <v>6</v>
      </c>
      <c r="B62" s="903">
        <v>10</v>
      </c>
      <c r="C62" s="909" t="s">
        <v>632</v>
      </c>
      <c r="D62" s="995">
        <v>23062973</v>
      </c>
      <c r="E62" s="996">
        <v>22556</v>
      </c>
      <c r="F62" s="907">
        <v>223622.79</v>
      </c>
      <c r="G62" s="999">
        <v>0</v>
      </c>
      <c r="H62" s="1002">
        <v>23286595.789999999</v>
      </c>
      <c r="I62" s="965">
        <f t="shared" si="0"/>
        <v>9.7801788173623574E-2</v>
      </c>
    </row>
    <row r="63" spans="1:9" ht="12.6" customHeight="1">
      <c r="A63" s="902">
        <v>6</v>
      </c>
      <c r="B63" s="903">
        <v>11</v>
      </c>
      <c r="C63" s="909" t="s">
        <v>631</v>
      </c>
      <c r="D63" s="995">
        <v>57387731</v>
      </c>
      <c r="E63" s="996">
        <v>0</v>
      </c>
      <c r="F63" s="907">
        <v>591194.42000000004</v>
      </c>
      <c r="G63" s="999">
        <v>0</v>
      </c>
      <c r="H63" s="1002">
        <v>57978925.420000002</v>
      </c>
      <c r="I63" s="965">
        <f t="shared" si="0"/>
        <v>0</v>
      </c>
    </row>
    <row r="64" spans="1:9" ht="12.6" customHeight="1">
      <c r="A64" s="902">
        <v>6</v>
      </c>
      <c r="B64" s="903">
        <v>12</v>
      </c>
      <c r="C64" s="909" t="s">
        <v>531</v>
      </c>
      <c r="D64" s="995">
        <v>14777278</v>
      </c>
      <c r="E64" s="996">
        <v>0</v>
      </c>
      <c r="F64" s="907">
        <v>431843.97</v>
      </c>
      <c r="G64" s="999">
        <v>0</v>
      </c>
      <c r="H64" s="1002">
        <v>15209121.970000001</v>
      </c>
      <c r="I64" s="965">
        <f t="shared" si="0"/>
        <v>0</v>
      </c>
    </row>
    <row r="65" spans="1:9" ht="12.6" customHeight="1">
      <c r="A65" s="902">
        <v>6</v>
      </c>
      <c r="B65" s="903">
        <v>13</v>
      </c>
      <c r="C65" s="909" t="s">
        <v>630</v>
      </c>
      <c r="D65" s="995">
        <v>7876050</v>
      </c>
      <c r="E65" s="996">
        <v>0</v>
      </c>
      <c r="F65" s="907">
        <v>152553.04</v>
      </c>
      <c r="G65" s="999">
        <v>0</v>
      </c>
      <c r="H65" s="1002">
        <v>8028603.04</v>
      </c>
      <c r="I65" s="965">
        <f t="shared" si="0"/>
        <v>0</v>
      </c>
    </row>
    <row r="66" spans="1:9" ht="12.6" customHeight="1">
      <c r="A66" s="902">
        <v>6</v>
      </c>
      <c r="B66" s="903">
        <v>14</v>
      </c>
      <c r="C66" s="909" t="s">
        <v>629</v>
      </c>
      <c r="D66" s="995">
        <v>71982934</v>
      </c>
      <c r="E66" s="996">
        <v>0</v>
      </c>
      <c r="F66" s="907">
        <v>491247.38</v>
      </c>
      <c r="G66" s="999">
        <v>0</v>
      </c>
      <c r="H66" s="1002">
        <v>72474181.379999995</v>
      </c>
      <c r="I66" s="965">
        <f t="shared" si="0"/>
        <v>0</v>
      </c>
    </row>
    <row r="67" spans="1:9" ht="12.6" customHeight="1">
      <c r="A67" s="902">
        <v>6</v>
      </c>
      <c r="B67" s="903">
        <v>15</v>
      </c>
      <c r="C67" s="909" t="s">
        <v>628</v>
      </c>
      <c r="D67" s="995">
        <v>26129002</v>
      </c>
      <c r="E67" s="996">
        <v>49819</v>
      </c>
      <c r="F67" s="907">
        <v>117429.5</v>
      </c>
      <c r="G67" s="999">
        <v>0</v>
      </c>
      <c r="H67" s="1002">
        <v>26246431.5</v>
      </c>
      <c r="I67" s="965">
        <f t="shared" si="0"/>
        <v>0.1906655294373662</v>
      </c>
    </row>
    <row r="68" spans="1:9" ht="12.6" customHeight="1">
      <c r="A68" s="902">
        <v>6</v>
      </c>
      <c r="B68" s="903">
        <v>16</v>
      </c>
      <c r="C68" s="909" t="s">
        <v>627</v>
      </c>
      <c r="D68" s="995">
        <v>27215407</v>
      </c>
      <c r="E68" s="996">
        <v>0</v>
      </c>
      <c r="F68" s="907">
        <v>182307.54</v>
      </c>
      <c r="G68" s="999">
        <v>0</v>
      </c>
      <c r="H68" s="1002">
        <v>27397714.539999999</v>
      </c>
      <c r="I68" s="965">
        <f t="shared" si="0"/>
        <v>0</v>
      </c>
    </row>
    <row r="69" spans="1:9" ht="12.6" customHeight="1">
      <c r="A69" s="902">
        <v>6</v>
      </c>
      <c r="B69" s="903">
        <v>17</v>
      </c>
      <c r="C69" s="909" t="s">
        <v>626</v>
      </c>
      <c r="D69" s="995">
        <v>24071694</v>
      </c>
      <c r="E69" s="996">
        <v>18558</v>
      </c>
      <c r="F69" s="907">
        <v>507359.67</v>
      </c>
      <c r="G69" s="999">
        <v>0</v>
      </c>
      <c r="H69" s="1002">
        <v>24579053.670000002</v>
      </c>
      <c r="I69" s="965">
        <f t="shared" si="0"/>
        <v>7.7094698860827982E-2</v>
      </c>
    </row>
    <row r="70" spans="1:9" ht="12.6" customHeight="1">
      <c r="A70" s="902">
        <v>6</v>
      </c>
      <c r="B70" s="903">
        <v>18</v>
      </c>
      <c r="C70" s="909" t="s">
        <v>597</v>
      </c>
      <c r="D70" s="995">
        <v>34153807</v>
      </c>
      <c r="E70" s="996">
        <v>14312</v>
      </c>
      <c r="F70" s="907">
        <v>159366.26</v>
      </c>
      <c r="G70" s="999">
        <v>0</v>
      </c>
      <c r="H70" s="1002">
        <v>34313173.259999998</v>
      </c>
      <c r="I70" s="965">
        <f t="shared" si="0"/>
        <v>4.1904552543732529E-2</v>
      </c>
    </row>
    <row r="71" spans="1:9" ht="12.6" customHeight="1">
      <c r="A71" s="902">
        <v>6</v>
      </c>
      <c r="B71" s="903">
        <v>19</v>
      </c>
      <c r="C71" s="909" t="s">
        <v>625</v>
      </c>
      <c r="D71" s="995">
        <v>17126093</v>
      </c>
      <c r="E71" s="996">
        <v>23586</v>
      </c>
      <c r="F71" s="907">
        <v>165051.92000000001</v>
      </c>
      <c r="G71" s="999">
        <v>0</v>
      </c>
      <c r="H71" s="1002">
        <v>17291144.920000002</v>
      </c>
      <c r="I71" s="965">
        <f t="shared" si="0"/>
        <v>0.13771967722001743</v>
      </c>
    </row>
    <row r="72" spans="1:9" ht="12.6" customHeight="1">
      <c r="A72" s="902">
        <v>6</v>
      </c>
      <c r="B72" s="903">
        <v>20</v>
      </c>
      <c r="C72" s="909" t="s">
        <v>624</v>
      </c>
      <c r="D72" s="995">
        <v>4779443</v>
      </c>
      <c r="E72" s="996">
        <v>0</v>
      </c>
      <c r="F72" s="907">
        <v>18200</v>
      </c>
      <c r="G72" s="999">
        <v>0</v>
      </c>
      <c r="H72" s="1002">
        <v>4797643</v>
      </c>
      <c r="I72" s="965">
        <f t="shared" si="0"/>
        <v>0</v>
      </c>
    </row>
    <row r="73" spans="1:9" ht="12.6" customHeight="1">
      <c r="A73" s="902">
        <v>8</v>
      </c>
      <c r="B73" s="903">
        <v>1</v>
      </c>
      <c r="C73" s="909" t="s">
        <v>623</v>
      </c>
      <c r="D73" s="995">
        <v>10270693</v>
      </c>
      <c r="E73" s="996">
        <v>0</v>
      </c>
      <c r="F73" s="907">
        <v>183833.09</v>
      </c>
      <c r="G73" s="999">
        <v>25830</v>
      </c>
      <c r="H73" s="1002">
        <v>10480356.09</v>
      </c>
      <c r="I73" s="965">
        <f t="shared" si="0"/>
        <v>0</v>
      </c>
    </row>
    <row r="74" spans="1:9" ht="12.6" customHeight="1">
      <c r="A74" s="902">
        <v>8</v>
      </c>
      <c r="B74" s="903">
        <v>2</v>
      </c>
      <c r="C74" s="909" t="s">
        <v>522</v>
      </c>
      <c r="D74" s="995">
        <v>16528961</v>
      </c>
      <c r="E74" s="996">
        <v>4006</v>
      </c>
      <c r="F74" s="907">
        <v>109720.96000000001</v>
      </c>
      <c r="G74" s="999">
        <v>0</v>
      </c>
      <c r="H74" s="1002">
        <v>16638681.960000001</v>
      </c>
      <c r="I74" s="965">
        <f t="shared" ref="I74:I137" si="1">E74/D74*100</f>
        <v>2.4236248122310896E-2</v>
      </c>
    </row>
    <row r="75" spans="1:9" ht="12.6" customHeight="1">
      <c r="A75" s="902">
        <v>8</v>
      </c>
      <c r="B75" s="903">
        <v>3</v>
      </c>
      <c r="C75" s="909" t="s">
        <v>622</v>
      </c>
      <c r="D75" s="995">
        <v>17262152</v>
      </c>
      <c r="E75" s="996">
        <v>48706</v>
      </c>
      <c r="F75" s="907">
        <v>204819.28</v>
      </c>
      <c r="G75" s="999">
        <v>0</v>
      </c>
      <c r="H75" s="1002">
        <v>17466971.280000001</v>
      </c>
      <c r="I75" s="965">
        <f t="shared" si="1"/>
        <v>0.28215485531583778</v>
      </c>
    </row>
    <row r="76" spans="1:9" ht="12.6" customHeight="1">
      <c r="A76" s="902">
        <v>8</v>
      </c>
      <c r="B76" s="903">
        <v>4</v>
      </c>
      <c r="C76" s="909" t="s">
        <v>621</v>
      </c>
      <c r="D76" s="995">
        <v>32554648</v>
      </c>
      <c r="E76" s="996">
        <v>15996</v>
      </c>
      <c r="F76" s="907">
        <v>189012.52</v>
      </c>
      <c r="G76" s="999">
        <v>1774872.1</v>
      </c>
      <c r="H76" s="1002">
        <v>34518532.619999997</v>
      </c>
      <c r="I76" s="965">
        <f t="shared" si="1"/>
        <v>4.9135840756134114E-2</v>
      </c>
    </row>
    <row r="77" spans="1:9" ht="12.6" customHeight="1">
      <c r="A77" s="902">
        <v>8</v>
      </c>
      <c r="B77" s="903">
        <v>5</v>
      </c>
      <c r="C77" s="909" t="s">
        <v>620</v>
      </c>
      <c r="D77" s="995">
        <v>17989160</v>
      </c>
      <c r="E77" s="996">
        <v>23853</v>
      </c>
      <c r="F77" s="907">
        <v>98983.39</v>
      </c>
      <c r="G77" s="999">
        <v>0</v>
      </c>
      <c r="H77" s="1002">
        <v>18088143.390000001</v>
      </c>
      <c r="I77" s="965">
        <f t="shared" si="1"/>
        <v>0.13259651923714058</v>
      </c>
    </row>
    <row r="78" spans="1:9" ht="12.6" customHeight="1">
      <c r="A78" s="902">
        <v>8</v>
      </c>
      <c r="B78" s="903">
        <v>6</v>
      </c>
      <c r="C78" s="909" t="s">
        <v>619</v>
      </c>
      <c r="D78" s="995">
        <v>18557821</v>
      </c>
      <c r="E78" s="996">
        <v>41688</v>
      </c>
      <c r="F78" s="907">
        <v>178984.6</v>
      </c>
      <c r="G78" s="999">
        <v>0</v>
      </c>
      <c r="H78" s="1002">
        <v>18736805.600000001</v>
      </c>
      <c r="I78" s="965">
        <f t="shared" si="1"/>
        <v>0.22463844219641951</v>
      </c>
    </row>
    <row r="79" spans="1:9" ht="12.6" customHeight="1">
      <c r="A79" s="902">
        <v>8</v>
      </c>
      <c r="B79" s="903">
        <v>7</v>
      </c>
      <c r="C79" s="909" t="s">
        <v>618</v>
      </c>
      <c r="D79" s="995">
        <v>13400019</v>
      </c>
      <c r="E79" s="996">
        <v>57830</v>
      </c>
      <c r="F79" s="907">
        <v>216221.63</v>
      </c>
      <c r="G79" s="999">
        <v>0</v>
      </c>
      <c r="H79" s="1002">
        <v>13616240.630000001</v>
      </c>
      <c r="I79" s="965">
        <f t="shared" si="1"/>
        <v>0.43156655225638113</v>
      </c>
    </row>
    <row r="80" spans="1:9" ht="12.6" customHeight="1">
      <c r="A80" s="902">
        <v>8</v>
      </c>
      <c r="B80" s="903">
        <v>8</v>
      </c>
      <c r="C80" s="909" t="s">
        <v>617</v>
      </c>
      <c r="D80" s="995">
        <v>21282962</v>
      </c>
      <c r="E80" s="996">
        <v>55132</v>
      </c>
      <c r="F80" s="907">
        <v>166584.06</v>
      </c>
      <c r="G80" s="999">
        <v>0</v>
      </c>
      <c r="H80" s="1002">
        <v>21449546.059999999</v>
      </c>
      <c r="I80" s="965">
        <f t="shared" si="1"/>
        <v>0.25904289074048997</v>
      </c>
    </row>
    <row r="81" spans="1:9" ht="12.6" customHeight="1">
      <c r="A81" s="902">
        <v>8</v>
      </c>
      <c r="B81" s="903">
        <v>9</v>
      </c>
      <c r="C81" s="909" t="s">
        <v>616</v>
      </c>
      <c r="D81" s="995">
        <v>22253249</v>
      </c>
      <c r="E81" s="996">
        <v>23155</v>
      </c>
      <c r="F81" s="907">
        <v>157967.82999999999</v>
      </c>
      <c r="G81" s="999">
        <v>0</v>
      </c>
      <c r="H81" s="1002">
        <v>22411216.829999998</v>
      </c>
      <c r="I81" s="965">
        <f t="shared" si="1"/>
        <v>0.10405222176770682</v>
      </c>
    </row>
    <row r="82" spans="1:9" ht="12.6" customHeight="1">
      <c r="A82" s="902">
        <v>8</v>
      </c>
      <c r="B82" s="903">
        <v>10</v>
      </c>
      <c r="C82" s="909" t="s">
        <v>615</v>
      </c>
      <c r="D82" s="995">
        <v>28165880</v>
      </c>
      <c r="E82" s="996">
        <v>0</v>
      </c>
      <c r="F82" s="907">
        <v>159007.97</v>
      </c>
      <c r="G82" s="999">
        <v>0</v>
      </c>
      <c r="H82" s="1002">
        <v>28324887.969999999</v>
      </c>
      <c r="I82" s="965">
        <f t="shared" si="1"/>
        <v>0</v>
      </c>
    </row>
    <row r="83" spans="1:9" ht="12.6" customHeight="1">
      <c r="A83" s="902">
        <v>8</v>
      </c>
      <c r="B83" s="903">
        <v>11</v>
      </c>
      <c r="C83" s="909" t="s">
        <v>614</v>
      </c>
      <c r="D83" s="995">
        <v>48565781</v>
      </c>
      <c r="E83" s="996">
        <v>0</v>
      </c>
      <c r="F83" s="907">
        <v>362934.65</v>
      </c>
      <c r="G83" s="999">
        <v>0</v>
      </c>
      <c r="H83" s="1002">
        <v>48928715.649999999</v>
      </c>
      <c r="I83" s="965">
        <f t="shared" si="1"/>
        <v>0</v>
      </c>
    </row>
    <row r="84" spans="1:9" ht="12.6" customHeight="1">
      <c r="A84" s="902">
        <v>8</v>
      </c>
      <c r="B84" s="903">
        <v>12</v>
      </c>
      <c r="C84" s="909" t="s">
        <v>613</v>
      </c>
      <c r="D84" s="995">
        <v>18423104</v>
      </c>
      <c r="E84" s="996">
        <v>50458</v>
      </c>
      <c r="F84" s="907">
        <v>1146096.45</v>
      </c>
      <c r="G84" s="999">
        <v>0</v>
      </c>
      <c r="H84" s="1002">
        <v>19569200.449999999</v>
      </c>
      <c r="I84" s="965">
        <f t="shared" si="1"/>
        <v>0.27388435738081923</v>
      </c>
    </row>
    <row r="85" spans="1:9" ht="12.6" customHeight="1">
      <c r="A85" s="902">
        <v>10</v>
      </c>
      <c r="B85" s="903">
        <v>1</v>
      </c>
      <c r="C85" s="909" t="s">
        <v>612</v>
      </c>
      <c r="D85" s="995">
        <v>43856308</v>
      </c>
      <c r="E85" s="996">
        <v>0</v>
      </c>
      <c r="F85" s="907">
        <v>97059.39</v>
      </c>
      <c r="G85" s="999">
        <v>0</v>
      </c>
      <c r="H85" s="1002">
        <v>43953367.390000001</v>
      </c>
      <c r="I85" s="965">
        <f t="shared" si="1"/>
        <v>0</v>
      </c>
    </row>
    <row r="86" spans="1:9" ht="12.6" customHeight="1">
      <c r="A86" s="902">
        <v>10</v>
      </c>
      <c r="B86" s="903">
        <v>2</v>
      </c>
      <c r="C86" s="909" t="s">
        <v>611</v>
      </c>
      <c r="D86" s="995">
        <v>47358962</v>
      </c>
      <c r="E86" s="996">
        <v>0</v>
      </c>
      <c r="F86" s="907">
        <v>2681341.44</v>
      </c>
      <c r="G86" s="999">
        <v>0</v>
      </c>
      <c r="H86" s="1002">
        <v>50040303.439999998</v>
      </c>
      <c r="I86" s="965">
        <f t="shared" si="1"/>
        <v>0</v>
      </c>
    </row>
    <row r="87" spans="1:9" ht="12.6" customHeight="1">
      <c r="A87" s="902">
        <v>10</v>
      </c>
      <c r="B87" s="903">
        <v>3</v>
      </c>
      <c r="C87" s="909" t="s">
        <v>610</v>
      </c>
      <c r="D87" s="995">
        <v>16096225</v>
      </c>
      <c r="E87" s="996">
        <v>42049</v>
      </c>
      <c r="F87" s="907">
        <v>84413.62</v>
      </c>
      <c r="G87" s="999">
        <v>0</v>
      </c>
      <c r="H87" s="1002">
        <v>16180638.619999999</v>
      </c>
      <c r="I87" s="965">
        <f t="shared" si="1"/>
        <v>0.26123516538815778</v>
      </c>
    </row>
    <row r="88" spans="1:9" ht="12.6" customHeight="1">
      <c r="A88" s="902">
        <v>10</v>
      </c>
      <c r="B88" s="903">
        <v>4</v>
      </c>
      <c r="C88" s="909" t="s">
        <v>609</v>
      </c>
      <c r="D88" s="995">
        <v>27214218</v>
      </c>
      <c r="E88" s="996">
        <v>81167</v>
      </c>
      <c r="F88" s="907">
        <v>729325.02</v>
      </c>
      <c r="G88" s="999">
        <v>0</v>
      </c>
      <c r="H88" s="1002">
        <v>27943543.02</v>
      </c>
      <c r="I88" s="965">
        <f t="shared" si="1"/>
        <v>0.2982521856773544</v>
      </c>
    </row>
    <row r="89" spans="1:9" ht="12.6" customHeight="1">
      <c r="A89" s="902">
        <v>10</v>
      </c>
      <c r="B89" s="903">
        <v>5</v>
      </c>
      <c r="C89" s="909" t="s">
        <v>608</v>
      </c>
      <c r="D89" s="995">
        <v>36901978</v>
      </c>
      <c r="E89" s="996">
        <v>55384</v>
      </c>
      <c r="F89" s="907">
        <v>191251.45</v>
      </c>
      <c r="G89" s="999">
        <v>0</v>
      </c>
      <c r="H89" s="1002">
        <v>37093229.450000003</v>
      </c>
      <c r="I89" s="965">
        <f t="shared" si="1"/>
        <v>0.15008409576310516</v>
      </c>
    </row>
    <row r="90" spans="1:9" ht="12.6" customHeight="1">
      <c r="A90" s="902">
        <v>10</v>
      </c>
      <c r="B90" s="903">
        <v>6</v>
      </c>
      <c r="C90" s="909" t="s">
        <v>607</v>
      </c>
      <c r="D90" s="995">
        <v>12693928</v>
      </c>
      <c r="E90" s="996">
        <v>0</v>
      </c>
      <c r="F90" s="907">
        <v>85084.53</v>
      </c>
      <c r="G90" s="999">
        <v>0</v>
      </c>
      <c r="H90" s="1002">
        <v>12779012.529999999</v>
      </c>
      <c r="I90" s="965">
        <f t="shared" si="1"/>
        <v>0</v>
      </c>
    </row>
    <row r="91" spans="1:9" ht="12.6" customHeight="1">
      <c r="A91" s="902">
        <v>10</v>
      </c>
      <c r="B91" s="903">
        <v>7</v>
      </c>
      <c r="C91" s="909" t="s">
        <v>606</v>
      </c>
      <c r="D91" s="995">
        <v>30213942</v>
      </c>
      <c r="E91" s="996">
        <v>33202</v>
      </c>
      <c r="F91" s="907">
        <v>71876.53</v>
      </c>
      <c r="G91" s="999">
        <v>0</v>
      </c>
      <c r="H91" s="1002">
        <v>30285818.530000001</v>
      </c>
      <c r="I91" s="965">
        <f t="shared" si="1"/>
        <v>0.10988966616802269</v>
      </c>
    </row>
    <row r="92" spans="1:9" ht="12.6" customHeight="1">
      <c r="A92" s="902">
        <v>10</v>
      </c>
      <c r="B92" s="903">
        <v>8</v>
      </c>
      <c r="C92" s="909" t="s">
        <v>605</v>
      </c>
      <c r="D92" s="995">
        <v>31946863</v>
      </c>
      <c r="E92" s="996">
        <v>0</v>
      </c>
      <c r="F92" s="907">
        <v>53283.040000000001</v>
      </c>
      <c r="G92" s="999">
        <v>0</v>
      </c>
      <c r="H92" s="1002">
        <v>32000146.039999999</v>
      </c>
      <c r="I92" s="965">
        <f t="shared" si="1"/>
        <v>0</v>
      </c>
    </row>
    <row r="93" spans="1:9" ht="12.6" customHeight="1">
      <c r="A93" s="902">
        <v>10</v>
      </c>
      <c r="B93" s="903">
        <v>9</v>
      </c>
      <c r="C93" s="909" t="s">
        <v>604</v>
      </c>
      <c r="D93" s="995">
        <v>13903640</v>
      </c>
      <c r="E93" s="996">
        <v>33619</v>
      </c>
      <c r="F93" s="907">
        <v>313851.69</v>
      </c>
      <c r="G93" s="999">
        <v>0</v>
      </c>
      <c r="H93" s="1002">
        <v>14217491.689999999</v>
      </c>
      <c r="I93" s="965">
        <f t="shared" si="1"/>
        <v>0.24179998906761108</v>
      </c>
    </row>
    <row r="94" spans="1:9" ht="12.6" customHeight="1">
      <c r="A94" s="902">
        <v>10</v>
      </c>
      <c r="B94" s="903">
        <v>10</v>
      </c>
      <c r="C94" s="909" t="s">
        <v>603</v>
      </c>
      <c r="D94" s="995">
        <v>15389607</v>
      </c>
      <c r="E94" s="996">
        <v>0</v>
      </c>
      <c r="F94" s="907">
        <v>645359.87</v>
      </c>
      <c r="G94" s="999">
        <v>0</v>
      </c>
      <c r="H94" s="1002">
        <v>16034966.869999999</v>
      </c>
      <c r="I94" s="965">
        <f t="shared" si="1"/>
        <v>0</v>
      </c>
    </row>
    <row r="95" spans="1:9" ht="12.6" customHeight="1">
      <c r="A95" s="902">
        <v>10</v>
      </c>
      <c r="B95" s="903">
        <v>11</v>
      </c>
      <c r="C95" s="909" t="s">
        <v>602</v>
      </c>
      <c r="D95" s="995">
        <v>13030528</v>
      </c>
      <c r="E95" s="996">
        <v>0</v>
      </c>
      <c r="F95" s="907">
        <v>24000</v>
      </c>
      <c r="G95" s="999">
        <v>0</v>
      </c>
      <c r="H95" s="1002">
        <v>13054528</v>
      </c>
      <c r="I95" s="965">
        <f t="shared" si="1"/>
        <v>0</v>
      </c>
    </row>
    <row r="96" spans="1:9" ht="12.6" customHeight="1">
      <c r="A96" s="902">
        <v>10</v>
      </c>
      <c r="B96" s="903">
        <v>12</v>
      </c>
      <c r="C96" s="909" t="s">
        <v>601</v>
      </c>
      <c r="D96" s="995">
        <v>48987459</v>
      </c>
      <c r="E96" s="996">
        <v>0</v>
      </c>
      <c r="F96" s="907">
        <v>794742.81</v>
      </c>
      <c r="G96" s="999">
        <v>0</v>
      </c>
      <c r="H96" s="1002">
        <v>49782201.810000002</v>
      </c>
      <c r="I96" s="965">
        <f t="shared" si="1"/>
        <v>0</v>
      </c>
    </row>
    <row r="97" spans="1:9" ht="12.6" customHeight="1">
      <c r="A97" s="902">
        <v>10</v>
      </c>
      <c r="B97" s="903">
        <v>13</v>
      </c>
      <c r="C97" s="909" t="s">
        <v>600</v>
      </c>
      <c r="D97" s="995">
        <v>29568723</v>
      </c>
      <c r="E97" s="996">
        <v>0</v>
      </c>
      <c r="F97" s="907">
        <v>220438.09</v>
      </c>
      <c r="G97" s="999">
        <v>0</v>
      </c>
      <c r="H97" s="1002">
        <v>29789161.09</v>
      </c>
      <c r="I97" s="965">
        <f t="shared" si="1"/>
        <v>0</v>
      </c>
    </row>
    <row r="98" spans="1:9" ht="12.6" customHeight="1">
      <c r="A98" s="902">
        <v>10</v>
      </c>
      <c r="B98" s="903">
        <v>14</v>
      </c>
      <c r="C98" s="909" t="s">
        <v>599</v>
      </c>
      <c r="D98" s="995">
        <v>49319748</v>
      </c>
      <c r="E98" s="996">
        <v>57396</v>
      </c>
      <c r="F98" s="907">
        <v>535826.5</v>
      </c>
      <c r="G98" s="999">
        <v>0</v>
      </c>
      <c r="H98" s="1002">
        <v>49855574.5</v>
      </c>
      <c r="I98" s="965">
        <f t="shared" si="1"/>
        <v>0.1163752904820195</v>
      </c>
    </row>
    <row r="99" spans="1:9" ht="12.6" customHeight="1">
      <c r="A99" s="902">
        <v>10</v>
      </c>
      <c r="B99" s="903">
        <v>15</v>
      </c>
      <c r="C99" s="909" t="s">
        <v>598</v>
      </c>
      <c r="D99" s="995">
        <v>3375472</v>
      </c>
      <c r="E99" s="996">
        <v>0</v>
      </c>
      <c r="F99" s="907">
        <v>4000</v>
      </c>
      <c r="G99" s="999">
        <v>0</v>
      </c>
      <c r="H99" s="1002">
        <v>3379472</v>
      </c>
      <c r="I99" s="965">
        <f t="shared" si="1"/>
        <v>0</v>
      </c>
    </row>
    <row r="100" spans="1:9" ht="12.6" customHeight="1">
      <c r="A100" s="902">
        <v>10</v>
      </c>
      <c r="B100" s="903">
        <v>16</v>
      </c>
      <c r="C100" s="909" t="s">
        <v>597</v>
      </c>
      <c r="D100" s="995">
        <v>49341928</v>
      </c>
      <c r="E100" s="996">
        <v>0</v>
      </c>
      <c r="F100" s="907">
        <v>682045.94</v>
      </c>
      <c r="G100" s="999">
        <v>0</v>
      </c>
      <c r="H100" s="1002">
        <v>50023973.939999998</v>
      </c>
      <c r="I100" s="965">
        <f t="shared" si="1"/>
        <v>0</v>
      </c>
    </row>
    <row r="101" spans="1:9" ht="12.6" customHeight="1">
      <c r="A101" s="902">
        <v>10</v>
      </c>
      <c r="B101" s="903">
        <v>17</v>
      </c>
      <c r="C101" s="909" t="s">
        <v>596</v>
      </c>
      <c r="D101" s="995">
        <v>44466756</v>
      </c>
      <c r="E101" s="996">
        <v>0</v>
      </c>
      <c r="F101" s="907">
        <v>217924.7</v>
      </c>
      <c r="G101" s="999">
        <v>0</v>
      </c>
      <c r="H101" s="1002">
        <v>44684680.700000003</v>
      </c>
      <c r="I101" s="965">
        <f t="shared" si="1"/>
        <v>0</v>
      </c>
    </row>
    <row r="102" spans="1:9" ht="12.6" customHeight="1">
      <c r="A102" s="902">
        <v>10</v>
      </c>
      <c r="B102" s="903">
        <v>18</v>
      </c>
      <c r="C102" s="909" t="s">
        <v>595</v>
      </c>
      <c r="D102" s="995">
        <v>11479815</v>
      </c>
      <c r="E102" s="996">
        <v>0</v>
      </c>
      <c r="F102" s="907">
        <v>65618.509999999995</v>
      </c>
      <c r="G102" s="999">
        <v>1813728.56</v>
      </c>
      <c r="H102" s="1002">
        <v>13359162.07</v>
      </c>
      <c r="I102" s="965">
        <f t="shared" si="1"/>
        <v>0</v>
      </c>
    </row>
    <row r="103" spans="1:9" ht="12.6" customHeight="1">
      <c r="A103" s="902">
        <v>10</v>
      </c>
      <c r="B103" s="903">
        <v>19</v>
      </c>
      <c r="C103" s="909" t="s">
        <v>594</v>
      </c>
      <c r="D103" s="995">
        <v>41936080</v>
      </c>
      <c r="E103" s="996">
        <v>74036</v>
      </c>
      <c r="F103" s="907">
        <v>419558.96</v>
      </c>
      <c r="G103" s="999">
        <v>0</v>
      </c>
      <c r="H103" s="1002">
        <v>42355638.960000001</v>
      </c>
      <c r="I103" s="965">
        <f t="shared" si="1"/>
        <v>0.17654487496208515</v>
      </c>
    </row>
    <row r="104" spans="1:9" ht="12.6" customHeight="1">
      <c r="A104" s="902">
        <v>10</v>
      </c>
      <c r="B104" s="903">
        <v>20</v>
      </c>
      <c r="C104" s="909" t="s">
        <v>593</v>
      </c>
      <c r="D104" s="995">
        <v>55186408</v>
      </c>
      <c r="E104" s="996">
        <v>133884</v>
      </c>
      <c r="F104" s="907">
        <v>695194.69</v>
      </c>
      <c r="G104" s="999">
        <v>0</v>
      </c>
      <c r="H104" s="1002">
        <v>55881602.689999998</v>
      </c>
      <c r="I104" s="965">
        <f t="shared" si="1"/>
        <v>0.24260321490755477</v>
      </c>
    </row>
    <row r="105" spans="1:9" ht="12.6" customHeight="1">
      <c r="A105" s="902">
        <v>10</v>
      </c>
      <c r="B105" s="903">
        <v>21</v>
      </c>
      <c r="C105" s="909" t="s">
        <v>592</v>
      </c>
      <c r="D105" s="995">
        <v>6212560</v>
      </c>
      <c r="E105" s="996">
        <v>19114</v>
      </c>
      <c r="F105" s="907">
        <v>80081.919999999998</v>
      </c>
      <c r="G105" s="999">
        <v>0</v>
      </c>
      <c r="H105" s="1002">
        <v>6292641.9199999999</v>
      </c>
      <c r="I105" s="965">
        <f t="shared" si="1"/>
        <v>0.3076670486884634</v>
      </c>
    </row>
    <row r="106" spans="1:9" ht="12.6" customHeight="1">
      <c r="A106" s="902">
        <v>12</v>
      </c>
      <c r="B106" s="903">
        <v>1</v>
      </c>
      <c r="C106" s="909" t="s">
        <v>591</v>
      </c>
      <c r="D106" s="995">
        <v>52255595</v>
      </c>
      <c r="E106" s="996">
        <v>33027</v>
      </c>
      <c r="F106" s="907">
        <v>567624.73</v>
      </c>
      <c r="G106" s="999">
        <v>0</v>
      </c>
      <c r="H106" s="1002">
        <v>52823219.729999997</v>
      </c>
      <c r="I106" s="965">
        <f t="shared" si="1"/>
        <v>6.3202801537328199E-2</v>
      </c>
    </row>
    <row r="107" spans="1:9" ht="12.6" customHeight="1">
      <c r="A107" s="902">
        <v>12</v>
      </c>
      <c r="B107" s="903">
        <v>2</v>
      </c>
      <c r="C107" s="909" t="s">
        <v>539</v>
      </c>
      <c r="D107" s="995">
        <v>37262353</v>
      </c>
      <c r="E107" s="996">
        <v>11333</v>
      </c>
      <c r="F107" s="907">
        <v>384221.35</v>
      </c>
      <c r="G107" s="999">
        <v>0</v>
      </c>
      <c r="H107" s="1002">
        <v>37646574.350000001</v>
      </c>
      <c r="I107" s="965">
        <f t="shared" si="1"/>
        <v>3.0414075031708277E-2</v>
      </c>
    </row>
    <row r="108" spans="1:9" ht="12.6" customHeight="1">
      <c r="A108" s="902">
        <v>12</v>
      </c>
      <c r="B108" s="903">
        <v>3</v>
      </c>
      <c r="C108" s="909" t="s">
        <v>590</v>
      </c>
      <c r="D108" s="995">
        <v>45658662</v>
      </c>
      <c r="E108" s="996">
        <v>0</v>
      </c>
      <c r="F108" s="907">
        <v>256062.89</v>
      </c>
      <c r="G108" s="999">
        <v>0</v>
      </c>
      <c r="H108" s="1002">
        <v>45914724.890000001</v>
      </c>
      <c r="I108" s="965">
        <f t="shared" si="1"/>
        <v>0</v>
      </c>
    </row>
    <row r="109" spans="1:9" ht="12.6" customHeight="1">
      <c r="A109" s="902">
        <v>12</v>
      </c>
      <c r="B109" s="903">
        <v>4</v>
      </c>
      <c r="C109" s="909" t="s">
        <v>589</v>
      </c>
      <c r="D109" s="995">
        <v>16515095</v>
      </c>
      <c r="E109" s="996">
        <v>0</v>
      </c>
      <c r="F109" s="907">
        <v>144433.62</v>
      </c>
      <c r="G109" s="999">
        <v>0</v>
      </c>
      <c r="H109" s="1002">
        <v>16659528.619999999</v>
      </c>
      <c r="I109" s="965">
        <f t="shared" si="1"/>
        <v>0</v>
      </c>
    </row>
    <row r="110" spans="1:9" ht="12.6" customHeight="1">
      <c r="A110" s="902">
        <v>12</v>
      </c>
      <c r="B110" s="903">
        <v>5</v>
      </c>
      <c r="C110" s="909" t="s">
        <v>588</v>
      </c>
      <c r="D110" s="995">
        <v>51509239</v>
      </c>
      <c r="E110" s="996">
        <v>46408</v>
      </c>
      <c r="F110" s="907">
        <v>131788.64000000001</v>
      </c>
      <c r="G110" s="999">
        <v>0</v>
      </c>
      <c r="H110" s="1002">
        <v>51641027.640000001</v>
      </c>
      <c r="I110" s="965">
        <f t="shared" si="1"/>
        <v>9.0096458229561499E-2</v>
      </c>
    </row>
    <row r="111" spans="1:9" ht="12.6" customHeight="1">
      <c r="A111" s="902">
        <v>12</v>
      </c>
      <c r="B111" s="903">
        <v>6</v>
      </c>
      <c r="C111" s="909" t="s">
        <v>587</v>
      </c>
      <c r="D111" s="995">
        <v>47757878</v>
      </c>
      <c r="E111" s="996">
        <v>0</v>
      </c>
      <c r="F111" s="907">
        <v>339412.4</v>
      </c>
      <c r="G111" s="999">
        <v>0</v>
      </c>
      <c r="H111" s="1002">
        <v>48097290.399999999</v>
      </c>
      <c r="I111" s="965">
        <f t="shared" si="1"/>
        <v>0</v>
      </c>
    </row>
    <row r="112" spans="1:9" ht="12.6" customHeight="1">
      <c r="A112" s="902">
        <v>12</v>
      </c>
      <c r="B112" s="903">
        <v>7</v>
      </c>
      <c r="C112" s="909" t="s">
        <v>586</v>
      </c>
      <c r="D112" s="995">
        <v>65324532</v>
      </c>
      <c r="E112" s="996">
        <v>0</v>
      </c>
      <c r="F112" s="907">
        <v>308421.82</v>
      </c>
      <c r="G112" s="999">
        <v>0</v>
      </c>
      <c r="H112" s="1002">
        <v>65632953.82</v>
      </c>
      <c r="I112" s="965">
        <f t="shared" si="1"/>
        <v>0</v>
      </c>
    </row>
    <row r="113" spans="1:9" ht="12.6" customHeight="1">
      <c r="A113" s="902">
        <v>12</v>
      </c>
      <c r="B113" s="903">
        <v>8</v>
      </c>
      <c r="C113" s="909" t="s">
        <v>585</v>
      </c>
      <c r="D113" s="995">
        <v>27431788</v>
      </c>
      <c r="E113" s="996">
        <v>0</v>
      </c>
      <c r="F113" s="907">
        <v>80150.36</v>
      </c>
      <c r="G113" s="999">
        <v>0</v>
      </c>
      <c r="H113" s="1002">
        <v>27511938.359999999</v>
      </c>
      <c r="I113" s="965">
        <f t="shared" si="1"/>
        <v>0</v>
      </c>
    </row>
    <row r="114" spans="1:9" ht="12.6" customHeight="1">
      <c r="A114" s="902">
        <v>12</v>
      </c>
      <c r="B114" s="903">
        <v>9</v>
      </c>
      <c r="C114" s="909" t="s">
        <v>584</v>
      </c>
      <c r="D114" s="995">
        <v>52142691</v>
      </c>
      <c r="E114" s="996">
        <v>0</v>
      </c>
      <c r="F114" s="907">
        <v>238693.18</v>
      </c>
      <c r="G114" s="999">
        <v>0</v>
      </c>
      <c r="H114" s="1002">
        <v>52381384.18</v>
      </c>
      <c r="I114" s="965">
        <f t="shared" si="1"/>
        <v>0</v>
      </c>
    </row>
    <row r="115" spans="1:9" ht="12.6" customHeight="1">
      <c r="A115" s="902">
        <v>12</v>
      </c>
      <c r="B115" s="903">
        <v>10</v>
      </c>
      <c r="C115" s="909" t="s">
        <v>583</v>
      </c>
      <c r="D115" s="995">
        <v>44411110</v>
      </c>
      <c r="E115" s="996">
        <v>0</v>
      </c>
      <c r="F115" s="907">
        <v>311819.95</v>
      </c>
      <c r="G115" s="999">
        <v>0</v>
      </c>
      <c r="H115" s="1002">
        <v>44722929.950000003</v>
      </c>
      <c r="I115" s="965">
        <f t="shared" si="1"/>
        <v>0</v>
      </c>
    </row>
    <row r="116" spans="1:9" ht="12.6" customHeight="1">
      <c r="A116" s="902">
        <v>12</v>
      </c>
      <c r="B116" s="903">
        <v>11</v>
      </c>
      <c r="C116" s="909" t="s">
        <v>582</v>
      </c>
      <c r="D116" s="995">
        <v>95079447</v>
      </c>
      <c r="E116" s="996">
        <v>59980</v>
      </c>
      <c r="F116" s="907">
        <v>218342.49</v>
      </c>
      <c r="G116" s="999">
        <v>0</v>
      </c>
      <c r="H116" s="1002">
        <v>95297789.489999995</v>
      </c>
      <c r="I116" s="965">
        <f t="shared" si="1"/>
        <v>6.3084085880305979E-2</v>
      </c>
    </row>
    <row r="117" spans="1:9" ht="12.6" customHeight="1">
      <c r="A117" s="902">
        <v>12</v>
      </c>
      <c r="B117" s="903">
        <v>12</v>
      </c>
      <c r="C117" s="909" t="s">
        <v>581</v>
      </c>
      <c r="D117" s="995">
        <v>54083648</v>
      </c>
      <c r="E117" s="996">
        <v>0</v>
      </c>
      <c r="F117" s="907">
        <v>247859.99</v>
      </c>
      <c r="G117" s="999">
        <v>0</v>
      </c>
      <c r="H117" s="1002">
        <v>54331507.990000002</v>
      </c>
      <c r="I117" s="965">
        <f t="shared" si="1"/>
        <v>0</v>
      </c>
    </row>
    <row r="118" spans="1:9" ht="12.6" customHeight="1">
      <c r="A118" s="902">
        <v>12</v>
      </c>
      <c r="B118" s="903">
        <v>13</v>
      </c>
      <c r="C118" s="909" t="s">
        <v>580</v>
      </c>
      <c r="D118" s="995">
        <v>84083959</v>
      </c>
      <c r="E118" s="996">
        <v>0</v>
      </c>
      <c r="F118" s="907">
        <v>144669.17000000001</v>
      </c>
      <c r="G118" s="999">
        <v>0</v>
      </c>
      <c r="H118" s="1002">
        <v>84228628.170000002</v>
      </c>
      <c r="I118" s="965">
        <f t="shared" si="1"/>
        <v>0</v>
      </c>
    </row>
    <row r="119" spans="1:9" ht="12.6" customHeight="1">
      <c r="A119" s="902">
        <v>12</v>
      </c>
      <c r="B119" s="903">
        <v>14</v>
      </c>
      <c r="C119" s="909" t="s">
        <v>579</v>
      </c>
      <c r="D119" s="995">
        <v>9742098</v>
      </c>
      <c r="E119" s="996">
        <v>0</v>
      </c>
      <c r="F119" s="907">
        <v>46630.6</v>
      </c>
      <c r="G119" s="999">
        <v>0</v>
      </c>
      <c r="H119" s="1002">
        <v>9788728.5999999996</v>
      </c>
      <c r="I119" s="965">
        <f t="shared" si="1"/>
        <v>0</v>
      </c>
    </row>
    <row r="120" spans="1:9" ht="12.6" customHeight="1">
      <c r="A120" s="902">
        <v>12</v>
      </c>
      <c r="B120" s="903">
        <v>15</v>
      </c>
      <c r="C120" s="909" t="s">
        <v>578</v>
      </c>
      <c r="D120" s="995">
        <v>42988407</v>
      </c>
      <c r="E120" s="996">
        <v>0</v>
      </c>
      <c r="F120" s="907">
        <v>351118.36</v>
      </c>
      <c r="G120" s="999">
        <v>0</v>
      </c>
      <c r="H120" s="1002">
        <v>43339525.359999999</v>
      </c>
      <c r="I120" s="965">
        <f t="shared" si="1"/>
        <v>0</v>
      </c>
    </row>
    <row r="121" spans="1:9" ht="12.6" customHeight="1">
      <c r="A121" s="902">
        <v>12</v>
      </c>
      <c r="B121" s="903">
        <v>16</v>
      </c>
      <c r="C121" s="909" t="s">
        <v>577</v>
      </c>
      <c r="D121" s="995">
        <v>43961568</v>
      </c>
      <c r="E121" s="996">
        <v>0</v>
      </c>
      <c r="F121" s="907">
        <v>504614.79</v>
      </c>
      <c r="G121" s="999">
        <v>0</v>
      </c>
      <c r="H121" s="1002">
        <v>44466182.789999999</v>
      </c>
      <c r="I121" s="965">
        <f t="shared" si="1"/>
        <v>0</v>
      </c>
    </row>
    <row r="122" spans="1:9" ht="12.6" customHeight="1">
      <c r="A122" s="902">
        <v>12</v>
      </c>
      <c r="B122" s="903">
        <v>17</v>
      </c>
      <c r="C122" s="909" t="s">
        <v>576</v>
      </c>
      <c r="D122" s="995">
        <v>22922604</v>
      </c>
      <c r="E122" s="996">
        <v>0</v>
      </c>
      <c r="F122" s="907">
        <v>122607.43</v>
      </c>
      <c r="G122" s="999">
        <v>0</v>
      </c>
      <c r="H122" s="1002">
        <v>23045211.43</v>
      </c>
      <c r="I122" s="965">
        <f t="shared" si="1"/>
        <v>0</v>
      </c>
    </row>
    <row r="123" spans="1:9" ht="12.6" customHeight="1">
      <c r="A123" s="902">
        <v>12</v>
      </c>
      <c r="B123" s="903">
        <v>18</v>
      </c>
      <c r="C123" s="909" t="s">
        <v>575</v>
      </c>
      <c r="D123" s="995">
        <v>70573647</v>
      </c>
      <c r="E123" s="996">
        <v>0</v>
      </c>
      <c r="F123" s="907">
        <v>275498.86</v>
      </c>
      <c r="G123" s="999">
        <v>0</v>
      </c>
      <c r="H123" s="1002">
        <v>70849145.859999999</v>
      </c>
      <c r="I123" s="965">
        <f t="shared" si="1"/>
        <v>0</v>
      </c>
    </row>
    <row r="124" spans="1:9" ht="12.6" customHeight="1">
      <c r="A124" s="902">
        <v>12</v>
      </c>
      <c r="B124" s="903">
        <v>19</v>
      </c>
      <c r="C124" s="909" t="s">
        <v>574</v>
      </c>
      <c r="D124" s="995">
        <v>31631409</v>
      </c>
      <c r="E124" s="996">
        <v>0</v>
      </c>
      <c r="F124" s="907">
        <v>22887.82</v>
      </c>
      <c r="G124" s="999">
        <v>0</v>
      </c>
      <c r="H124" s="1002">
        <v>31654296.82</v>
      </c>
      <c r="I124" s="965">
        <f t="shared" si="1"/>
        <v>0</v>
      </c>
    </row>
    <row r="125" spans="1:9" ht="12.6" customHeight="1">
      <c r="A125" s="902">
        <v>14</v>
      </c>
      <c r="B125" s="903">
        <v>1</v>
      </c>
      <c r="C125" s="909" t="s">
        <v>573</v>
      </c>
      <c r="D125" s="995">
        <v>12164387</v>
      </c>
      <c r="E125" s="996">
        <v>0</v>
      </c>
      <c r="F125" s="907">
        <v>60546.1</v>
      </c>
      <c r="G125" s="999">
        <v>0</v>
      </c>
      <c r="H125" s="1002">
        <v>12224933.1</v>
      </c>
      <c r="I125" s="965">
        <f t="shared" si="1"/>
        <v>0</v>
      </c>
    </row>
    <row r="126" spans="1:9" ht="12.6" customHeight="1">
      <c r="A126" s="902">
        <v>14</v>
      </c>
      <c r="B126" s="903">
        <v>2</v>
      </c>
      <c r="C126" s="909" t="s">
        <v>572</v>
      </c>
      <c r="D126" s="995">
        <v>43529941</v>
      </c>
      <c r="E126" s="996">
        <v>28653</v>
      </c>
      <c r="F126" s="907">
        <v>426364.37</v>
      </c>
      <c r="G126" s="999">
        <v>0</v>
      </c>
      <c r="H126" s="1002">
        <v>43956305.369999997</v>
      </c>
      <c r="I126" s="965">
        <f t="shared" si="1"/>
        <v>6.5823659168295218E-2</v>
      </c>
    </row>
    <row r="127" spans="1:9" ht="12.6" customHeight="1">
      <c r="A127" s="902">
        <v>14</v>
      </c>
      <c r="B127" s="903">
        <v>3</v>
      </c>
      <c r="C127" s="909" t="s">
        <v>571</v>
      </c>
      <c r="D127" s="995">
        <v>68485869</v>
      </c>
      <c r="E127" s="996">
        <v>0</v>
      </c>
      <c r="F127" s="907">
        <v>2156143.2200000002</v>
      </c>
      <c r="G127" s="999">
        <v>0</v>
      </c>
      <c r="H127" s="1002">
        <v>70642012.219999999</v>
      </c>
      <c r="I127" s="965">
        <f t="shared" si="1"/>
        <v>0</v>
      </c>
    </row>
    <row r="128" spans="1:9" ht="12.6" customHeight="1">
      <c r="A128" s="902">
        <v>14</v>
      </c>
      <c r="B128" s="903">
        <v>4</v>
      </c>
      <c r="C128" s="909" t="s">
        <v>570</v>
      </c>
      <c r="D128" s="995">
        <v>18566489</v>
      </c>
      <c r="E128" s="996">
        <v>32627</v>
      </c>
      <c r="F128" s="907">
        <v>87188.42</v>
      </c>
      <c r="G128" s="999">
        <v>0</v>
      </c>
      <c r="H128" s="1002">
        <v>18653677.420000002</v>
      </c>
      <c r="I128" s="965">
        <f t="shared" si="1"/>
        <v>0.1757305864345165</v>
      </c>
    </row>
    <row r="129" spans="1:9" ht="12.6" customHeight="1">
      <c r="A129" s="902">
        <v>14</v>
      </c>
      <c r="B129" s="903">
        <v>5</v>
      </c>
      <c r="C129" s="909" t="s">
        <v>425</v>
      </c>
      <c r="D129" s="995">
        <v>35960619</v>
      </c>
      <c r="E129" s="996">
        <v>0</v>
      </c>
      <c r="F129" s="907">
        <v>324091.87</v>
      </c>
      <c r="G129" s="999">
        <v>0</v>
      </c>
      <c r="H129" s="1002">
        <v>36284710.869999997</v>
      </c>
      <c r="I129" s="965">
        <f t="shared" si="1"/>
        <v>0</v>
      </c>
    </row>
    <row r="130" spans="1:9" ht="12.6" customHeight="1">
      <c r="A130" s="902">
        <v>14</v>
      </c>
      <c r="B130" s="903">
        <v>6</v>
      </c>
      <c r="C130" s="909" t="s">
        <v>569</v>
      </c>
      <c r="D130" s="995">
        <v>45735290</v>
      </c>
      <c r="E130" s="996">
        <v>64208</v>
      </c>
      <c r="F130" s="907">
        <v>299480.82</v>
      </c>
      <c r="G130" s="999">
        <v>0</v>
      </c>
      <c r="H130" s="1002">
        <v>46034770.82</v>
      </c>
      <c r="I130" s="965">
        <f t="shared" si="1"/>
        <v>0.14039049495477124</v>
      </c>
    </row>
    <row r="131" spans="1:9" ht="12.6" customHeight="1">
      <c r="A131" s="902">
        <v>14</v>
      </c>
      <c r="B131" s="903">
        <v>7</v>
      </c>
      <c r="C131" s="909" t="s">
        <v>568</v>
      </c>
      <c r="D131" s="995">
        <v>20584947</v>
      </c>
      <c r="E131" s="996">
        <v>0</v>
      </c>
      <c r="F131" s="907">
        <v>59121.47</v>
      </c>
      <c r="G131" s="999">
        <v>0</v>
      </c>
      <c r="H131" s="1002">
        <v>20644068.469999999</v>
      </c>
      <c r="I131" s="965">
        <f t="shared" si="1"/>
        <v>0</v>
      </c>
    </row>
    <row r="132" spans="1:9" ht="12.6" customHeight="1">
      <c r="A132" s="902">
        <v>14</v>
      </c>
      <c r="B132" s="903">
        <v>8</v>
      </c>
      <c r="C132" s="909" t="s">
        <v>567</v>
      </c>
      <c r="D132" s="995">
        <v>29335601</v>
      </c>
      <c r="E132" s="996">
        <v>63321</v>
      </c>
      <c r="F132" s="907">
        <v>108259.3</v>
      </c>
      <c r="G132" s="999">
        <v>0</v>
      </c>
      <c r="H132" s="1002">
        <v>29443860.300000001</v>
      </c>
      <c r="I132" s="965">
        <f t="shared" si="1"/>
        <v>0.21585035875010708</v>
      </c>
    </row>
    <row r="133" spans="1:9" ht="12.6" customHeight="1">
      <c r="A133" s="902">
        <v>14</v>
      </c>
      <c r="B133" s="903">
        <v>9</v>
      </c>
      <c r="C133" s="909" t="s">
        <v>566</v>
      </c>
      <c r="D133" s="995">
        <v>23716638</v>
      </c>
      <c r="E133" s="996">
        <v>21981</v>
      </c>
      <c r="F133" s="907">
        <v>198967.48</v>
      </c>
      <c r="G133" s="999">
        <v>0</v>
      </c>
      <c r="H133" s="1002">
        <v>23915605.48</v>
      </c>
      <c r="I133" s="965">
        <f t="shared" si="1"/>
        <v>9.2681770493777405E-2</v>
      </c>
    </row>
    <row r="134" spans="1:9" ht="12.6" customHeight="1">
      <c r="A134" s="902">
        <v>14</v>
      </c>
      <c r="B134" s="903">
        <v>10</v>
      </c>
      <c r="C134" s="909" t="s">
        <v>565</v>
      </c>
      <c r="D134" s="995">
        <v>16355060</v>
      </c>
      <c r="E134" s="996">
        <v>0</v>
      </c>
      <c r="F134" s="907">
        <v>102726.54</v>
      </c>
      <c r="G134" s="999">
        <v>0</v>
      </c>
      <c r="H134" s="1002">
        <v>16457786.539999999</v>
      </c>
      <c r="I134" s="965">
        <f t="shared" si="1"/>
        <v>0</v>
      </c>
    </row>
    <row r="135" spans="1:9" ht="12.6" customHeight="1">
      <c r="A135" s="902">
        <v>14</v>
      </c>
      <c r="B135" s="903">
        <v>11</v>
      </c>
      <c r="C135" s="909" t="s">
        <v>564</v>
      </c>
      <c r="D135" s="995">
        <v>18500344</v>
      </c>
      <c r="E135" s="996">
        <v>37897</v>
      </c>
      <c r="F135" s="907">
        <v>111239.21</v>
      </c>
      <c r="G135" s="999">
        <v>0</v>
      </c>
      <c r="H135" s="1002">
        <v>18611583.210000001</v>
      </c>
      <c r="I135" s="965">
        <f t="shared" si="1"/>
        <v>0.2048448396419007</v>
      </c>
    </row>
    <row r="136" spans="1:9" ht="12.6" customHeight="1">
      <c r="A136" s="902">
        <v>14</v>
      </c>
      <c r="B136" s="903">
        <v>12</v>
      </c>
      <c r="C136" s="909" t="s">
        <v>563</v>
      </c>
      <c r="D136" s="995">
        <v>72799970</v>
      </c>
      <c r="E136" s="996">
        <v>38639</v>
      </c>
      <c r="F136" s="907">
        <v>652329.65</v>
      </c>
      <c r="G136" s="999">
        <v>0</v>
      </c>
      <c r="H136" s="1002">
        <v>73452299.650000006</v>
      </c>
      <c r="I136" s="965">
        <f t="shared" si="1"/>
        <v>5.3075571322350822E-2</v>
      </c>
    </row>
    <row r="137" spans="1:9" ht="12.6" customHeight="1">
      <c r="A137" s="902">
        <v>14</v>
      </c>
      <c r="B137" s="903">
        <v>13</v>
      </c>
      <c r="C137" s="909" t="s">
        <v>562</v>
      </c>
      <c r="D137" s="995">
        <v>35241048</v>
      </c>
      <c r="E137" s="996">
        <v>23233</v>
      </c>
      <c r="F137" s="907">
        <v>739619.36</v>
      </c>
      <c r="G137" s="999">
        <v>0</v>
      </c>
      <c r="H137" s="1002">
        <v>35980667.359999999</v>
      </c>
      <c r="I137" s="965">
        <f t="shared" si="1"/>
        <v>6.5925962247206718E-2</v>
      </c>
    </row>
    <row r="138" spans="1:9" ht="12.6" customHeight="1">
      <c r="A138" s="902">
        <v>14</v>
      </c>
      <c r="B138" s="903">
        <v>14</v>
      </c>
      <c r="C138" s="909" t="s">
        <v>485</v>
      </c>
      <c r="D138" s="995">
        <v>19403866</v>
      </c>
      <c r="E138" s="996">
        <v>0</v>
      </c>
      <c r="F138" s="907">
        <v>113741.78</v>
      </c>
      <c r="G138" s="999">
        <v>0</v>
      </c>
      <c r="H138" s="1002">
        <v>19517607.780000001</v>
      </c>
      <c r="I138" s="965">
        <f t="shared" ref="I138:I201" si="2">E138/D138*100</f>
        <v>0</v>
      </c>
    </row>
    <row r="139" spans="1:9" ht="12.6" customHeight="1">
      <c r="A139" s="902">
        <v>14</v>
      </c>
      <c r="B139" s="903">
        <v>15</v>
      </c>
      <c r="C139" s="909" t="s">
        <v>561</v>
      </c>
      <c r="D139" s="995">
        <v>18209928</v>
      </c>
      <c r="E139" s="996">
        <v>0</v>
      </c>
      <c r="F139" s="907">
        <v>166419.25</v>
      </c>
      <c r="G139" s="999">
        <v>0</v>
      </c>
      <c r="H139" s="1002">
        <v>18376347.25</v>
      </c>
      <c r="I139" s="965">
        <f t="shared" si="2"/>
        <v>0</v>
      </c>
    </row>
    <row r="140" spans="1:9" ht="12.6" customHeight="1">
      <c r="A140" s="902">
        <v>14</v>
      </c>
      <c r="B140" s="903">
        <v>16</v>
      </c>
      <c r="C140" s="909" t="s">
        <v>413</v>
      </c>
      <c r="D140" s="995">
        <v>29592256</v>
      </c>
      <c r="E140" s="996">
        <v>0</v>
      </c>
      <c r="F140" s="907">
        <v>138803.57999999999</v>
      </c>
      <c r="G140" s="999">
        <v>0</v>
      </c>
      <c r="H140" s="1002">
        <v>29731059.579999998</v>
      </c>
      <c r="I140" s="965">
        <f t="shared" si="2"/>
        <v>0</v>
      </c>
    </row>
    <row r="141" spans="1:9" ht="12.6" customHeight="1">
      <c r="A141" s="902">
        <v>14</v>
      </c>
      <c r="B141" s="903">
        <v>17</v>
      </c>
      <c r="C141" s="909" t="s">
        <v>560</v>
      </c>
      <c r="D141" s="995">
        <v>58374437</v>
      </c>
      <c r="E141" s="996">
        <v>163878</v>
      </c>
      <c r="F141" s="907">
        <v>545870.92000000004</v>
      </c>
      <c r="G141" s="999">
        <v>0</v>
      </c>
      <c r="H141" s="1002">
        <v>58920307.920000002</v>
      </c>
      <c r="I141" s="965">
        <f t="shared" si="2"/>
        <v>0.2807358981466494</v>
      </c>
    </row>
    <row r="142" spans="1:9" ht="12.6" customHeight="1">
      <c r="A142" s="902">
        <v>14</v>
      </c>
      <c r="B142" s="903">
        <v>18</v>
      </c>
      <c r="C142" s="909" t="s">
        <v>559</v>
      </c>
      <c r="D142" s="995">
        <v>77083575</v>
      </c>
      <c r="E142" s="996">
        <v>0</v>
      </c>
      <c r="F142" s="907">
        <v>930058.4</v>
      </c>
      <c r="G142" s="999">
        <v>0</v>
      </c>
      <c r="H142" s="1002">
        <v>78013633.400000006</v>
      </c>
      <c r="I142" s="965">
        <f t="shared" si="2"/>
        <v>0</v>
      </c>
    </row>
    <row r="143" spans="1:9" ht="12.6" customHeight="1">
      <c r="A143" s="902">
        <v>14</v>
      </c>
      <c r="B143" s="903">
        <v>19</v>
      </c>
      <c r="C143" s="909" t="s">
        <v>558</v>
      </c>
      <c r="D143" s="995">
        <v>19206319</v>
      </c>
      <c r="E143" s="996">
        <v>0</v>
      </c>
      <c r="F143" s="907">
        <v>60719.519999999997</v>
      </c>
      <c r="G143" s="999">
        <v>0</v>
      </c>
      <c r="H143" s="1002">
        <v>19267038.52</v>
      </c>
      <c r="I143" s="965">
        <f t="shared" si="2"/>
        <v>0</v>
      </c>
    </row>
    <row r="144" spans="1:9" ht="12.6" customHeight="1">
      <c r="A144" s="902">
        <v>14</v>
      </c>
      <c r="B144" s="903">
        <v>20</v>
      </c>
      <c r="C144" s="909" t="s">
        <v>557</v>
      </c>
      <c r="D144" s="995">
        <v>56052802</v>
      </c>
      <c r="E144" s="996">
        <v>78115</v>
      </c>
      <c r="F144" s="907">
        <v>927254.92</v>
      </c>
      <c r="G144" s="999">
        <v>0</v>
      </c>
      <c r="H144" s="1002">
        <v>56980056.920000002</v>
      </c>
      <c r="I144" s="965">
        <f t="shared" si="2"/>
        <v>0.13935967019097459</v>
      </c>
    </row>
    <row r="145" spans="1:9" ht="12.6" customHeight="1">
      <c r="A145" s="902">
        <v>14</v>
      </c>
      <c r="B145" s="903">
        <v>21</v>
      </c>
      <c r="C145" s="909" t="s">
        <v>556</v>
      </c>
      <c r="D145" s="995">
        <v>41052058</v>
      </c>
      <c r="E145" s="996">
        <v>0</v>
      </c>
      <c r="F145" s="907">
        <v>451259.97</v>
      </c>
      <c r="G145" s="999">
        <v>0</v>
      </c>
      <c r="H145" s="1002">
        <v>41503317.969999999</v>
      </c>
      <c r="I145" s="965">
        <f t="shared" si="2"/>
        <v>0</v>
      </c>
    </row>
    <row r="146" spans="1:9" ht="12.6" customHeight="1">
      <c r="A146" s="902">
        <v>14</v>
      </c>
      <c r="B146" s="903">
        <v>22</v>
      </c>
      <c r="C146" s="909" t="s">
        <v>555</v>
      </c>
      <c r="D146" s="995">
        <v>33484558</v>
      </c>
      <c r="E146" s="996">
        <v>20675</v>
      </c>
      <c r="F146" s="907">
        <v>203844.2</v>
      </c>
      <c r="G146" s="999">
        <v>150000</v>
      </c>
      <c r="H146" s="1002">
        <v>33838402.200000003</v>
      </c>
      <c r="I146" s="965">
        <f t="shared" si="2"/>
        <v>6.1744879535217401E-2</v>
      </c>
    </row>
    <row r="147" spans="1:9" ht="12.6" customHeight="1">
      <c r="A147" s="902">
        <v>14</v>
      </c>
      <c r="B147" s="903">
        <v>23</v>
      </c>
      <c r="C147" s="909" t="s">
        <v>554</v>
      </c>
      <c r="D147" s="995">
        <v>41071292</v>
      </c>
      <c r="E147" s="996">
        <v>4088</v>
      </c>
      <c r="F147" s="907">
        <v>72200</v>
      </c>
      <c r="G147" s="999">
        <v>0</v>
      </c>
      <c r="H147" s="1002">
        <v>41143492</v>
      </c>
      <c r="I147" s="965">
        <f t="shared" si="2"/>
        <v>9.9534244016477504E-3</v>
      </c>
    </row>
    <row r="148" spans="1:9" ht="12.6" customHeight="1">
      <c r="A148" s="902">
        <v>14</v>
      </c>
      <c r="B148" s="903">
        <v>24</v>
      </c>
      <c r="C148" s="909" t="s">
        <v>553</v>
      </c>
      <c r="D148" s="995">
        <v>22573316</v>
      </c>
      <c r="E148" s="996">
        <v>0</v>
      </c>
      <c r="F148" s="907">
        <v>149635.37</v>
      </c>
      <c r="G148" s="999">
        <v>0</v>
      </c>
      <c r="H148" s="1002">
        <v>22722951.370000001</v>
      </c>
      <c r="I148" s="965">
        <f t="shared" si="2"/>
        <v>0</v>
      </c>
    </row>
    <row r="149" spans="1:9" ht="12.6" customHeight="1">
      <c r="A149" s="902">
        <v>14</v>
      </c>
      <c r="B149" s="903">
        <v>25</v>
      </c>
      <c r="C149" s="909" t="s">
        <v>552</v>
      </c>
      <c r="D149" s="995">
        <v>27107767</v>
      </c>
      <c r="E149" s="996">
        <v>33053</v>
      </c>
      <c r="F149" s="907">
        <v>251045.22</v>
      </c>
      <c r="G149" s="999">
        <v>0</v>
      </c>
      <c r="H149" s="1002">
        <v>27358812.219999999</v>
      </c>
      <c r="I149" s="965">
        <f t="shared" si="2"/>
        <v>0.12193184337168014</v>
      </c>
    </row>
    <row r="150" spans="1:9" ht="12.6" customHeight="1">
      <c r="A150" s="902">
        <v>14</v>
      </c>
      <c r="B150" s="903">
        <v>26</v>
      </c>
      <c r="C150" s="909" t="s">
        <v>551</v>
      </c>
      <c r="D150" s="995">
        <v>15977265</v>
      </c>
      <c r="E150" s="996">
        <v>30138</v>
      </c>
      <c r="F150" s="907">
        <v>213802.94</v>
      </c>
      <c r="G150" s="999">
        <v>0</v>
      </c>
      <c r="H150" s="1002">
        <v>16191067.939999999</v>
      </c>
      <c r="I150" s="965">
        <f t="shared" si="2"/>
        <v>0.18863053219684345</v>
      </c>
    </row>
    <row r="151" spans="1:9" ht="12.6" customHeight="1">
      <c r="A151" s="902">
        <v>14</v>
      </c>
      <c r="B151" s="903">
        <v>27</v>
      </c>
      <c r="C151" s="909" t="s">
        <v>550</v>
      </c>
      <c r="D151" s="995">
        <v>21766110</v>
      </c>
      <c r="E151" s="996">
        <v>42439</v>
      </c>
      <c r="F151" s="907">
        <v>202490.85</v>
      </c>
      <c r="G151" s="999">
        <v>0</v>
      </c>
      <c r="H151" s="1002">
        <v>21968600.850000001</v>
      </c>
      <c r="I151" s="965">
        <f t="shared" si="2"/>
        <v>0.19497742132149476</v>
      </c>
    </row>
    <row r="152" spans="1:9" ht="12.6" customHeight="1">
      <c r="A152" s="902">
        <v>14</v>
      </c>
      <c r="B152" s="903">
        <v>28</v>
      </c>
      <c r="C152" s="909" t="s">
        <v>549</v>
      </c>
      <c r="D152" s="995">
        <v>44707340</v>
      </c>
      <c r="E152" s="996">
        <v>10037</v>
      </c>
      <c r="F152" s="907">
        <v>1439322.91</v>
      </c>
      <c r="G152" s="999">
        <v>0</v>
      </c>
      <c r="H152" s="1002">
        <v>46146662.909999996</v>
      </c>
      <c r="I152" s="965">
        <f t="shared" si="2"/>
        <v>2.2450452207624073E-2</v>
      </c>
    </row>
    <row r="153" spans="1:9" ht="12.6" customHeight="1">
      <c r="A153" s="902">
        <v>14</v>
      </c>
      <c r="B153" s="903">
        <v>29</v>
      </c>
      <c r="C153" s="909" t="s">
        <v>548</v>
      </c>
      <c r="D153" s="995">
        <v>18328811</v>
      </c>
      <c r="E153" s="996">
        <v>0</v>
      </c>
      <c r="F153" s="907">
        <v>249126.34</v>
      </c>
      <c r="G153" s="999">
        <v>0</v>
      </c>
      <c r="H153" s="1002">
        <v>18577937.34</v>
      </c>
      <c r="I153" s="965">
        <f t="shared" si="2"/>
        <v>0</v>
      </c>
    </row>
    <row r="154" spans="1:9" ht="12.6" customHeight="1">
      <c r="A154" s="902">
        <v>14</v>
      </c>
      <c r="B154" s="903">
        <v>30</v>
      </c>
      <c r="C154" s="909" t="s">
        <v>547</v>
      </c>
      <c r="D154" s="995">
        <v>10262750</v>
      </c>
      <c r="E154" s="996">
        <v>0</v>
      </c>
      <c r="F154" s="907">
        <v>117320.41</v>
      </c>
      <c r="G154" s="999">
        <v>0</v>
      </c>
      <c r="H154" s="1002">
        <v>10380070.41</v>
      </c>
      <c r="I154" s="965">
        <f t="shared" si="2"/>
        <v>0</v>
      </c>
    </row>
    <row r="155" spans="1:9" ht="12.6" customHeight="1">
      <c r="A155" s="902">
        <v>14</v>
      </c>
      <c r="B155" s="903">
        <v>32</v>
      </c>
      <c r="C155" s="909" t="s">
        <v>546</v>
      </c>
      <c r="D155" s="995">
        <v>42035494</v>
      </c>
      <c r="E155" s="996">
        <v>10610</v>
      </c>
      <c r="F155" s="907">
        <v>284225.2</v>
      </c>
      <c r="G155" s="999">
        <v>0</v>
      </c>
      <c r="H155" s="1002">
        <v>42319719.200000003</v>
      </c>
      <c r="I155" s="965">
        <f t="shared" si="2"/>
        <v>2.5240574072948923E-2</v>
      </c>
    </row>
    <row r="156" spans="1:9" ht="12.6" customHeight="1">
      <c r="A156" s="902">
        <v>14</v>
      </c>
      <c r="B156" s="903">
        <v>33</v>
      </c>
      <c r="C156" s="909" t="s">
        <v>545</v>
      </c>
      <c r="D156" s="995">
        <v>39040167</v>
      </c>
      <c r="E156" s="996">
        <v>129181</v>
      </c>
      <c r="F156" s="907">
        <v>287844.73</v>
      </c>
      <c r="G156" s="999">
        <v>0</v>
      </c>
      <c r="H156" s="1002">
        <v>39328011.729999997</v>
      </c>
      <c r="I156" s="965">
        <f t="shared" si="2"/>
        <v>0.33089253947095054</v>
      </c>
    </row>
    <row r="157" spans="1:9" ht="12.6" customHeight="1">
      <c r="A157" s="902">
        <v>14</v>
      </c>
      <c r="B157" s="903">
        <v>34</v>
      </c>
      <c r="C157" s="909" t="s">
        <v>544</v>
      </c>
      <c r="D157" s="995">
        <v>67104594</v>
      </c>
      <c r="E157" s="996">
        <v>0</v>
      </c>
      <c r="F157" s="907">
        <v>1102030.7</v>
      </c>
      <c r="G157" s="999">
        <v>0</v>
      </c>
      <c r="H157" s="1002">
        <v>68206624.700000003</v>
      </c>
      <c r="I157" s="965">
        <f t="shared" si="2"/>
        <v>0</v>
      </c>
    </row>
    <row r="158" spans="1:9" ht="12.6" customHeight="1">
      <c r="A158" s="902">
        <v>14</v>
      </c>
      <c r="B158" s="903">
        <v>35</v>
      </c>
      <c r="C158" s="909" t="s">
        <v>543</v>
      </c>
      <c r="D158" s="995">
        <v>44558689</v>
      </c>
      <c r="E158" s="996">
        <v>39699</v>
      </c>
      <c r="F158" s="907">
        <v>451900.75</v>
      </c>
      <c r="G158" s="999">
        <v>0</v>
      </c>
      <c r="H158" s="1002">
        <v>45010589.75</v>
      </c>
      <c r="I158" s="965">
        <f t="shared" si="2"/>
        <v>8.9093734333162269E-2</v>
      </c>
    </row>
    <row r="159" spans="1:9" ht="12.6" customHeight="1">
      <c r="A159" s="902">
        <v>14</v>
      </c>
      <c r="B159" s="903">
        <v>36</v>
      </c>
      <c r="C159" s="909" t="s">
        <v>542</v>
      </c>
      <c r="D159" s="995">
        <v>10719659</v>
      </c>
      <c r="E159" s="996">
        <v>0</v>
      </c>
      <c r="F159" s="907">
        <v>90983.039999999994</v>
      </c>
      <c r="G159" s="999">
        <v>0</v>
      </c>
      <c r="H159" s="1002">
        <v>10810642.039999999</v>
      </c>
      <c r="I159" s="965">
        <f t="shared" si="2"/>
        <v>0</v>
      </c>
    </row>
    <row r="160" spans="1:9" ht="12.6" customHeight="1">
      <c r="A160" s="902">
        <v>14</v>
      </c>
      <c r="B160" s="903">
        <v>37</v>
      </c>
      <c r="C160" s="909" t="s">
        <v>541</v>
      </c>
      <c r="D160" s="995">
        <v>16719924</v>
      </c>
      <c r="E160" s="996">
        <v>23993</v>
      </c>
      <c r="F160" s="907">
        <v>163048.17000000001</v>
      </c>
      <c r="G160" s="999">
        <v>0</v>
      </c>
      <c r="H160" s="1002">
        <v>16882972.170000002</v>
      </c>
      <c r="I160" s="965">
        <f t="shared" si="2"/>
        <v>0.14349945609800618</v>
      </c>
    </row>
    <row r="161" spans="1:9" ht="12.6" customHeight="1">
      <c r="A161" s="902">
        <v>14</v>
      </c>
      <c r="B161" s="903">
        <v>38</v>
      </c>
      <c r="C161" s="909" t="s">
        <v>540</v>
      </c>
      <c r="D161" s="995">
        <v>28790725</v>
      </c>
      <c r="E161" s="996">
        <v>27279</v>
      </c>
      <c r="F161" s="907">
        <v>200284.58</v>
      </c>
      <c r="G161" s="999">
        <v>0</v>
      </c>
      <c r="H161" s="1002">
        <v>28991009.579999998</v>
      </c>
      <c r="I161" s="965">
        <f t="shared" si="2"/>
        <v>9.4749263868832756E-2</v>
      </c>
    </row>
    <row r="162" spans="1:9" ht="12.6" customHeight="1">
      <c r="A162" s="902">
        <v>16</v>
      </c>
      <c r="B162" s="903">
        <v>1</v>
      </c>
      <c r="C162" s="909" t="s">
        <v>539</v>
      </c>
      <c r="D162" s="995">
        <v>34758453</v>
      </c>
      <c r="E162" s="996">
        <v>0</v>
      </c>
      <c r="F162" s="907">
        <v>135866.29999999999</v>
      </c>
      <c r="G162" s="999">
        <v>0</v>
      </c>
      <c r="H162" s="1002">
        <v>34894319.299999997</v>
      </c>
      <c r="I162" s="965">
        <f t="shared" si="2"/>
        <v>0</v>
      </c>
    </row>
    <row r="163" spans="1:9" ht="12.6" customHeight="1">
      <c r="A163" s="902">
        <v>16</v>
      </c>
      <c r="B163" s="903">
        <v>2</v>
      </c>
      <c r="C163" s="909" t="s">
        <v>538</v>
      </c>
      <c r="D163" s="995">
        <v>11668601</v>
      </c>
      <c r="E163" s="996">
        <v>0</v>
      </c>
      <c r="F163" s="907">
        <v>104611.91</v>
      </c>
      <c r="G163" s="999">
        <v>562267.04</v>
      </c>
      <c r="H163" s="1002">
        <v>12335479.949999999</v>
      </c>
      <c r="I163" s="965">
        <f t="shared" si="2"/>
        <v>0</v>
      </c>
    </row>
    <row r="164" spans="1:9" ht="12.6" customHeight="1">
      <c r="A164" s="902">
        <v>16</v>
      </c>
      <c r="B164" s="903">
        <v>3</v>
      </c>
      <c r="C164" s="909" t="s">
        <v>537</v>
      </c>
      <c r="D164" s="995">
        <v>46232720</v>
      </c>
      <c r="E164" s="996">
        <v>0</v>
      </c>
      <c r="F164" s="907">
        <v>180269.34</v>
      </c>
      <c r="G164" s="999">
        <v>0</v>
      </c>
      <c r="H164" s="1002">
        <v>46412989.340000004</v>
      </c>
      <c r="I164" s="965">
        <f t="shared" si="2"/>
        <v>0</v>
      </c>
    </row>
    <row r="165" spans="1:9" ht="12.6" customHeight="1">
      <c r="A165" s="902">
        <v>16</v>
      </c>
      <c r="B165" s="903">
        <v>4</v>
      </c>
      <c r="C165" s="909" t="s">
        <v>536</v>
      </c>
      <c r="D165" s="995">
        <v>31675968</v>
      </c>
      <c r="E165" s="996">
        <v>14223</v>
      </c>
      <c r="F165" s="907">
        <v>506928.56</v>
      </c>
      <c r="G165" s="999">
        <v>0</v>
      </c>
      <c r="H165" s="1002">
        <v>32182896.559999999</v>
      </c>
      <c r="I165" s="965">
        <f t="shared" si="2"/>
        <v>4.4901548075815714E-2</v>
      </c>
    </row>
    <row r="166" spans="1:9" ht="12.6" customHeight="1">
      <c r="A166" s="902">
        <v>16</v>
      </c>
      <c r="B166" s="903">
        <v>5</v>
      </c>
      <c r="C166" s="909" t="s">
        <v>535</v>
      </c>
      <c r="D166" s="995">
        <v>12954836</v>
      </c>
      <c r="E166" s="996">
        <v>0</v>
      </c>
      <c r="F166" s="907">
        <v>115815.34</v>
      </c>
      <c r="G166" s="999">
        <v>0</v>
      </c>
      <c r="H166" s="1002">
        <v>13070651.34</v>
      </c>
      <c r="I166" s="965">
        <f t="shared" si="2"/>
        <v>0</v>
      </c>
    </row>
    <row r="167" spans="1:9" ht="12.6" customHeight="1">
      <c r="A167" s="902">
        <v>16</v>
      </c>
      <c r="B167" s="903">
        <v>6</v>
      </c>
      <c r="C167" s="909" t="s">
        <v>534</v>
      </c>
      <c r="D167" s="995">
        <v>22776854</v>
      </c>
      <c r="E167" s="996">
        <v>0</v>
      </c>
      <c r="F167" s="907">
        <v>51330.63</v>
      </c>
      <c r="G167" s="999">
        <v>0</v>
      </c>
      <c r="H167" s="1002">
        <v>22828184.629999999</v>
      </c>
      <c r="I167" s="965">
        <f t="shared" si="2"/>
        <v>0</v>
      </c>
    </row>
    <row r="168" spans="1:9" ht="12.6" customHeight="1">
      <c r="A168" s="902">
        <v>16</v>
      </c>
      <c r="B168" s="903">
        <v>7</v>
      </c>
      <c r="C168" s="909" t="s">
        <v>533</v>
      </c>
      <c r="D168" s="995">
        <v>65155901</v>
      </c>
      <c r="E168" s="996">
        <v>0</v>
      </c>
      <c r="F168" s="907">
        <v>319625.07</v>
      </c>
      <c r="G168" s="999">
        <v>0</v>
      </c>
      <c r="H168" s="1002">
        <v>65475526.07</v>
      </c>
      <c r="I168" s="965">
        <f t="shared" si="2"/>
        <v>0</v>
      </c>
    </row>
    <row r="169" spans="1:9" ht="12.6" customHeight="1">
      <c r="A169" s="902">
        <v>16</v>
      </c>
      <c r="B169" s="903">
        <v>8</v>
      </c>
      <c r="C169" s="909" t="s">
        <v>532</v>
      </c>
      <c r="D169" s="995">
        <v>26066999</v>
      </c>
      <c r="E169" s="996">
        <v>0</v>
      </c>
      <c r="F169" s="907">
        <v>444247.38</v>
      </c>
      <c r="G169" s="999">
        <v>0</v>
      </c>
      <c r="H169" s="1002">
        <v>26511246.379999999</v>
      </c>
      <c r="I169" s="965">
        <f t="shared" si="2"/>
        <v>0</v>
      </c>
    </row>
    <row r="170" spans="1:9" ht="12.6" customHeight="1">
      <c r="A170" s="902">
        <v>16</v>
      </c>
      <c r="B170" s="903">
        <v>9</v>
      </c>
      <c r="C170" s="909" t="s">
        <v>531</v>
      </c>
      <c r="D170" s="995">
        <v>16765491</v>
      </c>
      <c r="E170" s="996">
        <v>0</v>
      </c>
      <c r="F170" s="907">
        <v>262980.94</v>
      </c>
      <c r="G170" s="999">
        <v>0</v>
      </c>
      <c r="H170" s="1002">
        <v>17028471.940000001</v>
      </c>
      <c r="I170" s="965">
        <f t="shared" si="2"/>
        <v>0</v>
      </c>
    </row>
    <row r="171" spans="1:9" ht="12.6" customHeight="1">
      <c r="A171" s="902">
        <v>16</v>
      </c>
      <c r="B171" s="903">
        <v>10</v>
      </c>
      <c r="C171" s="909" t="s">
        <v>530</v>
      </c>
      <c r="D171" s="995">
        <v>18824631</v>
      </c>
      <c r="E171" s="996">
        <v>37596</v>
      </c>
      <c r="F171" s="907">
        <v>182703.88</v>
      </c>
      <c r="G171" s="999">
        <v>0</v>
      </c>
      <c r="H171" s="1002">
        <v>19007334.879999999</v>
      </c>
      <c r="I171" s="965">
        <f t="shared" si="2"/>
        <v>0.19971706218305155</v>
      </c>
    </row>
    <row r="172" spans="1:9" ht="12.6" customHeight="1">
      <c r="A172" s="902">
        <v>16</v>
      </c>
      <c r="B172" s="903">
        <v>11</v>
      </c>
      <c r="C172" s="909" t="s">
        <v>529</v>
      </c>
      <c r="D172" s="995">
        <v>28344548</v>
      </c>
      <c r="E172" s="996">
        <v>0</v>
      </c>
      <c r="F172" s="907">
        <v>1347376.99</v>
      </c>
      <c r="G172" s="999">
        <v>0</v>
      </c>
      <c r="H172" s="1002">
        <v>29691924.989999998</v>
      </c>
      <c r="I172" s="965">
        <f t="shared" si="2"/>
        <v>0</v>
      </c>
    </row>
    <row r="173" spans="1:9" ht="12.6" customHeight="1">
      <c r="A173" s="902">
        <v>18</v>
      </c>
      <c r="B173" s="903">
        <v>1</v>
      </c>
      <c r="C173" s="909" t="s">
        <v>528</v>
      </c>
      <c r="D173" s="995">
        <v>9372566</v>
      </c>
      <c r="E173" s="996">
        <v>8203</v>
      </c>
      <c r="F173" s="907">
        <v>70064.42</v>
      </c>
      <c r="G173" s="999">
        <v>0</v>
      </c>
      <c r="H173" s="1002">
        <v>9442630.4199999999</v>
      </c>
      <c r="I173" s="965">
        <f t="shared" si="2"/>
        <v>8.7521389553298426E-2</v>
      </c>
    </row>
    <row r="174" spans="1:9" ht="12.6" customHeight="1">
      <c r="A174" s="902">
        <v>18</v>
      </c>
      <c r="B174" s="903">
        <v>2</v>
      </c>
      <c r="C174" s="909" t="s">
        <v>527</v>
      </c>
      <c r="D174" s="995">
        <v>21120561</v>
      </c>
      <c r="E174" s="996">
        <v>4808</v>
      </c>
      <c r="F174" s="907">
        <v>24764.58</v>
      </c>
      <c r="G174" s="999">
        <v>0</v>
      </c>
      <c r="H174" s="1002">
        <v>21145325.579999998</v>
      </c>
      <c r="I174" s="965">
        <f t="shared" si="2"/>
        <v>2.2764546831876294E-2</v>
      </c>
    </row>
    <row r="175" spans="1:9" ht="12.6" customHeight="1">
      <c r="A175" s="902">
        <v>18</v>
      </c>
      <c r="B175" s="903">
        <v>3</v>
      </c>
      <c r="C175" s="909" t="s">
        <v>526</v>
      </c>
      <c r="D175" s="995">
        <v>54675221</v>
      </c>
      <c r="E175" s="996">
        <v>0</v>
      </c>
      <c r="F175" s="907">
        <v>321479.89</v>
      </c>
      <c r="G175" s="999">
        <v>0</v>
      </c>
      <c r="H175" s="1002">
        <v>54996700.890000001</v>
      </c>
      <c r="I175" s="965">
        <f t="shared" si="2"/>
        <v>0</v>
      </c>
    </row>
    <row r="176" spans="1:9" ht="12.6" customHeight="1">
      <c r="A176" s="902">
        <v>18</v>
      </c>
      <c r="B176" s="903">
        <v>4</v>
      </c>
      <c r="C176" s="909" t="s">
        <v>525</v>
      </c>
      <c r="D176" s="995">
        <v>77411758</v>
      </c>
      <c r="E176" s="996">
        <v>84601</v>
      </c>
      <c r="F176" s="907">
        <v>387530.27</v>
      </c>
      <c r="G176" s="999">
        <v>0</v>
      </c>
      <c r="H176" s="1002">
        <v>77799288.269999996</v>
      </c>
      <c r="I176" s="965">
        <f t="shared" si="2"/>
        <v>0.10928701554613965</v>
      </c>
    </row>
    <row r="177" spans="1:9" ht="12.6" customHeight="1">
      <c r="A177" s="902">
        <v>18</v>
      </c>
      <c r="B177" s="903">
        <v>5</v>
      </c>
      <c r="C177" s="909" t="s">
        <v>524</v>
      </c>
      <c r="D177" s="995">
        <v>55340421</v>
      </c>
      <c r="E177" s="996">
        <v>14410</v>
      </c>
      <c r="F177" s="907">
        <v>361891.07</v>
      </c>
      <c r="G177" s="999">
        <v>0</v>
      </c>
      <c r="H177" s="1002">
        <v>55702312.07</v>
      </c>
      <c r="I177" s="965">
        <f t="shared" si="2"/>
        <v>2.6038833351123222E-2</v>
      </c>
    </row>
    <row r="178" spans="1:9" ht="12.6" customHeight="1">
      <c r="A178" s="902">
        <v>18</v>
      </c>
      <c r="B178" s="903">
        <v>6</v>
      </c>
      <c r="C178" s="909" t="s">
        <v>523</v>
      </c>
      <c r="D178" s="995">
        <v>15337161</v>
      </c>
      <c r="E178" s="996">
        <v>0</v>
      </c>
      <c r="F178" s="907">
        <v>68303.759999999995</v>
      </c>
      <c r="G178" s="999">
        <v>0</v>
      </c>
      <c r="H178" s="1002">
        <v>15405464.76</v>
      </c>
      <c r="I178" s="965">
        <f t="shared" si="2"/>
        <v>0</v>
      </c>
    </row>
    <row r="179" spans="1:9" ht="12.6" customHeight="1">
      <c r="A179" s="902">
        <v>18</v>
      </c>
      <c r="B179" s="903">
        <v>7</v>
      </c>
      <c r="C179" s="909" t="s">
        <v>522</v>
      </c>
      <c r="D179" s="995">
        <v>27477176</v>
      </c>
      <c r="E179" s="996">
        <v>0</v>
      </c>
      <c r="F179" s="907">
        <v>14720</v>
      </c>
      <c r="G179" s="999">
        <v>0</v>
      </c>
      <c r="H179" s="1002">
        <v>27491896</v>
      </c>
      <c r="I179" s="965">
        <f t="shared" si="2"/>
        <v>0</v>
      </c>
    </row>
    <row r="180" spans="1:9" ht="12.6" customHeight="1">
      <c r="A180" s="902">
        <v>18</v>
      </c>
      <c r="B180" s="903">
        <v>8</v>
      </c>
      <c r="C180" s="909" t="s">
        <v>521</v>
      </c>
      <c r="D180" s="995">
        <v>43765460</v>
      </c>
      <c r="E180" s="996">
        <v>54346</v>
      </c>
      <c r="F180" s="907">
        <v>843862.21</v>
      </c>
      <c r="G180" s="999">
        <v>0</v>
      </c>
      <c r="H180" s="1002">
        <v>44609322.210000001</v>
      </c>
      <c r="I180" s="965">
        <f t="shared" si="2"/>
        <v>0.12417554848046838</v>
      </c>
    </row>
    <row r="181" spans="1:9" ht="12.6" customHeight="1">
      <c r="A181" s="902">
        <v>18</v>
      </c>
      <c r="B181" s="903">
        <v>9</v>
      </c>
      <c r="C181" s="909" t="s">
        <v>520</v>
      </c>
      <c r="D181" s="995">
        <v>27714079</v>
      </c>
      <c r="E181" s="996">
        <v>53483</v>
      </c>
      <c r="F181" s="907">
        <v>193185.57</v>
      </c>
      <c r="G181" s="999">
        <v>0</v>
      </c>
      <c r="H181" s="1002">
        <v>27907264.57</v>
      </c>
      <c r="I181" s="965">
        <f t="shared" si="2"/>
        <v>0.19298133630924558</v>
      </c>
    </row>
    <row r="182" spans="1:9" ht="12.6" customHeight="1">
      <c r="A182" s="902">
        <v>18</v>
      </c>
      <c r="B182" s="903">
        <v>10</v>
      </c>
      <c r="C182" s="909" t="s">
        <v>519</v>
      </c>
      <c r="D182" s="995">
        <v>31169895</v>
      </c>
      <c r="E182" s="996">
        <v>0</v>
      </c>
      <c r="F182" s="907">
        <v>83879.48</v>
      </c>
      <c r="G182" s="999">
        <v>0</v>
      </c>
      <c r="H182" s="1002">
        <v>31253774.48</v>
      </c>
      <c r="I182" s="965">
        <f t="shared" si="2"/>
        <v>0</v>
      </c>
    </row>
    <row r="183" spans="1:9" ht="12.6" customHeight="1">
      <c r="A183" s="902">
        <v>18</v>
      </c>
      <c r="B183" s="903">
        <v>11</v>
      </c>
      <c r="C183" s="909" t="s">
        <v>518</v>
      </c>
      <c r="D183" s="995">
        <v>72831884</v>
      </c>
      <c r="E183" s="996">
        <v>65808</v>
      </c>
      <c r="F183" s="907">
        <v>714223.63</v>
      </c>
      <c r="G183" s="999">
        <v>0</v>
      </c>
      <c r="H183" s="1002">
        <v>73546107.629999995</v>
      </c>
      <c r="I183" s="965">
        <f t="shared" si="2"/>
        <v>9.0356031432607176E-2</v>
      </c>
    </row>
    <row r="184" spans="1:9" ht="12.6" customHeight="1">
      <c r="A184" s="902">
        <v>18</v>
      </c>
      <c r="B184" s="903">
        <v>12</v>
      </c>
      <c r="C184" s="909" t="s">
        <v>517</v>
      </c>
      <c r="D184" s="995">
        <v>27537643</v>
      </c>
      <c r="E184" s="996">
        <v>15931</v>
      </c>
      <c r="F184" s="907">
        <v>132907.65</v>
      </c>
      <c r="G184" s="999">
        <v>0</v>
      </c>
      <c r="H184" s="1002">
        <v>27670550.649999999</v>
      </c>
      <c r="I184" s="965">
        <f t="shared" si="2"/>
        <v>5.7851719553485392E-2</v>
      </c>
    </row>
    <row r="185" spans="1:9" ht="12.6" customHeight="1">
      <c r="A185" s="902">
        <v>18</v>
      </c>
      <c r="B185" s="903">
        <v>13</v>
      </c>
      <c r="C185" s="909" t="s">
        <v>516</v>
      </c>
      <c r="D185" s="995">
        <v>3634904</v>
      </c>
      <c r="E185" s="996">
        <v>0</v>
      </c>
      <c r="F185" s="907">
        <v>19640.34</v>
      </c>
      <c r="G185" s="999">
        <v>0</v>
      </c>
      <c r="H185" s="1002">
        <v>3654544.34</v>
      </c>
      <c r="I185" s="965">
        <f t="shared" si="2"/>
        <v>0</v>
      </c>
    </row>
    <row r="186" spans="1:9" ht="12.6" customHeight="1">
      <c r="A186" s="902">
        <v>18</v>
      </c>
      <c r="B186" s="903">
        <v>14</v>
      </c>
      <c r="C186" s="909" t="s">
        <v>515</v>
      </c>
      <c r="D186" s="995">
        <v>17717426</v>
      </c>
      <c r="E186" s="996">
        <v>0</v>
      </c>
      <c r="F186" s="907">
        <v>103008</v>
      </c>
      <c r="G186" s="999">
        <v>334800</v>
      </c>
      <c r="H186" s="1002">
        <v>18155234</v>
      </c>
      <c r="I186" s="965">
        <f t="shared" si="2"/>
        <v>0</v>
      </c>
    </row>
    <row r="187" spans="1:9" ht="12.6" customHeight="1">
      <c r="A187" s="902">
        <v>18</v>
      </c>
      <c r="B187" s="903">
        <v>15</v>
      </c>
      <c r="C187" s="909" t="s">
        <v>514</v>
      </c>
      <c r="D187" s="995">
        <v>34729139</v>
      </c>
      <c r="E187" s="996">
        <v>71769</v>
      </c>
      <c r="F187" s="907">
        <v>235675.25</v>
      </c>
      <c r="G187" s="999">
        <v>0</v>
      </c>
      <c r="H187" s="1002">
        <v>34964814.25</v>
      </c>
      <c r="I187" s="965">
        <f t="shared" si="2"/>
        <v>0.20665355395076165</v>
      </c>
    </row>
    <row r="188" spans="1:9" ht="12.6" customHeight="1">
      <c r="A188" s="902">
        <v>18</v>
      </c>
      <c r="B188" s="903">
        <v>16</v>
      </c>
      <c r="C188" s="909" t="s">
        <v>513</v>
      </c>
      <c r="D188" s="995">
        <v>32212363</v>
      </c>
      <c r="E188" s="996">
        <v>0</v>
      </c>
      <c r="F188" s="907">
        <v>191220.16</v>
      </c>
      <c r="G188" s="999">
        <v>0</v>
      </c>
      <c r="H188" s="1002">
        <v>32403583.16</v>
      </c>
      <c r="I188" s="965">
        <f t="shared" si="2"/>
        <v>0</v>
      </c>
    </row>
    <row r="189" spans="1:9" ht="12.6" customHeight="1">
      <c r="A189" s="902">
        <v>18</v>
      </c>
      <c r="B189" s="903">
        <v>17</v>
      </c>
      <c r="C189" s="909" t="s">
        <v>512</v>
      </c>
      <c r="D189" s="995">
        <v>46901142</v>
      </c>
      <c r="E189" s="996">
        <v>50237</v>
      </c>
      <c r="F189" s="907">
        <v>169610.48</v>
      </c>
      <c r="G189" s="999">
        <v>0</v>
      </c>
      <c r="H189" s="1002">
        <v>47070752.479999997</v>
      </c>
      <c r="I189" s="965">
        <f t="shared" si="2"/>
        <v>0.10711253043689213</v>
      </c>
    </row>
    <row r="190" spans="1:9" ht="12.6" customHeight="1">
      <c r="A190" s="902">
        <v>18</v>
      </c>
      <c r="B190" s="903">
        <v>18</v>
      </c>
      <c r="C190" s="909" t="s">
        <v>511</v>
      </c>
      <c r="D190" s="995">
        <v>52390678</v>
      </c>
      <c r="E190" s="996">
        <v>90942</v>
      </c>
      <c r="F190" s="907">
        <v>390680.93</v>
      </c>
      <c r="G190" s="999">
        <v>0</v>
      </c>
      <c r="H190" s="1002">
        <v>52781358.93</v>
      </c>
      <c r="I190" s="965">
        <f t="shared" si="2"/>
        <v>0.17358431589680898</v>
      </c>
    </row>
    <row r="191" spans="1:9" ht="12.6" customHeight="1">
      <c r="A191" s="902">
        <v>18</v>
      </c>
      <c r="B191" s="903">
        <v>19</v>
      </c>
      <c r="C191" s="909" t="s">
        <v>510</v>
      </c>
      <c r="D191" s="995">
        <v>28992462</v>
      </c>
      <c r="E191" s="996">
        <v>49362</v>
      </c>
      <c r="F191" s="907">
        <v>482634.5</v>
      </c>
      <c r="G191" s="999">
        <v>0</v>
      </c>
      <c r="H191" s="1002">
        <v>29475096.5</v>
      </c>
      <c r="I191" s="965">
        <f t="shared" si="2"/>
        <v>0.17025804845411197</v>
      </c>
    </row>
    <row r="192" spans="1:9" ht="12.6" customHeight="1">
      <c r="A192" s="902">
        <v>18</v>
      </c>
      <c r="B192" s="903">
        <v>20</v>
      </c>
      <c r="C192" s="909" t="s">
        <v>509</v>
      </c>
      <c r="D192" s="995">
        <v>17370678</v>
      </c>
      <c r="E192" s="996">
        <v>15103</v>
      </c>
      <c r="F192" s="907">
        <v>154977.82999999999</v>
      </c>
      <c r="G192" s="999">
        <v>0</v>
      </c>
      <c r="H192" s="1002">
        <v>17525655.829999998</v>
      </c>
      <c r="I192" s="965">
        <f t="shared" si="2"/>
        <v>8.6945368511234855E-2</v>
      </c>
    </row>
    <row r="193" spans="1:9" ht="12.6" customHeight="1">
      <c r="A193" s="902">
        <v>18</v>
      </c>
      <c r="B193" s="903">
        <v>21</v>
      </c>
      <c r="C193" s="909" t="s">
        <v>508</v>
      </c>
      <c r="D193" s="995">
        <v>8616086</v>
      </c>
      <c r="E193" s="996">
        <v>4665</v>
      </c>
      <c r="F193" s="907">
        <v>111986.82</v>
      </c>
      <c r="G193" s="999">
        <v>0</v>
      </c>
      <c r="H193" s="1002">
        <v>8728072.8200000003</v>
      </c>
      <c r="I193" s="965">
        <f t="shared" si="2"/>
        <v>5.4142913615300492E-2</v>
      </c>
    </row>
    <row r="194" spans="1:9" ht="12.6" customHeight="1">
      <c r="A194" s="902">
        <v>20</v>
      </c>
      <c r="B194" s="903">
        <v>1</v>
      </c>
      <c r="C194" s="909" t="s">
        <v>507</v>
      </c>
      <c r="D194" s="995">
        <v>29458273</v>
      </c>
      <c r="E194" s="996">
        <v>0</v>
      </c>
      <c r="F194" s="907">
        <v>153290.01</v>
      </c>
      <c r="G194" s="999">
        <v>0</v>
      </c>
      <c r="H194" s="1002">
        <v>29611563.010000002</v>
      </c>
      <c r="I194" s="965">
        <f t="shared" si="2"/>
        <v>0</v>
      </c>
    </row>
    <row r="195" spans="1:9" ht="12.6" customHeight="1">
      <c r="A195" s="902">
        <v>20</v>
      </c>
      <c r="B195" s="903">
        <v>2</v>
      </c>
      <c r="C195" s="909" t="s">
        <v>506</v>
      </c>
      <c r="D195" s="995">
        <v>9737700</v>
      </c>
      <c r="E195" s="996">
        <v>0</v>
      </c>
      <c r="F195" s="907">
        <v>517439.45</v>
      </c>
      <c r="G195" s="999">
        <v>0</v>
      </c>
      <c r="H195" s="1002">
        <v>10255139.449999999</v>
      </c>
      <c r="I195" s="965">
        <f t="shared" si="2"/>
        <v>0</v>
      </c>
    </row>
    <row r="196" spans="1:9" ht="12.6" customHeight="1">
      <c r="A196" s="902">
        <v>20</v>
      </c>
      <c r="B196" s="903">
        <v>3</v>
      </c>
      <c r="C196" s="909" t="s">
        <v>477</v>
      </c>
      <c r="D196" s="995">
        <v>18517985</v>
      </c>
      <c r="E196" s="996">
        <v>0</v>
      </c>
      <c r="F196" s="907">
        <v>264054.99</v>
      </c>
      <c r="G196" s="999">
        <v>109462.59</v>
      </c>
      <c r="H196" s="1002">
        <v>18891502.579999998</v>
      </c>
      <c r="I196" s="965">
        <f t="shared" si="2"/>
        <v>0</v>
      </c>
    </row>
    <row r="197" spans="1:9" ht="12.6" customHeight="1">
      <c r="A197" s="902">
        <v>20</v>
      </c>
      <c r="B197" s="903">
        <v>4</v>
      </c>
      <c r="C197" s="909" t="s">
        <v>505</v>
      </c>
      <c r="D197" s="995">
        <v>20942564</v>
      </c>
      <c r="E197" s="996">
        <v>25069</v>
      </c>
      <c r="F197" s="907">
        <v>237882.4</v>
      </c>
      <c r="G197" s="999">
        <v>0</v>
      </c>
      <c r="H197" s="1002">
        <v>21180446.399999999</v>
      </c>
      <c r="I197" s="965">
        <f t="shared" si="2"/>
        <v>0.11970358548265628</v>
      </c>
    </row>
    <row r="198" spans="1:9" ht="12.6" customHeight="1">
      <c r="A198" s="902">
        <v>20</v>
      </c>
      <c r="B198" s="903">
        <v>5</v>
      </c>
      <c r="C198" s="909" t="s">
        <v>504</v>
      </c>
      <c r="D198" s="995">
        <v>12098420</v>
      </c>
      <c r="E198" s="996">
        <v>0</v>
      </c>
      <c r="F198" s="907">
        <v>150168.44</v>
      </c>
      <c r="G198" s="999">
        <v>0</v>
      </c>
      <c r="H198" s="1002">
        <v>12248588.439999999</v>
      </c>
      <c r="I198" s="965">
        <f t="shared" si="2"/>
        <v>0</v>
      </c>
    </row>
    <row r="199" spans="1:9" ht="12.6" customHeight="1">
      <c r="A199" s="902">
        <v>20</v>
      </c>
      <c r="B199" s="903">
        <v>6</v>
      </c>
      <c r="C199" s="909" t="s">
        <v>503</v>
      </c>
      <c r="D199" s="995">
        <v>7614542</v>
      </c>
      <c r="E199" s="996">
        <v>0</v>
      </c>
      <c r="F199" s="907">
        <v>74156.63</v>
      </c>
      <c r="G199" s="999">
        <v>0</v>
      </c>
      <c r="H199" s="1002">
        <v>7688698.6299999999</v>
      </c>
      <c r="I199" s="965">
        <f t="shared" si="2"/>
        <v>0</v>
      </c>
    </row>
    <row r="200" spans="1:9" ht="12.6" customHeight="1">
      <c r="A200" s="902">
        <v>20</v>
      </c>
      <c r="B200" s="903">
        <v>7</v>
      </c>
      <c r="C200" s="909" t="s">
        <v>502</v>
      </c>
      <c r="D200" s="995">
        <v>815142</v>
      </c>
      <c r="E200" s="996">
        <v>0</v>
      </c>
      <c r="F200" s="907">
        <v>32597.86</v>
      </c>
      <c r="G200" s="999">
        <v>0</v>
      </c>
      <c r="H200" s="1002">
        <v>847739.86</v>
      </c>
      <c r="I200" s="965">
        <f t="shared" si="2"/>
        <v>0</v>
      </c>
    </row>
    <row r="201" spans="1:9" ht="12.6" customHeight="1">
      <c r="A201" s="902">
        <v>20</v>
      </c>
      <c r="B201" s="903">
        <v>8</v>
      </c>
      <c r="C201" s="909" t="s">
        <v>501</v>
      </c>
      <c r="D201" s="995">
        <v>15825728</v>
      </c>
      <c r="E201" s="996">
        <v>0</v>
      </c>
      <c r="F201" s="907">
        <v>138841.45000000001</v>
      </c>
      <c r="G201" s="999">
        <v>0</v>
      </c>
      <c r="H201" s="1002">
        <v>15964569.449999999</v>
      </c>
      <c r="I201" s="965">
        <f t="shared" si="2"/>
        <v>0</v>
      </c>
    </row>
    <row r="202" spans="1:9" ht="12.6" customHeight="1">
      <c r="A202" s="902">
        <v>20</v>
      </c>
      <c r="B202" s="903">
        <v>9</v>
      </c>
      <c r="C202" s="909" t="s">
        <v>500</v>
      </c>
      <c r="D202" s="995">
        <v>3915099</v>
      </c>
      <c r="E202" s="996">
        <v>0</v>
      </c>
      <c r="F202" s="907">
        <v>4000</v>
      </c>
      <c r="G202" s="999">
        <v>0</v>
      </c>
      <c r="H202" s="1002">
        <v>3919099</v>
      </c>
      <c r="I202" s="965">
        <f t="shared" ref="I202:I265" si="3">E202/D202*100</f>
        <v>0</v>
      </c>
    </row>
    <row r="203" spans="1:9" ht="12.6" customHeight="1">
      <c r="A203" s="902">
        <v>20</v>
      </c>
      <c r="B203" s="903">
        <v>10</v>
      </c>
      <c r="C203" s="909" t="s">
        <v>499</v>
      </c>
      <c r="D203" s="995">
        <v>13363847</v>
      </c>
      <c r="E203" s="996">
        <v>0</v>
      </c>
      <c r="F203" s="907">
        <v>46138.51</v>
      </c>
      <c r="G203" s="999">
        <v>0</v>
      </c>
      <c r="H203" s="1002">
        <v>13409985.51</v>
      </c>
      <c r="I203" s="965">
        <f t="shared" si="3"/>
        <v>0</v>
      </c>
    </row>
    <row r="204" spans="1:9" ht="12.6" customHeight="1">
      <c r="A204" s="902">
        <v>20</v>
      </c>
      <c r="B204" s="903">
        <v>11</v>
      </c>
      <c r="C204" s="909" t="s">
        <v>498</v>
      </c>
      <c r="D204" s="995">
        <v>28175856</v>
      </c>
      <c r="E204" s="996">
        <v>23260</v>
      </c>
      <c r="F204" s="907">
        <v>318589.99</v>
      </c>
      <c r="G204" s="999">
        <v>1722085.32</v>
      </c>
      <c r="H204" s="1002">
        <v>30216531.309999999</v>
      </c>
      <c r="I204" s="965">
        <f t="shared" si="3"/>
        <v>8.2552948879352592E-2</v>
      </c>
    </row>
    <row r="205" spans="1:9" ht="12.6" customHeight="1">
      <c r="A205" s="902">
        <v>20</v>
      </c>
      <c r="B205" s="903">
        <v>12</v>
      </c>
      <c r="C205" s="909" t="s">
        <v>497</v>
      </c>
      <c r="D205" s="995">
        <v>3983582</v>
      </c>
      <c r="E205" s="996">
        <v>0</v>
      </c>
      <c r="F205" s="907">
        <v>900</v>
      </c>
      <c r="G205" s="999">
        <v>0</v>
      </c>
      <c r="H205" s="1002">
        <v>3984482</v>
      </c>
      <c r="I205" s="965">
        <f t="shared" si="3"/>
        <v>0</v>
      </c>
    </row>
    <row r="206" spans="1:9" ht="12.6" customHeight="1">
      <c r="A206" s="902">
        <v>20</v>
      </c>
      <c r="B206" s="903">
        <v>13</v>
      </c>
      <c r="C206" s="909" t="s">
        <v>496</v>
      </c>
      <c r="D206" s="995">
        <v>27339137</v>
      </c>
      <c r="E206" s="996">
        <v>0</v>
      </c>
      <c r="F206" s="907">
        <v>250118.43</v>
      </c>
      <c r="G206" s="999">
        <v>195360</v>
      </c>
      <c r="H206" s="1002">
        <v>27784615.43</v>
      </c>
      <c r="I206" s="965">
        <f t="shared" si="3"/>
        <v>0</v>
      </c>
    </row>
    <row r="207" spans="1:9" ht="12.6" customHeight="1">
      <c r="A207" s="902">
        <v>20</v>
      </c>
      <c r="B207" s="903">
        <v>14</v>
      </c>
      <c r="C207" s="909" t="s">
        <v>495</v>
      </c>
      <c r="D207" s="995">
        <v>22087773</v>
      </c>
      <c r="E207" s="996">
        <v>64194</v>
      </c>
      <c r="F207" s="907">
        <v>204429.65</v>
      </c>
      <c r="G207" s="999">
        <v>0</v>
      </c>
      <c r="H207" s="1002">
        <v>22292202.649999999</v>
      </c>
      <c r="I207" s="965">
        <f t="shared" si="3"/>
        <v>0.29063138234895841</v>
      </c>
    </row>
    <row r="208" spans="1:9" ht="12.6" customHeight="1">
      <c r="A208" s="902">
        <v>22</v>
      </c>
      <c r="B208" s="903">
        <v>1</v>
      </c>
      <c r="C208" s="909" t="s">
        <v>494</v>
      </c>
      <c r="D208" s="995">
        <v>42550993</v>
      </c>
      <c r="E208" s="996">
        <v>42726</v>
      </c>
      <c r="F208" s="907">
        <v>326650.5</v>
      </c>
      <c r="G208" s="999">
        <v>0</v>
      </c>
      <c r="H208" s="1002">
        <v>42877643.5</v>
      </c>
      <c r="I208" s="965">
        <f t="shared" si="3"/>
        <v>0.10041128769897331</v>
      </c>
    </row>
    <row r="209" spans="1:9" ht="12.6" customHeight="1">
      <c r="A209" s="902">
        <v>22</v>
      </c>
      <c r="B209" s="903">
        <v>2</v>
      </c>
      <c r="C209" s="909" t="s">
        <v>493</v>
      </c>
      <c r="D209" s="995">
        <v>70232494</v>
      </c>
      <c r="E209" s="996">
        <v>0</v>
      </c>
      <c r="F209" s="907">
        <v>311953.18</v>
      </c>
      <c r="G209" s="999">
        <v>0</v>
      </c>
      <c r="H209" s="1002">
        <v>70544447.180000007</v>
      </c>
      <c r="I209" s="965">
        <f t="shared" si="3"/>
        <v>0</v>
      </c>
    </row>
    <row r="210" spans="1:9" ht="12.6" customHeight="1">
      <c r="A210" s="902">
        <v>22</v>
      </c>
      <c r="B210" s="903">
        <v>3</v>
      </c>
      <c r="C210" s="909" t="s">
        <v>492</v>
      </c>
      <c r="D210" s="995">
        <v>45469300</v>
      </c>
      <c r="E210" s="996">
        <v>44523</v>
      </c>
      <c r="F210" s="907">
        <v>352541.74</v>
      </c>
      <c r="G210" s="999">
        <v>0</v>
      </c>
      <c r="H210" s="1002">
        <v>45821841.740000002</v>
      </c>
      <c r="I210" s="965">
        <f t="shared" si="3"/>
        <v>9.7918815552471672E-2</v>
      </c>
    </row>
    <row r="211" spans="1:9" ht="12.6" customHeight="1">
      <c r="A211" s="902">
        <v>22</v>
      </c>
      <c r="B211" s="903">
        <v>4</v>
      </c>
      <c r="C211" s="909" t="s">
        <v>491</v>
      </c>
      <c r="D211" s="995">
        <v>27979427</v>
      </c>
      <c r="E211" s="996">
        <v>26033</v>
      </c>
      <c r="F211" s="907">
        <v>374516.32</v>
      </c>
      <c r="G211" s="999">
        <v>0</v>
      </c>
      <c r="H211" s="1002">
        <v>28353943.32</v>
      </c>
      <c r="I211" s="965">
        <f t="shared" si="3"/>
        <v>9.3043363611413479E-2</v>
      </c>
    </row>
    <row r="212" spans="1:9" ht="12.6" customHeight="1">
      <c r="A212" s="902">
        <v>22</v>
      </c>
      <c r="B212" s="903">
        <v>5</v>
      </c>
      <c r="C212" s="909" t="s">
        <v>490</v>
      </c>
      <c r="D212" s="995">
        <v>71758406</v>
      </c>
      <c r="E212" s="996">
        <v>64148</v>
      </c>
      <c r="F212" s="907">
        <v>749894.06</v>
      </c>
      <c r="G212" s="999">
        <v>0</v>
      </c>
      <c r="H212" s="1002">
        <v>72508300.060000002</v>
      </c>
      <c r="I212" s="965">
        <f t="shared" si="3"/>
        <v>8.9394404886864412E-2</v>
      </c>
    </row>
    <row r="213" spans="1:9" ht="12.6" customHeight="1">
      <c r="A213" s="902">
        <v>22</v>
      </c>
      <c r="B213" s="903">
        <v>6</v>
      </c>
      <c r="C213" s="909" t="s">
        <v>489</v>
      </c>
      <c r="D213" s="995">
        <v>45308370</v>
      </c>
      <c r="E213" s="996">
        <v>63715</v>
      </c>
      <c r="F213" s="907">
        <v>292477.34000000003</v>
      </c>
      <c r="G213" s="999">
        <v>0</v>
      </c>
      <c r="H213" s="1002">
        <v>45600847.340000004</v>
      </c>
      <c r="I213" s="965">
        <f t="shared" si="3"/>
        <v>0.14062523105554228</v>
      </c>
    </row>
    <row r="214" spans="1:9" ht="12.6" customHeight="1">
      <c r="A214" s="902">
        <v>22</v>
      </c>
      <c r="B214" s="903">
        <v>7</v>
      </c>
      <c r="C214" s="909" t="s">
        <v>488</v>
      </c>
      <c r="D214" s="995">
        <v>44350337</v>
      </c>
      <c r="E214" s="996">
        <v>11491</v>
      </c>
      <c r="F214" s="907">
        <v>438585.98</v>
      </c>
      <c r="G214" s="999">
        <v>0</v>
      </c>
      <c r="H214" s="1002">
        <v>44788922.979999997</v>
      </c>
      <c r="I214" s="965">
        <f t="shared" si="3"/>
        <v>2.5909611464733629E-2</v>
      </c>
    </row>
    <row r="215" spans="1:9" ht="12.6" customHeight="1">
      <c r="A215" s="902">
        <v>22</v>
      </c>
      <c r="B215" s="903">
        <v>8</v>
      </c>
      <c r="C215" s="909" t="s">
        <v>487</v>
      </c>
      <c r="D215" s="995">
        <v>37965537</v>
      </c>
      <c r="E215" s="996">
        <v>27966</v>
      </c>
      <c r="F215" s="907">
        <v>667152.01</v>
      </c>
      <c r="G215" s="999">
        <v>0</v>
      </c>
      <c r="H215" s="1002">
        <v>38632689.009999998</v>
      </c>
      <c r="I215" s="965">
        <f t="shared" si="3"/>
        <v>7.3661542045355508E-2</v>
      </c>
    </row>
    <row r="216" spans="1:9" ht="12.6" customHeight="1">
      <c r="A216" s="902">
        <v>22</v>
      </c>
      <c r="B216" s="903">
        <v>9</v>
      </c>
      <c r="C216" s="909" t="s">
        <v>486</v>
      </c>
      <c r="D216" s="995">
        <v>42533132</v>
      </c>
      <c r="E216" s="996">
        <v>28813</v>
      </c>
      <c r="F216" s="907">
        <v>337015.29</v>
      </c>
      <c r="G216" s="999">
        <v>0</v>
      </c>
      <c r="H216" s="1002">
        <v>42870147.289999999</v>
      </c>
      <c r="I216" s="965">
        <f t="shared" si="3"/>
        <v>6.7742483671317702E-2</v>
      </c>
    </row>
    <row r="217" spans="1:9" ht="12.6" customHeight="1">
      <c r="A217" s="902">
        <v>22</v>
      </c>
      <c r="B217" s="903">
        <v>10</v>
      </c>
      <c r="C217" s="909" t="s">
        <v>485</v>
      </c>
      <c r="D217" s="995">
        <v>13102246</v>
      </c>
      <c r="E217" s="996">
        <v>18459</v>
      </c>
      <c r="F217" s="907">
        <v>646518.35</v>
      </c>
      <c r="G217" s="999">
        <v>0</v>
      </c>
      <c r="H217" s="1002">
        <v>13748764.35</v>
      </c>
      <c r="I217" s="965">
        <f t="shared" si="3"/>
        <v>0.14088424228945176</v>
      </c>
    </row>
    <row r="218" spans="1:9" ht="12.6" customHeight="1">
      <c r="A218" s="902">
        <v>22</v>
      </c>
      <c r="B218" s="903">
        <v>11</v>
      </c>
      <c r="C218" s="909" t="s">
        <v>484</v>
      </c>
      <c r="D218" s="995">
        <v>29871750</v>
      </c>
      <c r="E218" s="996">
        <v>0</v>
      </c>
      <c r="F218" s="907">
        <v>425056.77</v>
      </c>
      <c r="G218" s="999">
        <v>0</v>
      </c>
      <c r="H218" s="1002">
        <v>30296806.77</v>
      </c>
      <c r="I218" s="965">
        <f t="shared" si="3"/>
        <v>0</v>
      </c>
    </row>
    <row r="219" spans="1:9" ht="12.6" customHeight="1">
      <c r="A219" s="902">
        <v>22</v>
      </c>
      <c r="B219" s="903">
        <v>12</v>
      </c>
      <c r="C219" s="909" t="s">
        <v>483</v>
      </c>
      <c r="D219" s="995">
        <v>20182587</v>
      </c>
      <c r="E219" s="996">
        <v>0</v>
      </c>
      <c r="F219" s="907">
        <v>129489.43</v>
      </c>
      <c r="G219" s="999">
        <v>0</v>
      </c>
      <c r="H219" s="1002">
        <v>20312076.43</v>
      </c>
      <c r="I219" s="965">
        <f t="shared" si="3"/>
        <v>0</v>
      </c>
    </row>
    <row r="220" spans="1:9" ht="12.6" customHeight="1">
      <c r="A220" s="902">
        <v>22</v>
      </c>
      <c r="B220" s="903">
        <v>13</v>
      </c>
      <c r="C220" s="909" t="s">
        <v>482</v>
      </c>
      <c r="D220" s="995">
        <v>71464695</v>
      </c>
      <c r="E220" s="996">
        <v>70790</v>
      </c>
      <c r="F220" s="907">
        <v>324773.5</v>
      </c>
      <c r="G220" s="999">
        <v>0</v>
      </c>
      <c r="H220" s="1002">
        <v>71789468.5</v>
      </c>
      <c r="I220" s="965">
        <f t="shared" si="3"/>
        <v>9.905590445743874E-2</v>
      </c>
    </row>
    <row r="221" spans="1:9" ht="12.6" customHeight="1">
      <c r="A221" s="902">
        <v>22</v>
      </c>
      <c r="B221" s="903">
        <v>14</v>
      </c>
      <c r="C221" s="909" t="s">
        <v>481</v>
      </c>
      <c r="D221" s="995">
        <v>65905732</v>
      </c>
      <c r="E221" s="996">
        <v>139277</v>
      </c>
      <c r="F221" s="907">
        <v>875360.36</v>
      </c>
      <c r="G221" s="999">
        <v>0</v>
      </c>
      <c r="H221" s="1002">
        <v>66781092.359999999</v>
      </c>
      <c r="I221" s="965">
        <f t="shared" si="3"/>
        <v>0.21132759742354426</v>
      </c>
    </row>
    <row r="222" spans="1:9" ht="12.6" customHeight="1">
      <c r="A222" s="902">
        <v>22</v>
      </c>
      <c r="B222" s="903">
        <v>15</v>
      </c>
      <c r="C222" s="909" t="s">
        <v>480</v>
      </c>
      <c r="D222" s="995">
        <v>97305998</v>
      </c>
      <c r="E222" s="996">
        <v>93359</v>
      </c>
      <c r="F222" s="907">
        <v>796713.76</v>
      </c>
      <c r="G222" s="999">
        <v>0</v>
      </c>
      <c r="H222" s="1002">
        <v>98102711.760000005</v>
      </c>
      <c r="I222" s="965">
        <f t="shared" si="3"/>
        <v>9.5943725894471588E-2</v>
      </c>
    </row>
    <row r="223" spans="1:9" ht="12.6" customHeight="1">
      <c r="A223" s="902">
        <v>22</v>
      </c>
      <c r="B223" s="903">
        <v>16</v>
      </c>
      <c r="C223" s="909" t="s">
        <v>479</v>
      </c>
      <c r="D223" s="995">
        <v>20426812</v>
      </c>
      <c r="E223" s="996">
        <v>75779</v>
      </c>
      <c r="F223" s="907">
        <v>247821.81</v>
      </c>
      <c r="G223" s="999">
        <v>0</v>
      </c>
      <c r="H223" s="1002">
        <v>20674633.809999999</v>
      </c>
      <c r="I223" s="965">
        <f t="shared" si="3"/>
        <v>0.37097810465969927</v>
      </c>
    </row>
    <row r="224" spans="1:9" ht="12.6" customHeight="1">
      <c r="A224" s="902">
        <v>24</v>
      </c>
      <c r="B224" s="903">
        <v>1</v>
      </c>
      <c r="C224" s="909" t="s">
        <v>478</v>
      </c>
      <c r="D224" s="995">
        <v>35700288</v>
      </c>
      <c r="E224" s="996">
        <v>74829</v>
      </c>
      <c r="F224" s="907">
        <v>324935.33</v>
      </c>
      <c r="G224" s="999">
        <v>0</v>
      </c>
      <c r="H224" s="1002">
        <v>36025223.329999998</v>
      </c>
      <c r="I224" s="965">
        <f t="shared" si="3"/>
        <v>0.20960335109901634</v>
      </c>
    </row>
    <row r="225" spans="1:9" ht="12.6" customHeight="1">
      <c r="A225" s="902">
        <v>24</v>
      </c>
      <c r="B225" s="903">
        <v>2</v>
      </c>
      <c r="C225" s="909" t="s">
        <v>477</v>
      </c>
      <c r="D225" s="995">
        <v>26813933</v>
      </c>
      <c r="E225" s="996">
        <v>0</v>
      </c>
      <c r="F225" s="907">
        <v>288214.84999999998</v>
      </c>
      <c r="G225" s="999">
        <v>0</v>
      </c>
      <c r="H225" s="1002">
        <v>27102147.850000001</v>
      </c>
      <c r="I225" s="965">
        <f t="shared" si="3"/>
        <v>0</v>
      </c>
    </row>
    <row r="226" spans="1:9" ht="12.6" customHeight="1">
      <c r="A226" s="902">
        <v>24</v>
      </c>
      <c r="B226" s="903">
        <v>3</v>
      </c>
      <c r="C226" s="909" t="s">
        <v>476</v>
      </c>
      <c r="D226" s="995">
        <v>84372734</v>
      </c>
      <c r="E226" s="996">
        <v>0</v>
      </c>
      <c r="F226" s="907">
        <v>709371.1</v>
      </c>
      <c r="G226" s="999">
        <v>0</v>
      </c>
      <c r="H226" s="1002">
        <v>85082105.099999994</v>
      </c>
      <c r="I226" s="965">
        <f t="shared" si="3"/>
        <v>0</v>
      </c>
    </row>
    <row r="227" spans="1:9" ht="12.6" customHeight="1">
      <c r="A227" s="902">
        <v>24</v>
      </c>
      <c r="B227" s="903">
        <v>4</v>
      </c>
      <c r="C227" s="909" t="s">
        <v>475</v>
      </c>
      <c r="D227" s="995">
        <v>11920858</v>
      </c>
      <c r="E227" s="996">
        <v>0</v>
      </c>
      <c r="F227" s="907">
        <v>95732.04</v>
      </c>
      <c r="G227" s="999">
        <v>0</v>
      </c>
      <c r="H227" s="1002">
        <v>12016590.039999999</v>
      </c>
      <c r="I227" s="965">
        <f t="shared" si="3"/>
        <v>0</v>
      </c>
    </row>
    <row r="228" spans="1:9" ht="12.6" customHeight="1">
      <c r="A228" s="902">
        <v>24</v>
      </c>
      <c r="B228" s="903">
        <v>5</v>
      </c>
      <c r="C228" s="909" t="s">
        <v>474</v>
      </c>
      <c r="D228" s="995">
        <v>26353768</v>
      </c>
      <c r="E228" s="996">
        <v>0</v>
      </c>
      <c r="F228" s="907">
        <v>159444.13</v>
      </c>
      <c r="G228" s="999">
        <v>0</v>
      </c>
      <c r="H228" s="1002">
        <v>26513212.129999999</v>
      </c>
      <c r="I228" s="965">
        <f t="shared" si="3"/>
        <v>0</v>
      </c>
    </row>
    <row r="229" spans="1:9" ht="12.6" customHeight="1">
      <c r="A229" s="902">
        <v>24</v>
      </c>
      <c r="B229" s="903">
        <v>6</v>
      </c>
      <c r="C229" s="909" t="s">
        <v>473</v>
      </c>
      <c r="D229" s="995">
        <v>18461929</v>
      </c>
      <c r="E229" s="996">
        <v>0</v>
      </c>
      <c r="F229" s="907">
        <v>151789.04999999999</v>
      </c>
      <c r="G229" s="999">
        <v>0</v>
      </c>
      <c r="H229" s="1002">
        <v>18613718.050000001</v>
      </c>
      <c r="I229" s="965">
        <f t="shared" si="3"/>
        <v>0</v>
      </c>
    </row>
    <row r="230" spans="1:9" ht="12.6" customHeight="1">
      <c r="A230" s="902">
        <v>24</v>
      </c>
      <c r="B230" s="903">
        <v>7</v>
      </c>
      <c r="C230" s="909" t="s">
        <v>472</v>
      </c>
      <c r="D230" s="995">
        <v>34729982</v>
      </c>
      <c r="E230" s="996">
        <v>28427</v>
      </c>
      <c r="F230" s="907">
        <v>196001.74</v>
      </c>
      <c r="G230" s="999">
        <v>0</v>
      </c>
      <c r="H230" s="1002">
        <v>34925983.740000002</v>
      </c>
      <c r="I230" s="965">
        <f t="shared" si="3"/>
        <v>8.1851467703035377E-2</v>
      </c>
    </row>
    <row r="231" spans="1:9" ht="12.6" customHeight="1">
      <c r="A231" s="902">
        <v>24</v>
      </c>
      <c r="B231" s="903">
        <v>8</v>
      </c>
      <c r="C231" s="909" t="s">
        <v>471</v>
      </c>
      <c r="D231" s="995">
        <v>40380071</v>
      </c>
      <c r="E231" s="996">
        <v>0</v>
      </c>
      <c r="F231" s="907">
        <v>330696.05</v>
      </c>
      <c r="G231" s="999">
        <v>0</v>
      </c>
      <c r="H231" s="1002">
        <v>40710767.049999997</v>
      </c>
      <c r="I231" s="965">
        <f t="shared" si="3"/>
        <v>0</v>
      </c>
    </row>
    <row r="232" spans="1:9" ht="12.6" customHeight="1">
      <c r="A232" s="902">
        <v>24</v>
      </c>
      <c r="B232" s="903">
        <v>9</v>
      </c>
      <c r="C232" s="909" t="s">
        <v>470</v>
      </c>
      <c r="D232" s="995">
        <v>19729297</v>
      </c>
      <c r="E232" s="996">
        <v>0</v>
      </c>
      <c r="F232" s="907">
        <v>35694.51</v>
      </c>
      <c r="G232" s="999">
        <v>0</v>
      </c>
      <c r="H232" s="1002">
        <v>19764991.510000002</v>
      </c>
      <c r="I232" s="965">
        <f t="shared" si="3"/>
        <v>0</v>
      </c>
    </row>
    <row r="233" spans="1:9" ht="12.6" customHeight="1">
      <c r="A233" s="902">
        <v>24</v>
      </c>
      <c r="B233" s="903">
        <v>10</v>
      </c>
      <c r="C233" s="909" t="s">
        <v>469</v>
      </c>
      <c r="D233" s="995">
        <v>41123754</v>
      </c>
      <c r="E233" s="996">
        <v>0</v>
      </c>
      <c r="F233" s="907">
        <v>588307.34</v>
      </c>
      <c r="G233" s="999">
        <v>291832.83</v>
      </c>
      <c r="H233" s="1002">
        <v>42003894.170000002</v>
      </c>
      <c r="I233" s="965">
        <f t="shared" si="3"/>
        <v>0</v>
      </c>
    </row>
    <row r="234" spans="1:9" ht="12.6" customHeight="1">
      <c r="A234" s="902">
        <v>24</v>
      </c>
      <c r="B234" s="903">
        <v>11</v>
      </c>
      <c r="C234" s="909" t="s">
        <v>468</v>
      </c>
      <c r="D234" s="995">
        <v>53819005</v>
      </c>
      <c r="E234" s="996">
        <v>12513</v>
      </c>
      <c r="F234" s="907">
        <v>294457.61</v>
      </c>
      <c r="G234" s="999">
        <v>0</v>
      </c>
      <c r="H234" s="1002">
        <v>54113462.609999999</v>
      </c>
      <c r="I234" s="965">
        <f t="shared" si="3"/>
        <v>2.3250151131556596E-2</v>
      </c>
    </row>
    <row r="235" spans="1:9" ht="12.6" customHeight="1">
      <c r="A235" s="902">
        <v>24</v>
      </c>
      <c r="B235" s="903">
        <v>12</v>
      </c>
      <c r="C235" s="909" t="s">
        <v>467</v>
      </c>
      <c r="D235" s="995">
        <v>13025606</v>
      </c>
      <c r="E235" s="996">
        <v>0</v>
      </c>
      <c r="F235" s="907">
        <v>70890.429999999993</v>
      </c>
      <c r="G235" s="999">
        <v>0</v>
      </c>
      <c r="H235" s="1002">
        <v>13096496.43</v>
      </c>
      <c r="I235" s="965">
        <f t="shared" si="3"/>
        <v>0</v>
      </c>
    </row>
    <row r="236" spans="1:9" ht="12.6" customHeight="1">
      <c r="A236" s="902">
        <v>24</v>
      </c>
      <c r="B236" s="903">
        <v>13</v>
      </c>
      <c r="C236" s="909" t="s">
        <v>466</v>
      </c>
      <c r="D236" s="995">
        <v>82193607</v>
      </c>
      <c r="E236" s="996">
        <v>0</v>
      </c>
      <c r="F236" s="907">
        <v>140746.79999999999</v>
      </c>
      <c r="G236" s="999">
        <v>0</v>
      </c>
      <c r="H236" s="1002">
        <v>82334353.799999997</v>
      </c>
      <c r="I236" s="965">
        <f t="shared" si="3"/>
        <v>0</v>
      </c>
    </row>
    <row r="237" spans="1:9" ht="12.6" customHeight="1">
      <c r="A237" s="902">
        <v>24</v>
      </c>
      <c r="B237" s="903">
        <v>14</v>
      </c>
      <c r="C237" s="909" t="s">
        <v>465</v>
      </c>
      <c r="D237" s="995">
        <v>16446997</v>
      </c>
      <c r="E237" s="996">
        <v>0</v>
      </c>
      <c r="F237" s="907">
        <v>250600</v>
      </c>
      <c r="G237" s="999">
        <v>0</v>
      </c>
      <c r="H237" s="1002">
        <v>16697597</v>
      </c>
      <c r="I237" s="965">
        <f t="shared" si="3"/>
        <v>0</v>
      </c>
    </row>
    <row r="238" spans="1:9" ht="12.6" customHeight="1">
      <c r="A238" s="902">
        <v>24</v>
      </c>
      <c r="B238" s="903">
        <v>15</v>
      </c>
      <c r="C238" s="909" t="s">
        <v>464</v>
      </c>
      <c r="D238" s="995">
        <v>71294305</v>
      </c>
      <c r="E238" s="996">
        <v>0</v>
      </c>
      <c r="F238" s="907">
        <v>520512.39</v>
      </c>
      <c r="G238" s="999">
        <v>0</v>
      </c>
      <c r="H238" s="1002">
        <v>71814817.390000001</v>
      </c>
      <c r="I238" s="965">
        <f t="shared" si="3"/>
        <v>0</v>
      </c>
    </row>
    <row r="239" spans="1:9" ht="12.6" customHeight="1">
      <c r="A239" s="902">
        <v>24</v>
      </c>
      <c r="B239" s="903">
        <v>16</v>
      </c>
      <c r="C239" s="909" t="s">
        <v>463</v>
      </c>
      <c r="D239" s="995">
        <v>42981669</v>
      </c>
      <c r="E239" s="996">
        <v>0</v>
      </c>
      <c r="F239" s="907">
        <v>333237.12</v>
      </c>
      <c r="G239" s="999">
        <v>0</v>
      </c>
      <c r="H239" s="1002">
        <v>43314906.119999997</v>
      </c>
      <c r="I239" s="965">
        <f t="shared" si="3"/>
        <v>0</v>
      </c>
    </row>
    <row r="240" spans="1:9" ht="12.6" customHeight="1">
      <c r="A240" s="902">
        <v>24</v>
      </c>
      <c r="B240" s="903">
        <v>17</v>
      </c>
      <c r="C240" s="909" t="s">
        <v>462</v>
      </c>
      <c r="D240" s="995">
        <v>89674221</v>
      </c>
      <c r="E240" s="996">
        <v>0</v>
      </c>
      <c r="F240" s="907">
        <v>1061709.71</v>
      </c>
      <c r="G240" s="999">
        <v>0</v>
      </c>
      <c r="H240" s="1002">
        <v>90735930.709999993</v>
      </c>
      <c r="I240" s="965">
        <f t="shared" si="3"/>
        <v>0</v>
      </c>
    </row>
    <row r="241" spans="1:9" ht="12.6" customHeight="1">
      <c r="A241" s="902">
        <v>26</v>
      </c>
      <c r="B241" s="903">
        <v>1</v>
      </c>
      <c r="C241" s="909" t="s">
        <v>461</v>
      </c>
      <c r="D241" s="995">
        <v>41978055</v>
      </c>
      <c r="E241" s="996">
        <v>0</v>
      </c>
      <c r="F241" s="907">
        <v>410561.91</v>
      </c>
      <c r="G241" s="999">
        <v>0</v>
      </c>
      <c r="H241" s="1002">
        <v>42388616.909999996</v>
      </c>
      <c r="I241" s="965">
        <f t="shared" si="3"/>
        <v>0</v>
      </c>
    </row>
    <row r="242" spans="1:9" ht="12.6" customHeight="1">
      <c r="A242" s="902">
        <v>26</v>
      </c>
      <c r="B242" s="903">
        <v>2</v>
      </c>
      <c r="C242" s="909" t="s">
        <v>460</v>
      </c>
      <c r="D242" s="995">
        <v>33696606</v>
      </c>
      <c r="E242" s="996">
        <v>0</v>
      </c>
      <c r="F242" s="907">
        <v>114438.88</v>
      </c>
      <c r="G242" s="999">
        <v>0</v>
      </c>
      <c r="H242" s="1002">
        <v>33811044.880000003</v>
      </c>
      <c r="I242" s="965">
        <f t="shared" si="3"/>
        <v>0</v>
      </c>
    </row>
    <row r="243" spans="1:9" ht="12.6" customHeight="1">
      <c r="A243" s="902">
        <v>26</v>
      </c>
      <c r="B243" s="903">
        <v>3</v>
      </c>
      <c r="C243" s="909" t="s">
        <v>459</v>
      </c>
      <c r="D243" s="995">
        <v>20956529</v>
      </c>
      <c r="E243" s="996">
        <v>71150</v>
      </c>
      <c r="F243" s="907">
        <v>87677.33</v>
      </c>
      <c r="G243" s="999">
        <v>0</v>
      </c>
      <c r="H243" s="1002">
        <v>21044206.329999998</v>
      </c>
      <c r="I243" s="965">
        <f t="shared" si="3"/>
        <v>0.33951233050091456</v>
      </c>
    </row>
    <row r="244" spans="1:9" ht="12.6" customHeight="1">
      <c r="A244" s="902">
        <v>26</v>
      </c>
      <c r="B244" s="903">
        <v>4</v>
      </c>
      <c r="C244" s="909" t="s">
        <v>458</v>
      </c>
      <c r="D244" s="995">
        <v>30021653</v>
      </c>
      <c r="E244" s="996">
        <v>0</v>
      </c>
      <c r="F244" s="907">
        <v>228881.08</v>
      </c>
      <c r="G244" s="999">
        <v>0</v>
      </c>
      <c r="H244" s="1002">
        <v>30250534.079999998</v>
      </c>
      <c r="I244" s="965">
        <f t="shared" si="3"/>
        <v>0</v>
      </c>
    </row>
    <row r="245" spans="1:9" ht="12.6" customHeight="1">
      <c r="A245" s="902">
        <v>26</v>
      </c>
      <c r="B245" s="903">
        <v>5</v>
      </c>
      <c r="C245" s="909" t="s">
        <v>457</v>
      </c>
      <c r="D245" s="995">
        <v>35346874</v>
      </c>
      <c r="E245" s="996">
        <v>0</v>
      </c>
      <c r="F245" s="907">
        <v>118219.84</v>
      </c>
      <c r="G245" s="999">
        <v>150000</v>
      </c>
      <c r="H245" s="1002">
        <v>35615093.840000004</v>
      </c>
      <c r="I245" s="965">
        <f t="shared" si="3"/>
        <v>0</v>
      </c>
    </row>
    <row r="246" spans="1:9" ht="12.6" customHeight="1">
      <c r="A246" s="902">
        <v>26</v>
      </c>
      <c r="B246" s="903">
        <v>6</v>
      </c>
      <c r="C246" s="909" t="s">
        <v>456</v>
      </c>
      <c r="D246" s="995">
        <v>32669774</v>
      </c>
      <c r="E246" s="996">
        <v>33425</v>
      </c>
      <c r="F246" s="907">
        <v>236423.6</v>
      </c>
      <c r="G246" s="999">
        <v>505014</v>
      </c>
      <c r="H246" s="1002">
        <v>33411211.600000001</v>
      </c>
      <c r="I246" s="965">
        <f t="shared" si="3"/>
        <v>0.10231169643230467</v>
      </c>
    </row>
    <row r="247" spans="1:9" ht="12.6" customHeight="1">
      <c r="A247" s="902">
        <v>26</v>
      </c>
      <c r="B247" s="903">
        <v>7</v>
      </c>
      <c r="C247" s="909" t="s">
        <v>455</v>
      </c>
      <c r="D247" s="995">
        <v>64699063</v>
      </c>
      <c r="E247" s="996">
        <v>0</v>
      </c>
      <c r="F247" s="907">
        <v>457638.2</v>
      </c>
      <c r="G247" s="999">
        <v>0</v>
      </c>
      <c r="H247" s="1002">
        <v>65156701.200000003</v>
      </c>
      <c r="I247" s="965">
        <f t="shared" si="3"/>
        <v>0</v>
      </c>
    </row>
    <row r="248" spans="1:9" ht="12.6" customHeight="1">
      <c r="A248" s="902">
        <v>26</v>
      </c>
      <c r="B248" s="903">
        <v>8</v>
      </c>
      <c r="C248" s="909" t="s">
        <v>454</v>
      </c>
      <c r="D248" s="995">
        <v>18545518</v>
      </c>
      <c r="E248" s="996">
        <v>0</v>
      </c>
      <c r="F248" s="907">
        <v>162555.60999999999</v>
      </c>
      <c r="G248" s="999">
        <v>0</v>
      </c>
      <c r="H248" s="1002">
        <v>18708073.609999999</v>
      </c>
      <c r="I248" s="965">
        <f t="shared" si="3"/>
        <v>0</v>
      </c>
    </row>
    <row r="249" spans="1:9" ht="12.6" customHeight="1">
      <c r="A249" s="902">
        <v>26</v>
      </c>
      <c r="B249" s="903">
        <v>9</v>
      </c>
      <c r="C249" s="909" t="s">
        <v>453</v>
      </c>
      <c r="D249" s="995">
        <v>37158629</v>
      </c>
      <c r="E249" s="996">
        <v>16831</v>
      </c>
      <c r="F249" s="907">
        <v>711247.28</v>
      </c>
      <c r="G249" s="999">
        <v>0</v>
      </c>
      <c r="H249" s="1002">
        <v>37869876.280000001</v>
      </c>
      <c r="I249" s="965">
        <f t="shared" si="3"/>
        <v>4.5294997293899082E-2</v>
      </c>
    </row>
    <row r="250" spans="1:9" ht="12.6" customHeight="1">
      <c r="A250" s="902">
        <v>26</v>
      </c>
      <c r="B250" s="903">
        <v>10</v>
      </c>
      <c r="C250" s="909" t="s">
        <v>452</v>
      </c>
      <c r="D250" s="995">
        <v>46981221</v>
      </c>
      <c r="E250" s="996">
        <v>79785</v>
      </c>
      <c r="F250" s="907">
        <v>352689.56</v>
      </c>
      <c r="G250" s="999">
        <v>0</v>
      </c>
      <c r="H250" s="1002">
        <v>47333910.560000002</v>
      </c>
      <c r="I250" s="965">
        <f t="shared" si="3"/>
        <v>0.16982317253951318</v>
      </c>
    </row>
    <row r="251" spans="1:9" ht="12.6" customHeight="1">
      <c r="A251" s="902">
        <v>26</v>
      </c>
      <c r="B251" s="903">
        <v>11</v>
      </c>
      <c r="C251" s="909" t="s">
        <v>451</v>
      </c>
      <c r="D251" s="995">
        <v>41078369</v>
      </c>
      <c r="E251" s="996">
        <v>0</v>
      </c>
      <c r="F251" s="907">
        <v>87579.36</v>
      </c>
      <c r="G251" s="999">
        <v>0</v>
      </c>
      <c r="H251" s="1002">
        <v>41165948.359999999</v>
      </c>
      <c r="I251" s="965">
        <f t="shared" si="3"/>
        <v>0</v>
      </c>
    </row>
    <row r="252" spans="1:9" ht="12.6" customHeight="1">
      <c r="A252" s="902">
        <v>26</v>
      </c>
      <c r="B252" s="903">
        <v>12</v>
      </c>
      <c r="C252" s="909" t="s">
        <v>450</v>
      </c>
      <c r="D252" s="995">
        <v>28194976</v>
      </c>
      <c r="E252" s="996">
        <v>0</v>
      </c>
      <c r="F252" s="907">
        <v>217324.33</v>
      </c>
      <c r="G252" s="999">
        <v>110600</v>
      </c>
      <c r="H252" s="1002">
        <v>28522900.329999998</v>
      </c>
      <c r="I252" s="965">
        <f t="shared" si="3"/>
        <v>0</v>
      </c>
    </row>
    <row r="253" spans="1:9" ht="12.6" customHeight="1">
      <c r="A253" s="902">
        <v>26</v>
      </c>
      <c r="B253" s="903">
        <v>13</v>
      </c>
      <c r="C253" s="909" t="s">
        <v>449</v>
      </c>
      <c r="D253" s="995">
        <v>21394645</v>
      </c>
      <c r="E253" s="996">
        <v>0</v>
      </c>
      <c r="F253" s="907">
        <v>134210</v>
      </c>
      <c r="G253" s="999">
        <v>0</v>
      </c>
      <c r="H253" s="1002">
        <v>21528855</v>
      </c>
      <c r="I253" s="965">
        <f t="shared" si="3"/>
        <v>0</v>
      </c>
    </row>
    <row r="254" spans="1:9" ht="12.6" customHeight="1">
      <c r="A254" s="902">
        <v>28</v>
      </c>
      <c r="B254" s="903">
        <v>1</v>
      </c>
      <c r="C254" s="909" t="s">
        <v>448</v>
      </c>
      <c r="D254" s="995">
        <v>25150027</v>
      </c>
      <c r="E254" s="996">
        <v>29251</v>
      </c>
      <c r="F254" s="907">
        <v>1044771.97</v>
      </c>
      <c r="G254" s="999">
        <v>0</v>
      </c>
      <c r="H254" s="1002">
        <v>26194798.969999999</v>
      </c>
      <c r="I254" s="965">
        <f t="shared" si="3"/>
        <v>0.1163060381605157</v>
      </c>
    </row>
    <row r="255" spans="1:9" ht="12.6" customHeight="1">
      <c r="A255" s="902">
        <v>28</v>
      </c>
      <c r="B255" s="903">
        <v>2</v>
      </c>
      <c r="C255" s="909" t="s">
        <v>447</v>
      </c>
      <c r="D255" s="995">
        <v>17530584</v>
      </c>
      <c r="E255" s="996">
        <v>0</v>
      </c>
      <c r="F255" s="907">
        <v>125779.18</v>
      </c>
      <c r="G255" s="999">
        <v>0</v>
      </c>
      <c r="H255" s="1002">
        <v>17656363.18</v>
      </c>
      <c r="I255" s="965">
        <f t="shared" si="3"/>
        <v>0</v>
      </c>
    </row>
    <row r="256" spans="1:9" ht="12.6" customHeight="1">
      <c r="A256" s="902">
        <v>28</v>
      </c>
      <c r="B256" s="903">
        <v>3</v>
      </c>
      <c r="C256" s="909" t="s">
        <v>446</v>
      </c>
      <c r="D256" s="995">
        <v>30977123</v>
      </c>
      <c r="E256" s="996">
        <v>0</v>
      </c>
      <c r="F256" s="907">
        <v>709456.11</v>
      </c>
      <c r="G256" s="999">
        <v>0</v>
      </c>
      <c r="H256" s="1002">
        <v>31686579.109999999</v>
      </c>
      <c r="I256" s="965">
        <f t="shared" si="3"/>
        <v>0</v>
      </c>
    </row>
    <row r="257" spans="1:9" ht="12.6" customHeight="1">
      <c r="A257" s="902">
        <v>28</v>
      </c>
      <c r="B257" s="903">
        <v>4</v>
      </c>
      <c r="C257" s="909" t="s">
        <v>445</v>
      </c>
      <c r="D257" s="995">
        <v>16626608</v>
      </c>
      <c r="E257" s="996">
        <v>0</v>
      </c>
      <c r="F257" s="907">
        <v>23420</v>
      </c>
      <c r="G257" s="999">
        <v>0</v>
      </c>
      <c r="H257" s="1002">
        <v>16650028</v>
      </c>
      <c r="I257" s="965">
        <f t="shared" si="3"/>
        <v>0</v>
      </c>
    </row>
    <row r="258" spans="1:9" ht="12.6" customHeight="1">
      <c r="A258" s="902">
        <v>28</v>
      </c>
      <c r="B258" s="903">
        <v>5</v>
      </c>
      <c r="C258" s="909" t="s">
        <v>444</v>
      </c>
      <c r="D258" s="995">
        <v>57209895</v>
      </c>
      <c r="E258" s="996">
        <v>47967</v>
      </c>
      <c r="F258" s="907">
        <v>1588747.33</v>
      </c>
      <c r="G258" s="999">
        <v>0</v>
      </c>
      <c r="H258" s="1002">
        <v>58798642.329999998</v>
      </c>
      <c r="I258" s="965">
        <f t="shared" si="3"/>
        <v>8.384388749533625E-2</v>
      </c>
    </row>
    <row r="259" spans="1:9" ht="12.6" customHeight="1">
      <c r="A259" s="902">
        <v>28</v>
      </c>
      <c r="B259" s="903">
        <v>6</v>
      </c>
      <c r="C259" s="909" t="s">
        <v>443</v>
      </c>
      <c r="D259" s="995">
        <v>37251295</v>
      </c>
      <c r="E259" s="996">
        <v>40091</v>
      </c>
      <c r="F259" s="907">
        <v>619992.87</v>
      </c>
      <c r="G259" s="999">
        <v>0</v>
      </c>
      <c r="H259" s="1002">
        <v>37871287.869999997</v>
      </c>
      <c r="I259" s="965">
        <f t="shared" si="3"/>
        <v>0.10762310410953498</v>
      </c>
    </row>
    <row r="260" spans="1:9" ht="12.6" customHeight="1">
      <c r="A260" s="902">
        <v>28</v>
      </c>
      <c r="B260" s="903">
        <v>7</v>
      </c>
      <c r="C260" s="909" t="s">
        <v>442</v>
      </c>
      <c r="D260" s="995">
        <v>56875831</v>
      </c>
      <c r="E260" s="996">
        <v>100059</v>
      </c>
      <c r="F260" s="907">
        <v>365765.05</v>
      </c>
      <c r="G260" s="999">
        <v>2315295</v>
      </c>
      <c r="H260" s="1002">
        <v>59556891.049999997</v>
      </c>
      <c r="I260" s="965">
        <f t="shared" si="3"/>
        <v>0.17592534164467855</v>
      </c>
    </row>
    <row r="261" spans="1:9" ht="12.6" customHeight="1">
      <c r="A261" s="902">
        <v>28</v>
      </c>
      <c r="B261" s="903">
        <v>8</v>
      </c>
      <c r="C261" s="909" t="s">
        <v>441</v>
      </c>
      <c r="D261" s="995">
        <v>27701648</v>
      </c>
      <c r="E261" s="996">
        <v>47078</v>
      </c>
      <c r="F261" s="907">
        <v>603254.18000000005</v>
      </c>
      <c r="G261" s="999">
        <v>0</v>
      </c>
      <c r="H261" s="1002">
        <v>28304902.18</v>
      </c>
      <c r="I261" s="965">
        <f t="shared" si="3"/>
        <v>0.16994656779986519</v>
      </c>
    </row>
    <row r="262" spans="1:9" ht="12.6" customHeight="1">
      <c r="A262" s="902">
        <v>28</v>
      </c>
      <c r="B262" s="903">
        <v>9</v>
      </c>
      <c r="C262" s="909" t="s">
        <v>440</v>
      </c>
      <c r="D262" s="995">
        <v>23618800</v>
      </c>
      <c r="E262" s="996">
        <v>51588</v>
      </c>
      <c r="F262" s="907">
        <v>145491.60999999999</v>
      </c>
      <c r="G262" s="999">
        <v>0</v>
      </c>
      <c r="H262" s="1002">
        <v>23764291.609999999</v>
      </c>
      <c r="I262" s="965">
        <f t="shared" si="3"/>
        <v>0.21841922536284655</v>
      </c>
    </row>
    <row r="263" spans="1:9" ht="12.6" customHeight="1">
      <c r="A263" s="902">
        <v>28</v>
      </c>
      <c r="B263" s="903">
        <v>10</v>
      </c>
      <c r="C263" s="909" t="s">
        <v>439</v>
      </c>
      <c r="D263" s="995">
        <v>21921985</v>
      </c>
      <c r="E263" s="996">
        <v>9239</v>
      </c>
      <c r="F263" s="907">
        <v>91385.89</v>
      </c>
      <c r="G263" s="999">
        <v>0</v>
      </c>
      <c r="H263" s="1002">
        <v>22013370.890000001</v>
      </c>
      <c r="I263" s="965">
        <f t="shared" si="3"/>
        <v>4.2144906129622843E-2</v>
      </c>
    </row>
    <row r="264" spans="1:9" ht="12.6" customHeight="1">
      <c r="A264" s="902">
        <v>28</v>
      </c>
      <c r="B264" s="903">
        <v>11</v>
      </c>
      <c r="C264" s="909" t="s">
        <v>438</v>
      </c>
      <c r="D264" s="995">
        <v>18639175</v>
      </c>
      <c r="E264" s="996">
        <v>0</v>
      </c>
      <c r="F264" s="907">
        <v>857033.49</v>
      </c>
      <c r="G264" s="999">
        <v>0</v>
      </c>
      <c r="H264" s="1002">
        <v>19496208.489999998</v>
      </c>
      <c r="I264" s="965">
        <f t="shared" si="3"/>
        <v>0</v>
      </c>
    </row>
    <row r="265" spans="1:9" ht="12.6" customHeight="1">
      <c r="A265" s="902">
        <v>28</v>
      </c>
      <c r="B265" s="903">
        <v>12</v>
      </c>
      <c r="C265" s="909" t="s">
        <v>437</v>
      </c>
      <c r="D265" s="995">
        <v>15243555</v>
      </c>
      <c r="E265" s="996">
        <v>22077</v>
      </c>
      <c r="F265" s="907">
        <v>16283.87</v>
      </c>
      <c r="G265" s="999">
        <v>0</v>
      </c>
      <c r="H265" s="1002">
        <v>15259838.869999999</v>
      </c>
      <c r="I265" s="965">
        <f t="shared" si="3"/>
        <v>0.14482842092936982</v>
      </c>
    </row>
    <row r="266" spans="1:9" ht="12.6" customHeight="1">
      <c r="A266" s="902">
        <v>28</v>
      </c>
      <c r="B266" s="903">
        <v>13</v>
      </c>
      <c r="C266" s="909" t="s">
        <v>436</v>
      </c>
      <c r="D266" s="995">
        <v>23149606</v>
      </c>
      <c r="E266" s="996">
        <v>35453</v>
      </c>
      <c r="F266" s="907">
        <v>292063.90000000002</v>
      </c>
      <c r="G266" s="999">
        <v>0</v>
      </c>
      <c r="H266" s="1002">
        <v>23441669.899999999</v>
      </c>
      <c r="I266" s="965">
        <f t="shared" ref="I266:I321" si="4">E266/D266*100</f>
        <v>0.15314731490462516</v>
      </c>
    </row>
    <row r="267" spans="1:9" ht="12.6" customHeight="1">
      <c r="A267" s="902">
        <v>28</v>
      </c>
      <c r="B267" s="903">
        <v>14</v>
      </c>
      <c r="C267" s="909" t="s">
        <v>435</v>
      </c>
      <c r="D267" s="995">
        <v>33027409</v>
      </c>
      <c r="E267" s="996">
        <v>10853</v>
      </c>
      <c r="F267" s="907">
        <v>215288.14</v>
      </c>
      <c r="G267" s="999">
        <v>111076.13</v>
      </c>
      <c r="H267" s="1002">
        <v>33353773.27</v>
      </c>
      <c r="I267" s="965">
        <f t="shared" si="4"/>
        <v>3.2860585582114542E-2</v>
      </c>
    </row>
    <row r="268" spans="1:9" ht="12.6" customHeight="1">
      <c r="A268" s="902">
        <v>28</v>
      </c>
      <c r="B268" s="903">
        <v>15</v>
      </c>
      <c r="C268" s="909" t="s">
        <v>434</v>
      </c>
      <c r="D268" s="995">
        <v>67204682</v>
      </c>
      <c r="E268" s="996">
        <v>138974</v>
      </c>
      <c r="F268" s="907">
        <v>589941.21</v>
      </c>
      <c r="G268" s="999">
        <v>0</v>
      </c>
      <c r="H268" s="1002">
        <v>67794623.209999993</v>
      </c>
      <c r="I268" s="965">
        <f t="shared" si="4"/>
        <v>0.20679213986906447</v>
      </c>
    </row>
    <row r="269" spans="1:9" ht="12.6" customHeight="1">
      <c r="A269" s="902">
        <v>28</v>
      </c>
      <c r="B269" s="903">
        <v>16</v>
      </c>
      <c r="C269" s="909" t="s">
        <v>433</v>
      </c>
      <c r="D269" s="995">
        <v>28691908</v>
      </c>
      <c r="E269" s="996">
        <v>0</v>
      </c>
      <c r="F269" s="907">
        <v>593597.1</v>
      </c>
      <c r="G269" s="999">
        <v>0</v>
      </c>
      <c r="H269" s="1002">
        <v>29285505.100000001</v>
      </c>
      <c r="I269" s="965">
        <f t="shared" si="4"/>
        <v>0</v>
      </c>
    </row>
    <row r="270" spans="1:9" ht="12.6" customHeight="1">
      <c r="A270" s="902">
        <v>28</v>
      </c>
      <c r="B270" s="903">
        <v>17</v>
      </c>
      <c r="C270" s="909" t="s">
        <v>432</v>
      </c>
      <c r="D270" s="995">
        <v>29339520</v>
      </c>
      <c r="E270" s="996">
        <v>23121</v>
      </c>
      <c r="F270" s="907">
        <v>226127.99</v>
      </c>
      <c r="G270" s="999">
        <v>0</v>
      </c>
      <c r="H270" s="1002">
        <v>29565647.989999998</v>
      </c>
      <c r="I270" s="965">
        <f t="shared" si="4"/>
        <v>7.8804970224461743E-2</v>
      </c>
    </row>
    <row r="271" spans="1:9" ht="12.6" customHeight="1">
      <c r="A271" s="902">
        <v>28</v>
      </c>
      <c r="B271" s="903">
        <v>18</v>
      </c>
      <c r="C271" s="909" t="s">
        <v>431</v>
      </c>
      <c r="D271" s="995">
        <v>11302203</v>
      </c>
      <c r="E271" s="996">
        <v>31147</v>
      </c>
      <c r="F271" s="907">
        <v>344920.9</v>
      </c>
      <c r="G271" s="999">
        <v>0</v>
      </c>
      <c r="H271" s="1002">
        <v>11647123.9</v>
      </c>
      <c r="I271" s="965">
        <f t="shared" si="4"/>
        <v>0.27558344156444547</v>
      </c>
    </row>
    <row r="272" spans="1:9" ht="12.6" customHeight="1">
      <c r="A272" s="902">
        <v>28</v>
      </c>
      <c r="B272" s="903">
        <v>19</v>
      </c>
      <c r="C272" s="909" t="s">
        <v>430</v>
      </c>
      <c r="D272" s="995">
        <v>9966588</v>
      </c>
      <c r="E272" s="996">
        <v>20156</v>
      </c>
      <c r="F272" s="907">
        <v>148933.56</v>
      </c>
      <c r="G272" s="999">
        <v>0</v>
      </c>
      <c r="H272" s="1002">
        <v>10115521.560000001</v>
      </c>
      <c r="I272" s="965">
        <f t="shared" si="4"/>
        <v>0.20223570995409865</v>
      </c>
    </row>
    <row r="273" spans="1:9" ht="12.6" customHeight="1">
      <c r="A273" s="902">
        <v>30</v>
      </c>
      <c r="B273" s="903">
        <v>1</v>
      </c>
      <c r="C273" s="909" t="s">
        <v>429</v>
      </c>
      <c r="D273" s="995">
        <v>24211153</v>
      </c>
      <c r="E273" s="996">
        <v>0</v>
      </c>
      <c r="F273" s="907">
        <v>38273.35</v>
      </c>
      <c r="G273" s="999">
        <v>0</v>
      </c>
      <c r="H273" s="1002">
        <v>24249426.350000001</v>
      </c>
      <c r="I273" s="965">
        <f t="shared" si="4"/>
        <v>0</v>
      </c>
    </row>
    <row r="274" spans="1:9" ht="12.6" customHeight="1">
      <c r="A274" s="902">
        <v>30</v>
      </c>
      <c r="B274" s="903">
        <v>2</v>
      </c>
      <c r="C274" s="909" t="s">
        <v>428</v>
      </c>
      <c r="D274" s="995">
        <v>44461753</v>
      </c>
      <c r="E274" s="996">
        <v>0</v>
      </c>
      <c r="F274" s="907">
        <v>57795.34</v>
      </c>
      <c r="G274" s="999">
        <v>0</v>
      </c>
      <c r="H274" s="1002">
        <v>44519548.340000004</v>
      </c>
      <c r="I274" s="965">
        <f t="shared" si="4"/>
        <v>0</v>
      </c>
    </row>
    <row r="275" spans="1:9" ht="12.6" customHeight="1">
      <c r="A275" s="902">
        <v>30</v>
      </c>
      <c r="B275" s="903">
        <v>3</v>
      </c>
      <c r="C275" s="909" t="s">
        <v>427</v>
      </c>
      <c r="D275" s="995">
        <v>79208691</v>
      </c>
      <c r="E275" s="996">
        <v>50305</v>
      </c>
      <c r="F275" s="907">
        <v>239218.93</v>
      </c>
      <c r="G275" s="999">
        <v>0</v>
      </c>
      <c r="H275" s="1002">
        <v>79447909.930000007</v>
      </c>
      <c r="I275" s="965">
        <f t="shared" si="4"/>
        <v>6.3509444942096066E-2</v>
      </c>
    </row>
    <row r="276" spans="1:9" ht="12.6" customHeight="1">
      <c r="A276" s="902">
        <v>30</v>
      </c>
      <c r="B276" s="903">
        <v>4</v>
      </c>
      <c r="C276" s="909" t="s">
        <v>426</v>
      </c>
      <c r="D276" s="995">
        <v>27979497</v>
      </c>
      <c r="E276" s="996">
        <v>0</v>
      </c>
      <c r="F276" s="907">
        <v>91112.99</v>
      </c>
      <c r="G276" s="999">
        <v>0</v>
      </c>
      <c r="H276" s="1002">
        <v>28070609.989999998</v>
      </c>
      <c r="I276" s="965">
        <f t="shared" si="4"/>
        <v>0</v>
      </c>
    </row>
    <row r="277" spans="1:9" ht="12.6" customHeight="1">
      <c r="A277" s="902">
        <v>30</v>
      </c>
      <c r="B277" s="903">
        <v>5</v>
      </c>
      <c r="C277" s="909" t="s">
        <v>425</v>
      </c>
      <c r="D277" s="995">
        <v>18637831</v>
      </c>
      <c r="E277" s="996">
        <v>0</v>
      </c>
      <c r="F277" s="907">
        <v>90628.49</v>
      </c>
      <c r="G277" s="999">
        <v>0</v>
      </c>
      <c r="H277" s="1002">
        <v>18728459.489999998</v>
      </c>
      <c r="I277" s="965">
        <f t="shared" si="4"/>
        <v>0</v>
      </c>
    </row>
    <row r="278" spans="1:9" ht="12.6" customHeight="1">
      <c r="A278" s="902">
        <v>30</v>
      </c>
      <c r="B278" s="903">
        <v>6</v>
      </c>
      <c r="C278" s="909" t="s">
        <v>424</v>
      </c>
      <c r="D278" s="995">
        <v>40401263</v>
      </c>
      <c r="E278" s="996">
        <v>0</v>
      </c>
      <c r="F278" s="907">
        <v>421209.97</v>
      </c>
      <c r="G278" s="999">
        <v>0</v>
      </c>
      <c r="H278" s="1002">
        <v>40822472.969999999</v>
      </c>
      <c r="I278" s="965">
        <f t="shared" si="4"/>
        <v>0</v>
      </c>
    </row>
    <row r="279" spans="1:9" ht="12.6" customHeight="1">
      <c r="A279" s="902">
        <v>30</v>
      </c>
      <c r="B279" s="903">
        <v>7</v>
      </c>
      <c r="C279" s="909" t="s">
        <v>423</v>
      </c>
      <c r="D279" s="995">
        <v>11974841</v>
      </c>
      <c r="E279" s="996">
        <v>31870</v>
      </c>
      <c r="F279" s="907">
        <v>801948.71</v>
      </c>
      <c r="G279" s="999">
        <v>0</v>
      </c>
      <c r="H279" s="1002">
        <v>12776789.710000001</v>
      </c>
      <c r="I279" s="965">
        <f t="shared" si="4"/>
        <v>0.26614132079081471</v>
      </c>
    </row>
    <row r="280" spans="1:9" ht="12.6" customHeight="1">
      <c r="A280" s="902">
        <v>30</v>
      </c>
      <c r="B280" s="903">
        <v>8</v>
      </c>
      <c r="C280" s="909" t="s">
        <v>422</v>
      </c>
      <c r="D280" s="995">
        <v>22954579</v>
      </c>
      <c r="E280" s="996">
        <v>0</v>
      </c>
      <c r="F280" s="907">
        <v>123379.04</v>
      </c>
      <c r="G280" s="999">
        <v>0</v>
      </c>
      <c r="H280" s="1002">
        <v>23077958.039999999</v>
      </c>
      <c r="I280" s="965">
        <f t="shared" si="4"/>
        <v>0</v>
      </c>
    </row>
    <row r="281" spans="1:9" ht="12.6" customHeight="1">
      <c r="A281" s="902">
        <v>30</v>
      </c>
      <c r="B281" s="903">
        <v>9</v>
      </c>
      <c r="C281" s="909" t="s">
        <v>421</v>
      </c>
      <c r="D281" s="995">
        <v>42782422</v>
      </c>
      <c r="E281" s="996">
        <v>25108</v>
      </c>
      <c r="F281" s="907">
        <v>126760.24</v>
      </c>
      <c r="G281" s="999">
        <v>0</v>
      </c>
      <c r="H281" s="1002">
        <v>42909182.240000002</v>
      </c>
      <c r="I281" s="965">
        <f t="shared" si="4"/>
        <v>5.8687654476410903E-2</v>
      </c>
    </row>
    <row r="282" spans="1:9" ht="12.6" customHeight="1">
      <c r="A282" s="902">
        <v>30</v>
      </c>
      <c r="B282" s="903">
        <v>10</v>
      </c>
      <c r="C282" s="909" t="s">
        <v>420</v>
      </c>
      <c r="D282" s="995">
        <v>22781370</v>
      </c>
      <c r="E282" s="996">
        <v>23798</v>
      </c>
      <c r="F282" s="907">
        <v>11495.62</v>
      </c>
      <c r="G282" s="999">
        <v>0</v>
      </c>
      <c r="H282" s="1002">
        <v>22792865.620000001</v>
      </c>
      <c r="I282" s="965">
        <f t="shared" si="4"/>
        <v>0.10446254988176742</v>
      </c>
    </row>
    <row r="283" spans="1:9" ht="12.6" customHeight="1">
      <c r="A283" s="902">
        <v>30</v>
      </c>
      <c r="B283" s="903">
        <v>11</v>
      </c>
      <c r="C283" s="909" t="s">
        <v>419</v>
      </c>
      <c r="D283" s="995">
        <v>24594664</v>
      </c>
      <c r="E283" s="996">
        <v>0</v>
      </c>
      <c r="F283" s="907">
        <v>16524.45</v>
      </c>
      <c r="G283" s="999">
        <v>0</v>
      </c>
      <c r="H283" s="1002">
        <v>24611188.449999999</v>
      </c>
      <c r="I283" s="965">
        <f t="shared" si="4"/>
        <v>0</v>
      </c>
    </row>
    <row r="284" spans="1:9" ht="12.6" customHeight="1">
      <c r="A284" s="902">
        <v>30</v>
      </c>
      <c r="B284" s="903">
        <v>12</v>
      </c>
      <c r="C284" s="909" t="s">
        <v>418</v>
      </c>
      <c r="D284" s="995">
        <v>45222795</v>
      </c>
      <c r="E284" s="996">
        <v>0</v>
      </c>
      <c r="F284" s="907">
        <v>211190.63</v>
      </c>
      <c r="G284" s="999">
        <v>0</v>
      </c>
      <c r="H284" s="1002">
        <v>45433985.630000003</v>
      </c>
      <c r="I284" s="965">
        <f t="shared" si="4"/>
        <v>0</v>
      </c>
    </row>
    <row r="285" spans="1:9" ht="12.6" customHeight="1">
      <c r="A285" s="902">
        <v>30</v>
      </c>
      <c r="B285" s="903">
        <v>13</v>
      </c>
      <c r="C285" s="909" t="s">
        <v>417</v>
      </c>
      <c r="D285" s="995">
        <v>12314633</v>
      </c>
      <c r="E285" s="996">
        <v>35927</v>
      </c>
      <c r="F285" s="907">
        <v>72145.86</v>
      </c>
      <c r="G285" s="999">
        <v>0</v>
      </c>
      <c r="H285" s="1002">
        <v>12386778.859999999</v>
      </c>
      <c r="I285" s="965">
        <f t="shared" si="4"/>
        <v>0.29174235237054974</v>
      </c>
    </row>
    <row r="286" spans="1:9" ht="12.6" customHeight="1">
      <c r="A286" s="902">
        <v>30</v>
      </c>
      <c r="B286" s="903">
        <v>14</v>
      </c>
      <c r="C286" s="909" t="s">
        <v>416</v>
      </c>
      <c r="D286" s="995">
        <v>13388232</v>
      </c>
      <c r="E286" s="996">
        <v>45115</v>
      </c>
      <c r="F286" s="907">
        <v>97119.3</v>
      </c>
      <c r="G286" s="999">
        <v>0</v>
      </c>
      <c r="H286" s="1002">
        <v>13485351.300000001</v>
      </c>
      <c r="I286" s="965">
        <f t="shared" si="4"/>
        <v>0.3369750389745263</v>
      </c>
    </row>
    <row r="287" spans="1:9" ht="12.6" customHeight="1">
      <c r="A287" s="902">
        <v>30</v>
      </c>
      <c r="B287" s="903">
        <v>15</v>
      </c>
      <c r="C287" s="909" t="s">
        <v>415</v>
      </c>
      <c r="D287" s="995">
        <v>32620602</v>
      </c>
      <c r="E287" s="996">
        <v>0</v>
      </c>
      <c r="F287" s="907">
        <v>33794.42</v>
      </c>
      <c r="G287" s="999">
        <v>0</v>
      </c>
      <c r="H287" s="1002">
        <v>32654396.420000002</v>
      </c>
      <c r="I287" s="965">
        <f t="shared" si="4"/>
        <v>0</v>
      </c>
    </row>
    <row r="288" spans="1:9" ht="12.6" customHeight="1">
      <c r="A288" s="902">
        <v>30</v>
      </c>
      <c r="B288" s="903">
        <v>16</v>
      </c>
      <c r="C288" s="909" t="s">
        <v>414</v>
      </c>
      <c r="D288" s="995">
        <v>21004188</v>
      </c>
      <c r="E288" s="996">
        <v>0</v>
      </c>
      <c r="F288" s="907">
        <v>126301.28</v>
      </c>
      <c r="G288" s="999">
        <v>0</v>
      </c>
      <c r="H288" s="1002">
        <v>21130489.280000001</v>
      </c>
      <c r="I288" s="965">
        <f t="shared" si="4"/>
        <v>0</v>
      </c>
    </row>
    <row r="289" spans="1:9" ht="12.6" customHeight="1">
      <c r="A289" s="902">
        <v>30</v>
      </c>
      <c r="B289" s="903">
        <v>17</v>
      </c>
      <c r="C289" s="909" t="s">
        <v>413</v>
      </c>
      <c r="D289" s="995">
        <v>79187591</v>
      </c>
      <c r="E289" s="996">
        <v>0</v>
      </c>
      <c r="F289" s="907">
        <v>340212.22</v>
      </c>
      <c r="G289" s="999">
        <v>0</v>
      </c>
      <c r="H289" s="1002">
        <v>79527803.219999999</v>
      </c>
      <c r="I289" s="965">
        <f t="shared" si="4"/>
        <v>0</v>
      </c>
    </row>
    <row r="290" spans="1:9" ht="12.6" customHeight="1">
      <c r="A290" s="902">
        <v>30</v>
      </c>
      <c r="B290" s="903">
        <v>18</v>
      </c>
      <c r="C290" s="909" t="s">
        <v>412</v>
      </c>
      <c r="D290" s="995">
        <v>24605054</v>
      </c>
      <c r="E290" s="996">
        <v>4587</v>
      </c>
      <c r="F290" s="907">
        <v>174069.5</v>
      </c>
      <c r="G290" s="999">
        <v>0</v>
      </c>
      <c r="H290" s="1002">
        <v>24779123.5</v>
      </c>
      <c r="I290" s="965">
        <f t="shared" si="4"/>
        <v>1.8642511412492735E-2</v>
      </c>
    </row>
    <row r="291" spans="1:9" ht="12.6" customHeight="1">
      <c r="A291" s="902">
        <v>30</v>
      </c>
      <c r="B291" s="903">
        <v>19</v>
      </c>
      <c r="C291" s="909" t="s">
        <v>411</v>
      </c>
      <c r="D291" s="995">
        <v>83701296</v>
      </c>
      <c r="E291" s="996">
        <v>0</v>
      </c>
      <c r="F291" s="907">
        <v>1627666.28</v>
      </c>
      <c r="G291" s="999">
        <v>205313</v>
      </c>
      <c r="H291" s="1002">
        <v>85534275.280000001</v>
      </c>
      <c r="I291" s="965">
        <f t="shared" si="4"/>
        <v>0</v>
      </c>
    </row>
    <row r="292" spans="1:9" ht="12.6" customHeight="1">
      <c r="A292" s="902">
        <v>30</v>
      </c>
      <c r="B292" s="903">
        <v>20</v>
      </c>
      <c r="C292" s="909" t="s">
        <v>410</v>
      </c>
      <c r="D292" s="995">
        <v>23963390</v>
      </c>
      <c r="E292" s="996">
        <v>0</v>
      </c>
      <c r="F292" s="907">
        <v>30703.15</v>
      </c>
      <c r="G292" s="999">
        <v>0</v>
      </c>
      <c r="H292" s="1002">
        <v>23994093.149999999</v>
      </c>
      <c r="I292" s="965">
        <f t="shared" si="4"/>
        <v>0</v>
      </c>
    </row>
    <row r="293" spans="1:9" ht="12.6" customHeight="1">
      <c r="A293" s="902">
        <v>30</v>
      </c>
      <c r="B293" s="903">
        <v>21</v>
      </c>
      <c r="C293" s="909" t="s">
        <v>409</v>
      </c>
      <c r="D293" s="995">
        <v>63178716</v>
      </c>
      <c r="E293" s="996">
        <v>0</v>
      </c>
      <c r="F293" s="907">
        <v>486497.42</v>
      </c>
      <c r="G293" s="999">
        <v>0</v>
      </c>
      <c r="H293" s="1002">
        <v>63665213.420000002</v>
      </c>
      <c r="I293" s="965">
        <f t="shared" si="4"/>
        <v>0</v>
      </c>
    </row>
    <row r="294" spans="1:9" ht="12.6" customHeight="1">
      <c r="A294" s="902">
        <v>30</v>
      </c>
      <c r="B294" s="903">
        <v>22</v>
      </c>
      <c r="C294" s="909" t="s">
        <v>408</v>
      </c>
      <c r="D294" s="995">
        <v>20818212</v>
      </c>
      <c r="E294" s="996">
        <v>0</v>
      </c>
      <c r="F294" s="907">
        <v>371465.11</v>
      </c>
      <c r="G294" s="999">
        <v>0</v>
      </c>
      <c r="H294" s="1002">
        <v>21189677.109999999</v>
      </c>
      <c r="I294" s="965">
        <f t="shared" si="4"/>
        <v>0</v>
      </c>
    </row>
    <row r="295" spans="1:9" ht="12.6" customHeight="1">
      <c r="A295" s="902">
        <v>30</v>
      </c>
      <c r="B295" s="903">
        <v>23</v>
      </c>
      <c r="C295" s="909" t="s">
        <v>407</v>
      </c>
      <c r="D295" s="995">
        <v>25746640</v>
      </c>
      <c r="E295" s="996">
        <v>13900</v>
      </c>
      <c r="F295" s="907">
        <v>134179.42000000001</v>
      </c>
      <c r="G295" s="999">
        <v>0</v>
      </c>
      <c r="H295" s="1002">
        <v>25880819.420000002</v>
      </c>
      <c r="I295" s="965">
        <f t="shared" si="4"/>
        <v>5.3987627123383869E-2</v>
      </c>
    </row>
    <row r="296" spans="1:9" ht="12.6" customHeight="1">
      <c r="A296" s="902">
        <v>30</v>
      </c>
      <c r="B296" s="903">
        <v>24</v>
      </c>
      <c r="C296" s="909" t="s">
        <v>406</v>
      </c>
      <c r="D296" s="995">
        <v>32294831</v>
      </c>
      <c r="E296" s="996">
        <v>0</v>
      </c>
      <c r="F296" s="907">
        <v>61440.43</v>
      </c>
      <c r="G296" s="999">
        <v>0</v>
      </c>
      <c r="H296" s="1002">
        <v>32356271.43</v>
      </c>
      <c r="I296" s="965">
        <f t="shared" si="4"/>
        <v>0</v>
      </c>
    </row>
    <row r="297" spans="1:9" ht="12.6" customHeight="1">
      <c r="A297" s="902">
        <v>30</v>
      </c>
      <c r="B297" s="903">
        <v>25</v>
      </c>
      <c r="C297" s="909" t="s">
        <v>405</v>
      </c>
      <c r="D297" s="995">
        <v>21311471</v>
      </c>
      <c r="E297" s="996">
        <v>0</v>
      </c>
      <c r="F297" s="907">
        <v>114734.16</v>
      </c>
      <c r="G297" s="999">
        <v>0</v>
      </c>
      <c r="H297" s="1002">
        <v>21426205.16</v>
      </c>
      <c r="I297" s="965">
        <f t="shared" si="4"/>
        <v>0</v>
      </c>
    </row>
    <row r="298" spans="1:9" ht="12.6" customHeight="1">
      <c r="A298" s="902">
        <v>30</v>
      </c>
      <c r="B298" s="903">
        <v>26</v>
      </c>
      <c r="C298" s="909" t="s">
        <v>404</v>
      </c>
      <c r="D298" s="995">
        <v>33248262</v>
      </c>
      <c r="E298" s="996">
        <v>0</v>
      </c>
      <c r="F298" s="907">
        <v>76918.16</v>
      </c>
      <c r="G298" s="999">
        <v>0</v>
      </c>
      <c r="H298" s="1002">
        <v>33325180.16</v>
      </c>
      <c r="I298" s="965">
        <f t="shared" si="4"/>
        <v>0</v>
      </c>
    </row>
    <row r="299" spans="1:9" ht="12.6" customHeight="1">
      <c r="A299" s="902">
        <v>30</v>
      </c>
      <c r="B299" s="903">
        <v>27</v>
      </c>
      <c r="C299" s="909" t="s">
        <v>403</v>
      </c>
      <c r="D299" s="995">
        <v>39049486</v>
      </c>
      <c r="E299" s="996">
        <v>0</v>
      </c>
      <c r="F299" s="907">
        <v>30572.68</v>
      </c>
      <c r="G299" s="999">
        <v>527660.86</v>
      </c>
      <c r="H299" s="1002">
        <v>39607719.539999999</v>
      </c>
      <c r="I299" s="965">
        <f t="shared" si="4"/>
        <v>0</v>
      </c>
    </row>
    <row r="300" spans="1:9" ht="12.6" customHeight="1">
      <c r="A300" s="902">
        <v>30</v>
      </c>
      <c r="B300" s="903">
        <v>28</v>
      </c>
      <c r="C300" s="909" t="s">
        <v>402</v>
      </c>
      <c r="D300" s="995">
        <v>39565175</v>
      </c>
      <c r="E300" s="996">
        <v>0</v>
      </c>
      <c r="F300" s="907">
        <v>49906.65</v>
      </c>
      <c r="G300" s="999">
        <v>0</v>
      </c>
      <c r="H300" s="1002">
        <v>39615081.649999999</v>
      </c>
      <c r="I300" s="965">
        <f t="shared" si="4"/>
        <v>0</v>
      </c>
    </row>
    <row r="301" spans="1:9" ht="12.6" customHeight="1">
      <c r="A301" s="902">
        <v>30</v>
      </c>
      <c r="B301" s="903">
        <v>29</v>
      </c>
      <c r="C301" s="909" t="s">
        <v>401</v>
      </c>
      <c r="D301" s="995">
        <v>33346025</v>
      </c>
      <c r="E301" s="996">
        <v>0</v>
      </c>
      <c r="F301" s="907">
        <v>62595.39</v>
      </c>
      <c r="G301" s="999">
        <v>0</v>
      </c>
      <c r="H301" s="1002">
        <v>33408620.390000001</v>
      </c>
      <c r="I301" s="965">
        <f t="shared" si="4"/>
        <v>0</v>
      </c>
    </row>
    <row r="302" spans="1:9" ht="12.6" customHeight="1">
      <c r="A302" s="902">
        <v>30</v>
      </c>
      <c r="B302" s="903">
        <v>30</v>
      </c>
      <c r="C302" s="909" t="s">
        <v>400</v>
      </c>
      <c r="D302" s="995">
        <v>40858865</v>
      </c>
      <c r="E302" s="996">
        <v>13675</v>
      </c>
      <c r="F302" s="907">
        <v>231179.86</v>
      </c>
      <c r="G302" s="999">
        <v>0</v>
      </c>
      <c r="H302" s="1002">
        <v>41090044.859999999</v>
      </c>
      <c r="I302" s="965">
        <f t="shared" si="4"/>
        <v>3.3468868995749149E-2</v>
      </c>
    </row>
    <row r="303" spans="1:9" ht="12.6" customHeight="1">
      <c r="A303" s="902">
        <v>30</v>
      </c>
      <c r="B303" s="903">
        <v>31</v>
      </c>
      <c r="C303" s="909" t="s">
        <v>399</v>
      </c>
      <c r="D303" s="995">
        <v>29766136</v>
      </c>
      <c r="E303" s="996">
        <v>0</v>
      </c>
      <c r="F303" s="907">
        <v>307425.27</v>
      </c>
      <c r="G303" s="999">
        <v>0</v>
      </c>
      <c r="H303" s="1002">
        <v>30073561.27</v>
      </c>
      <c r="I303" s="965">
        <f t="shared" si="4"/>
        <v>0</v>
      </c>
    </row>
    <row r="304" spans="1:9" ht="12.6" customHeight="1">
      <c r="A304" s="902">
        <v>32</v>
      </c>
      <c r="B304" s="903">
        <v>1</v>
      </c>
      <c r="C304" s="909" t="s">
        <v>398</v>
      </c>
      <c r="D304" s="995">
        <v>20527391</v>
      </c>
      <c r="E304" s="996">
        <v>0</v>
      </c>
      <c r="F304" s="907">
        <v>167289.72</v>
      </c>
      <c r="G304" s="999">
        <v>0</v>
      </c>
      <c r="H304" s="1002">
        <v>20694680.719999999</v>
      </c>
      <c r="I304" s="965">
        <f t="shared" si="4"/>
        <v>0</v>
      </c>
    </row>
    <row r="305" spans="1:9" ht="12.6" customHeight="1">
      <c r="A305" s="902">
        <v>32</v>
      </c>
      <c r="B305" s="903">
        <v>2</v>
      </c>
      <c r="C305" s="909" t="s">
        <v>397</v>
      </c>
      <c r="D305" s="995">
        <v>18081604</v>
      </c>
      <c r="E305" s="996">
        <v>0</v>
      </c>
      <c r="F305" s="907">
        <v>108267.77</v>
      </c>
      <c r="G305" s="999">
        <v>0</v>
      </c>
      <c r="H305" s="1002">
        <v>18189871.77</v>
      </c>
      <c r="I305" s="965">
        <f t="shared" si="4"/>
        <v>0</v>
      </c>
    </row>
    <row r="306" spans="1:9" ht="12.6" customHeight="1">
      <c r="A306" s="902">
        <v>32</v>
      </c>
      <c r="B306" s="903">
        <v>3</v>
      </c>
      <c r="C306" s="909" t="s">
        <v>396</v>
      </c>
      <c r="D306" s="995">
        <v>40335630</v>
      </c>
      <c r="E306" s="996">
        <v>171560</v>
      </c>
      <c r="F306" s="907">
        <v>868613.52</v>
      </c>
      <c r="G306" s="999">
        <v>0</v>
      </c>
      <c r="H306" s="1002">
        <v>41204243.520000003</v>
      </c>
      <c r="I306" s="965">
        <f t="shared" si="4"/>
        <v>0.42533115263106092</v>
      </c>
    </row>
    <row r="307" spans="1:9" ht="12.6" customHeight="1">
      <c r="A307" s="902">
        <v>32</v>
      </c>
      <c r="B307" s="903">
        <v>4</v>
      </c>
      <c r="C307" s="909" t="s">
        <v>395</v>
      </c>
      <c r="D307" s="995">
        <v>34810610</v>
      </c>
      <c r="E307" s="996">
        <v>0</v>
      </c>
      <c r="F307" s="907">
        <v>443512.41</v>
      </c>
      <c r="G307" s="999">
        <v>0</v>
      </c>
      <c r="H307" s="1002">
        <v>35254122.409999996</v>
      </c>
      <c r="I307" s="965">
        <f t="shared" si="4"/>
        <v>0</v>
      </c>
    </row>
    <row r="308" spans="1:9" ht="12.6" customHeight="1">
      <c r="A308" s="902">
        <v>32</v>
      </c>
      <c r="B308" s="903">
        <v>5</v>
      </c>
      <c r="C308" s="909" t="s">
        <v>394</v>
      </c>
      <c r="D308" s="995">
        <v>23705264</v>
      </c>
      <c r="E308" s="996">
        <v>0</v>
      </c>
      <c r="F308" s="907">
        <v>112941.12</v>
      </c>
      <c r="G308" s="999">
        <v>0</v>
      </c>
      <c r="H308" s="1002">
        <v>23818205.120000001</v>
      </c>
      <c r="I308" s="965">
        <f t="shared" si="4"/>
        <v>0</v>
      </c>
    </row>
    <row r="309" spans="1:9" ht="12.6" customHeight="1">
      <c r="A309" s="902">
        <v>32</v>
      </c>
      <c r="B309" s="903">
        <v>6</v>
      </c>
      <c r="C309" s="909" t="s">
        <v>393</v>
      </c>
      <c r="D309" s="995">
        <v>24273830</v>
      </c>
      <c r="E309" s="996">
        <v>0</v>
      </c>
      <c r="F309" s="907">
        <v>285846.15000000002</v>
      </c>
      <c r="G309" s="999">
        <v>140000</v>
      </c>
      <c r="H309" s="1002">
        <v>24699676.149999999</v>
      </c>
      <c r="I309" s="965">
        <f t="shared" si="4"/>
        <v>0</v>
      </c>
    </row>
    <row r="310" spans="1:9" ht="12.6" customHeight="1">
      <c r="A310" s="902">
        <v>32</v>
      </c>
      <c r="B310" s="903">
        <v>7</v>
      </c>
      <c r="C310" s="909" t="s">
        <v>392</v>
      </c>
      <c r="D310" s="995">
        <v>16423052</v>
      </c>
      <c r="E310" s="996">
        <v>0</v>
      </c>
      <c r="F310" s="907">
        <v>69233.48</v>
      </c>
      <c r="G310" s="999">
        <v>0</v>
      </c>
      <c r="H310" s="1002">
        <v>16492285.48</v>
      </c>
      <c r="I310" s="965">
        <f t="shared" si="4"/>
        <v>0</v>
      </c>
    </row>
    <row r="311" spans="1:9" ht="12.6" customHeight="1">
      <c r="A311" s="902">
        <v>32</v>
      </c>
      <c r="B311" s="903">
        <v>8</v>
      </c>
      <c r="C311" s="909" t="s">
        <v>391</v>
      </c>
      <c r="D311" s="995">
        <v>56841765</v>
      </c>
      <c r="E311" s="996">
        <v>0</v>
      </c>
      <c r="F311" s="907">
        <v>702783.44</v>
      </c>
      <c r="G311" s="999">
        <v>0</v>
      </c>
      <c r="H311" s="1002">
        <v>57544548.439999998</v>
      </c>
      <c r="I311" s="965">
        <f t="shared" si="4"/>
        <v>0</v>
      </c>
    </row>
    <row r="312" spans="1:9" ht="12.6" customHeight="1">
      <c r="A312" s="902">
        <v>32</v>
      </c>
      <c r="B312" s="903">
        <v>9</v>
      </c>
      <c r="C312" s="909" t="s">
        <v>390</v>
      </c>
      <c r="D312" s="995">
        <v>8001625</v>
      </c>
      <c r="E312" s="996">
        <v>0</v>
      </c>
      <c r="F312" s="907">
        <v>63456.69</v>
      </c>
      <c r="G312" s="999">
        <v>0</v>
      </c>
      <c r="H312" s="1002">
        <v>8065081.6900000004</v>
      </c>
      <c r="I312" s="965">
        <f t="shared" si="4"/>
        <v>0</v>
      </c>
    </row>
    <row r="313" spans="1:9" ht="12.6" customHeight="1">
      <c r="A313" s="902">
        <v>32</v>
      </c>
      <c r="B313" s="903">
        <v>10</v>
      </c>
      <c r="C313" s="909" t="s">
        <v>389</v>
      </c>
      <c r="D313" s="995">
        <v>35242611</v>
      </c>
      <c r="E313" s="996">
        <v>8179</v>
      </c>
      <c r="F313" s="907">
        <v>434121.75</v>
      </c>
      <c r="G313" s="999">
        <v>0</v>
      </c>
      <c r="H313" s="1002">
        <v>35676732.75</v>
      </c>
      <c r="I313" s="965">
        <f t="shared" si="4"/>
        <v>2.320770160871452E-2</v>
      </c>
    </row>
    <row r="314" spans="1:9" ht="12.6" customHeight="1">
      <c r="A314" s="902">
        <v>32</v>
      </c>
      <c r="B314" s="903">
        <v>11</v>
      </c>
      <c r="C314" s="909" t="s">
        <v>388</v>
      </c>
      <c r="D314" s="995">
        <v>37490026</v>
      </c>
      <c r="E314" s="996">
        <v>27886</v>
      </c>
      <c r="F314" s="907">
        <v>338668.43</v>
      </c>
      <c r="G314" s="999">
        <v>0</v>
      </c>
      <c r="H314" s="1002">
        <v>37828694.43</v>
      </c>
      <c r="I314" s="965">
        <f t="shared" si="4"/>
        <v>7.4382450414945026E-2</v>
      </c>
    </row>
    <row r="315" spans="1:9" ht="12.6" customHeight="1">
      <c r="A315" s="902">
        <v>32</v>
      </c>
      <c r="B315" s="903">
        <v>12</v>
      </c>
      <c r="C315" s="909" t="s">
        <v>387</v>
      </c>
      <c r="D315" s="995">
        <v>17520301</v>
      </c>
      <c r="E315" s="996">
        <v>0</v>
      </c>
      <c r="F315" s="907">
        <v>66404.25</v>
      </c>
      <c r="G315" s="999">
        <v>0</v>
      </c>
      <c r="H315" s="1002">
        <v>17586705.25</v>
      </c>
      <c r="I315" s="965">
        <f t="shared" si="4"/>
        <v>0</v>
      </c>
    </row>
    <row r="316" spans="1:9" ht="12.6" customHeight="1">
      <c r="A316" s="902">
        <v>32</v>
      </c>
      <c r="B316" s="903">
        <v>13</v>
      </c>
      <c r="C316" s="909" t="s">
        <v>386</v>
      </c>
      <c r="D316" s="995">
        <v>26812392</v>
      </c>
      <c r="E316" s="996">
        <v>23109</v>
      </c>
      <c r="F316" s="907">
        <v>252838.92</v>
      </c>
      <c r="G316" s="999">
        <v>0</v>
      </c>
      <c r="H316" s="1002">
        <v>27065230.920000002</v>
      </c>
      <c r="I316" s="965">
        <f t="shared" si="4"/>
        <v>8.6187759749298015E-2</v>
      </c>
    </row>
    <row r="317" spans="1:9" ht="12.6" customHeight="1">
      <c r="A317" s="902">
        <v>32</v>
      </c>
      <c r="B317" s="903">
        <v>14</v>
      </c>
      <c r="C317" s="909" t="s">
        <v>385</v>
      </c>
      <c r="D317" s="995">
        <v>66294869</v>
      </c>
      <c r="E317" s="996">
        <v>0</v>
      </c>
      <c r="F317" s="907">
        <v>1310428.8600000001</v>
      </c>
      <c r="G317" s="999">
        <v>133600</v>
      </c>
      <c r="H317" s="1002">
        <v>67738897.859999999</v>
      </c>
      <c r="I317" s="965">
        <f t="shared" si="4"/>
        <v>0</v>
      </c>
    </row>
    <row r="318" spans="1:9" ht="12.6" customHeight="1">
      <c r="A318" s="902">
        <v>32</v>
      </c>
      <c r="B318" s="903">
        <v>15</v>
      </c>
      <c r="C318" s="909" t="s">
        <v>384</v>
      </c>
      <c r="D318" s="995">
        <v>48138651</v>
      </c>
      <c r="E318" s="996">
        <v>0</v>
      </c>
      <c r="F318" s="907">
        <v>1197345.5900000001</v>
      </c>
      <c r="G318" s="999">
        <v>0</v>
      </c>
      <c r="H318" s="1002">
        <v>49335996.590000004</v>
      </c>
      <c r="I318" s="965">
        <f t="shared" si="4"/>
        <v>0</v>
      </c>
    </row>
    <row r="319" spans="1:9" ht="12.6" customHeight="1">
      <c r="A319" s="902">
        <v>32</v>
      </c>
      <c r="B319" s="903">
        <v>16</v>
      </c>
      <c r="C319" s="909" t="s">
        <v>383</v>
      </c>
      <c r="D319" s="995">
        <v>29410309</v>
      </c>
      <c r="E319" s="996">
        <v>27699</v>
      </c>
      <c r="F319" s="907">
        <v>156427.18</v>
      </c>
      <c r="G319" s="999">
        <v>0</v>
      </c>
      <c r="H319" s="1002">
        <v>29566736.18</v>
      </c>
      <c r="I319" s="965">
        <f t="shared" si="4"/>
        <v>9.4181261407352099E-2</v>
      </c>
    </row>
    <row r="320" spans="1:9" ht="12.6" customHeight="1">
      <c r="A320" s="902">
        <v>32</v>
      </c>
      <c r="B320" s="903">
        <v>17</v>
      </c>
      <c r="C320" s="909" t="s">
        <v>382</v>
      </c>
      <c r="D320" s="995">
        <v>20903278</v>
      </c>
      <c r="E320" s="996">
        <v>0</v>
      </c>
      <c r="F320" s="907">
        <v>314440.63</v>
      </c>
      <c r="G320" s="999">
        <v>0</v>
      </c>
      <c r="H320" s="1002">
        <v>21217718.629999999</v>
      </c>
      <c r="I320" s="965">
        <f t="shared" si="4"/>
        <v>0</v>
      </c>
    </row>
    <row r="321" spans="1:9" ht="12.6" customHeight="1">
      <c r="A321" s="941">
        <v>32</v>
      </c>
      <c r="B321" s="942">
        <v>18</v>
      </c>
      <c r="C321" s="943" t="s">
        <v>381</v>
      </c>
      <c r="D321" s="1004">
        <v>13347198</v>
      </c>
      <c r="E321" s="1005">
        <v>10152</v>
      </c>
      <c r="F321" s="1006">
        <v>284362.46999999997</v>
      </c>
      <c r="G321" s="1007">
        <v>0</v>
      </c>
      <c r="H321" s="1008">
        <v>13631560.470000001</v>
      </c>
      <c r="I321" s="966">
        <f t="shared" si="4"/>
        <v>7.6060908064748869E-2</v>
      </c>
    </row>
    <row r="322" spans="1:9" s="897" customFormat="1" ht="16.5" customHeight="1">
      <c r="A322" s="2062" t="s">
        <v>44</v>
      </c>
      <c r="B322" s="2063"/>
      <c r="C322" s="2064"/>
      <c r="D322" s="961">
        <f>SUM(D8:D321)</f>
        <v>10166280734</v>
      </c>
      <c r="E322" s="962">
        <f t="shared" ref="E322:H322" si="5">SUM(E8:E321)</f>
        <v>5679173</v>
      </c>
      <c r="F322" s="960">
        <f t="shared" si="5"/>
        <v>98798861.530000016</v>
      </c>
      <c r="G322" s="963">
        <f t="shared" si="5"/>
        <v>12579596.67</v>
      </c>
      <c r="H322" s="968">
        <f t="shared" si="5"/>
        <v>10277659192.200003</v>
      </c>
      <c r="I322" s="967">
        <f>E322/D322*100</f>
        <v>5.5862838619109095E-2</v>
      </c>
    </row>
    <row r="323" spans="1:9" ht="19.5" customHeight="1">
      <c r="A323" s="898"/>
      <c r="B323" s="898"/>
      <c r="C323" s="899"/>
      <c r="D323" s="900"/>
      <c r="E323" s="901"/>
      <c r="F323" s="900"/>
      <c r="G323" s="900"/>
      <c r="H323" s="900"/>
      <c r="I323" s="900"/>
    </row>
    <row r="324" spans="1:9">
      <c r="A324" s="898" t="s">
        <v>1051</v>
      </c>
      <c r="B324" s="898"/>
      <c r="C324" s="899"/>
      <c r="D324" s="900"/>
      <c r="E324" s="901"/>
      <c r="F324" s="900"/>
      <c r="G324" s="900"/>
      <c r="H324" s="900"/>
      <c r="I324" s="900"/>
    </row>
    <row r="325" spans="1:9" ht="26.25" customHeight="1">
      <c r="A325" s="898"/>
      <c r="B325" s="2054" t="s">
        <v>772</v>
      </c>
      <c r="C325" s="2054"/>
      <c r="D325" s="2054"/>
      <c r="E325" s="2054"/>
      <c r="F325" s="2054"/>
      <c r="G325" s="2054"/>
      <c r="H325" s="2054"/>
      <c r="I325" s="2054"/>
    </row>
  </sheetData>
  <mergeCells count="15">
    <mergeCell ref="A322:C322"/>
    <mergeCell ref="B325:I325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  <mergeCell ref="F4:F5"/>
    <mergeCell ref="G4:G5"/>
    <mergeCell ref="D6:H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showGridLines="0" zoomScaleNormal="100" workbookViewId="0">
      <selection activeCell="O3" sqref="O3"/>
    </sheetView>
  </sheetViews>
  <sheetFormatPr defaultRowHeight="12.75"/>
  <cols>
    <col min="1" max="1" width="7.140625" customWidth="1"/>
    <col min="2" max="2" width="25.7109375" customWidth="1"/>
    <col min="3" max="5" width="13.28515625" bestFit="1" customWidth="1"/>
    <col min="6" max="6" width="7.140625" bestFit="1" customWidth="1"/>
    <col min="7" max="7" width="7.5703125" bestFit="1" customWidth="1"/>
    <col min="8" max="8" width="7.42578125" bestFit="1" customWidth="1"/>
    <col min="9" max="9" width="7" customWidth="1"/>
    <col min="10" max="10" width="30.140625" customWidth="1"/>
    <col min="11" max="11" width="13.28515625" bestFit="1" customWidth="1"/>
  </cols>
  <sheetData>
    <row r="1" spans="1:8">
      <c r="A1" s="1837" t="s">
        <v>350</v>
      </c>
      <c r="B1" s="1837"/>
      <c r="C1" s="1837"/>
      <c r="D1" s="1837"/>
      <c r="E1" s="1837"/>
      <c r="F1" s="1837"/>
      <c r="G1" s="1837"/>
      <c r="H1" s="1837"/>
    </row>
    <row r="2" spans="1:8">
      <c r="A2" s="12"/>
      <c r="B2" s="12"/>
      <c r="C2" s="12"/>
      <c r="D2" s="12"/>
      <c r="E2" s="12"/>
      <c r="F2" s="12"/>
    </row>
    <row r="3" spans="1:8" ht="13.5">
      <c r="A3" s="1841" t="s">
        <v>881</v>
      </c>
      <c r="B3" s="1843" t="s">
        <v>68</v>
      </c>
      <c r="C3" s="1433" t="s">
        <v>71</v>
      </c>
      <c r="D3" s="1434" t="s">
        <v>70</v>
      </c>
      <c r="E3" s="296" t="s">
        <v>71</v>
      </c>
      <c r="F3" s="1024" t="s">
        <v>265</v>
      </c>
      <c r="G3" s="1845" t="s">
        <v>22</v>
      </c>
      <c r="H3" s="1436" t="s">
        <v>882</v>
      </c>
    </row>
    <row r="4" spans="1:8" ht="13.5">
      <c r="A4" s="1842"/>
      <c r="B4" s="1844"/>
      <c r="C4" s="308">
        <v>2020</v>
      </c>
      <c r="D4" s="1435">
        <v>2021</v>
      </c>
      <c r="E4" s="309">
        <v>2021</v>
      </c>
      <c r="F4" s="310" t="s">
        <v>883</v>
      </c>
      <c r="G4" s="1846"/>
      <c r="H4" s="311" t="s">
        <v>884</v>
      </c>
    </row>
    <row r="5" spans="1:8" ht="13.5">
      <c r="A5" s="1842"/>
      <c r="B5" s="1844"/>
      <c r="C5" s="1838" t="s">
        <v>885</v>
      </c>
      <c r="D5" s="1839"/>
      <c r="E5" s="1840"/>
      <c r="F5" s="1839" t="s">
        <v>886</v>
      </c>
      <c r="G5" s="1839"/>
      <c r="H5" s="1840"/>
    </row>
    <row r="6" spans="1:8">
      <c r="A6" s="303" t="s">
        <v>887</v>
      </c>
      <c r="B6" s="304" t="s">
        <v>888</v>
      </c>
      <c r="C6" s="303" t="s">
        <v>889</v>
      </c>
      <c r="D6" s="305" t="s">
        <v>890</v>
      </c>
      <c r="E6" s="306" t="s">
        <v>891</v>
      </c>
      <c r="F6" s="307" t="s">
        <v>892</v>
      </c>
      <c r="G6" s="305" t="s">
        <v>893</v>
      </c>
      <c r="H6" s="306" t="s">
        <v>894</v>
      </c>
    </row>
    <row r="7" spans="1:8" ht="19.899999999999999" customHeight="1">
      <c r="A7" s="1038"/>
      <c r="B7" s="1563" t="s">
        <v>933</v>
      </c>
      <c r="C7" s="297">
        <v>304930106493.07001</v>
      </c>
      <c r="D7" s="1039">
        <v>324566985975.13</v>
      </c>
      <c r="E7" s="298">
        <v>333409105565.12</v>
      </c>
      <c r="F7" s="312">
        <v>102.7</v>
      </c>
      <c r="G7" s="313">
        <v>100</v>
      </c>
      <c r="H7" s="314">
        <v>109.3</v>
      </c>
    </row>
    <row r="8" spans="1:8" ht="19.899999999999999" customHeight="1">
      <c r="A8" s="1033" t="s">
        <v>895</v>
      </c>
      <c r="B8" s="63" t="s">
        <v>99</v>
      </c>
      <c r="C8" s="299">
        <v>2712025794.0599999</v>
      </c>
      <c r="D8" s="1032">
        <v>2770110115.9400001</v>
      </c>
      <c r="E8" s="300">
        <v>2593706925.4499998</v>
      </c>
      <c r="F8" s="1040">
        <v>93.6</v>
      </c>
      <c r="G8" s="316">
        <v>0.78</v>
      </c>
      <c r="H8" s="1034">
        <v>95.6</v>
      </c>
    </row>
    <row r="9" spans="1:8" ht="19.899999999999999" customHeight="1">
      <c r="A9" s="1033" t="s">
        <v>896</v>
      </c>
      <c r="B9" s="63" t="s">
        <v>100</v>
      </c>
      <c r="C9" s="299">
        <v>73136978.510000005</v>
      </c>
      <c r="D9" s="1032">
        <v>95339893.890000001</v>
      </c>
      <c r="E9" s="300">
        <v>90996336.939999998</v>
      </c>
      <c r="F9" s="1040">
        <v>95.4</v>
      </c>
      <c r="G9" s="316">
        <v>0.03</v>
      </c>
      <c r="H9" s="1034">
        <v>124.4</v>
      </c>
    </row>
    <row r="10" spans="1:8" ht="19.899999999999999" customHeight="1">
      <c r="A10" s="1033" t="s">
        <v>897</v>
      </c>
      <c r="B10" s="63" t="s">
        <v>101</v>
      </c>
      <c r="C10" s="299">
        <v>8787697.7699999996</v>
      </c>
      <c r="D10" s="1032">
        <v>11423350.560000001</v>
      </c>
      <c r="E10" s="300">
        <v>6608200.1500000004</v>
      </c>
      <c r="F10" s="1040">
        <v>57.8</v>
      </c>
      <c r="G10" s="316">
        <v>0</v>
      </c>
      <c r="H10" s="1034">
        <v>75.2</v>
      </c>
    </row>
    <row r="11" spans="1:8" ht="19.899999999999999" customHeight="1">
      <c r="A11" s="1033" t="s">
        <v>898</v>
      </c>
      <c r="B11" s="63" t="s">
        <v>126</v>
      </c>
      <c r="C11" s="299">
        <v>20834721.77</v>
      </c>
      <c r="D11" s="1032">
        <v>7564122.8799999999</v>
      </c>
      <c r="E11" s="300">
        <v>7856232.6799999997</v>
      </c>
      <c r="F11" s="1040">
        <v>103.9</v>
      </c>
      <c r="G11" s="316">
        <v>0</v>
      </c>
      <c r="H11" s="1034">
        <v>37.700000000000003</v>
      </c>
    </row>
    <row r="12" spans="1:8" ht="19.899999999999999" customHeight="1">
      <c r="A12" s="1033" t="s">
        <v>899</v>
      </c>
      <c r="B12" s="63" t="s">
        <v>102</v>
      </c>
      <c r="C12" s="299">
        <v>39242745.280000001</v>
      </c>
      <c r="D12" s="1032">
        <v>56957810.780000001</v>
      </c>
      <c r="E12" s="300">
        <v>51311792.909999996</v>
      </c>
      <c r="F12" s="1040">
        <v>90.1</v>
      </c>
      <c r="G12" s="316">
        <v>0.02</v>
      </c>
      <c r="H12" s="1034">
        <v>130.80000000000001</v>
      </c>
    </row>
    <row r="13" spans="1:8" ht="27">
      <c r="A13" s="1033" t="s">
        <v>900</v>
      </c>
      <c r="B13" s="63" t="s">
        <v>103</v>
      </c>
      <c r="C13" s="299">
        <v>545369632.5</v>
      </c>
      <c r="D13" s="1032">
        <v>613532145.46000004</v>
      </c>
      <c r="E13" s="300">
        <v>584013235.39999998</v>
      </c>
      <c r="F13" s="1040">
        <v>95.2</v>
      </c>
      <c r="G13" s="316">
        <v>0.18</v>
      </c>
      <c r="H13" s="1034">
        <v>107.1</v>
      </c>
    </row>
    <row r="14" spans="1:8" ht="19.899999999999999" customHeight="1">
      <c r="A14" s="1033" t="s">
        <v>901</v>
      </c>
      <c r="B14" s="63" t="s">
        <v>216</v>
      </c>
      <c r="C14" s="299">
        <v>12545737.630000001</v>
      </c>
      <c r="D14" s="1032">
        <v>13286092.310000001</v>
      </c>
      <c r="E14" s="300">
        <v>13127114</v>
      </c>
      <c r="F14" s="1040">
        <v>98.8</v>
      </c>
      <c r="G14" s="316">
        <v>0</v>
      </c>
      <c r="H14" s="1034">
        <v>104.6</v>
      </c>
    </row>
    <row r="15" spans="1:8" ht="19.899999999999999" customHeight="1">
      <c r="A15" s="1033" t="s">
        <v>902</v>
      </c>
      <c r="B15" s="63" t="s">
        <v>354</v>
      </c>
      <c r="C15" s="299">
        <v>975595.2</v>
      </c>
      <c r="D15" s="1032">
        <v>1300000</v>
      </c>
      <c r="E15" s="300">
        <v>937866.49</v>
      </c>
      <c r="F15" s="1040">
        <v>72.099999999999994</v>
      </c>
      <c r="G15" s="316">
        <v>0</v>
      </c>
      <c r="H15" s="1034">
        <v>96.1</v>
      </c>
    </row>
    <row r="16" spans="1:8" ht="19.899999999999999" customHeight="1">
      <c r="A16" s="1033" t="s">
        <v>903</v>
      </c>
      <c r="B16" s="63" t="s">
        <v>104</v>
      </c>
      <c r="C16" s="299">
        <v>12485018576.32</v>
      </c>
      <c r="D16" s="1032">
        <v>14035251446.25</v>
      </c>
      <c r="E16" s="300">
        <v>13119911103.1</v>
      </c>
      <c r="F16" s="1040">
        <v>93.5</v>
      </c>
      <c r="G16" s="316">
        <v>3.94</v>
      </c>
      <c r="H16" s="1034">
        <v>105.1</v>
      </c>
    </row>
    <row r="17" spans="1:8" ht="19.899999999999999" customHeight="1">
      <c r="A17" s="1033" t="s">
        <v>904</v>
      </c>
      <c r="B17" s="63" t="s">
        <v>105</v>
      </c>
      <c r="C17" s="299">
        <v>324416739.18000001</v>
      </c>
      <c r="D17" s="1032">
        <v>331140404.88999999</v>
      </c>
      <c r="E17" s="300">
        <v>242750771.66999999</v>
      </c>
      <c r="F17" s="1040">
        <v>73.3</v>
      </c>
      <c r="G17" s="316">
        <v>7.0000000000000007E-2</v>
      </c>
      <c r="H17" s="1034">
        <v>74.8</v>
      </c>
    </row>
    <row r="18" spans="1:8" ht="19.899999999999999" customHeight="1">
      <c r="A18" s="1033" t="s">
        <v>905</v>
      </c>
      <c r="B18" s="63" t="s">
        <v>106</v>
      </c>
      <c r="C18" s="299">
        <v>10269037771.67</v>
      </c>
      <c r="D18" s="1032">
        <v>13723278186.15</v>
      </c>
      <c r="E18" s="300">
        <v>13959741460.799999</v>
      </c>
      <c r="F18" s="1040">
        <v>101.7</v>
      </c>
      <c r="G18" s="316">
        <v>4.1900000000000004</v>
      </c>
      <c r="H18" s="1034">
        <v>135.9</v>
      </c>
    </row>
    <row r="19" spans="1:8" ht="19.899999999999999" customHeight="1">
      <c r="A19" s="1033" t="s">
        <v>906</v>
      </c>
      <c r="B19" s="63" t="s">
        <v>107</v>
      </c>
      <c r="C19" s="299">
        <v>1208854979.47</v>
      </c>
      <c r="D19" s="1032">
        <v>1381074490.6099999</v>
      </c>
      <c r="E19" s="300">
        <v>1399157983.9200001</v>
      </c>
      <c r="F19" s="1040">
        <v>101.3</v>
      </c>
      <c r="G19" s="316">
        <v>0.42</v>
      </c>
      <c r="H19" s="1034">
        <v>115.7</v>
      </c>
    </row>
    <row r="20" spans="1:8" ht="19.899999999999999" customHeight="1">
      <c r="A20" s="1033" t="s">
        <v>907</v>
      </c>
      <c r="B20" s="63" t="s">
        <v>108</v>
      </c>
      <c r="C20" s="299">
        <v>79875859.620000005</v>
      </c>
      <c r="D20" s="1032">
        <v>56529131.020000003</v>
      </c>
      <c r="E20" s="300">
        <v>39864292.090000004</v>
      </c>
      <c r="F20" s="1040">
        <v>70.5</v>
      </c>
      <c r="G20" s="316">
        <v>0.01</v>
      </c>
      <c r="H20" s="1034">
        <v>49.9</v>
      </c>
    </row>
    <row r="21" spans="1:8" ht="19.899999999999999" customHeight="1">
      <c r="A21" s="1033" t="s">
        <v>908</v>
      </c>
      <c r="B21" s="63" t="s">
        <v>217</v>
      </c>
      <c r="C21" s="299">
        <v>14011942.01</v>
      </c>
      <c r="D21" s="1032">
        <v>4159032.11</v>
      </c>
      <c r="E21" s="300">
        <v>3125391</v>
      </c>
      <c r="F21" s="1040">
        <v>75.099999999999994</v>
      </c>
      <c r="G21" s="316">
        <v>0</v>
      </c>
      <c r="H21" s="1034">
        <v>22.3</v>
      </c>
    </row>
    <row r="22" spans="1:8" ht="19.899999999999999" customHeight="1">
      <c r="A22" s="1033" t="s">
        <v>909</v>
      </c>
      <c r="B22" s="63" t="s">
        <v>109</v>
      </c>
      <c r="C22" s="299">
        <v>1554503447.0799999</v>
      </c>
      <c r="D22" s="1032">
        <v>1621771133.77</v>
      </c>
      <c r="E22" s="300">
        <v>1681988919.4200001</v>
      </c>
      <c r="F22" s="1040">
        <v>103.7</v>
      </c>
      <c r="G22" s="316">
        <v>0.5</v>
      </c>
      <c r="H22" s="1034">
        <v>108.2</v>
      </c>
    </row>
    <row r="23" spans="1:8" ht="40.5">
      <c r="A23" s="1033" t="s">
        <v>910</v>
      </c>
      <c r="B23" s="63" t="s">
        <v>110</v>
      </c>
      <c r="C23" s="299">
        <v>268550525.82999998</v>
      </c>
      <c r="D23" s="1032">
        <v>11591017.199999999</v>
      </c>
      <c r="E23" s="300">
        <v>11231536.220000001</v>
      </c>
      <c r="F23" s="1040">
        <v>96.9</v>
      </c>
      <c r="G23" s="316">
        <v>0</v>
      </c>
      <c r="H23" s="1034">
        <v>4.2</v>
      </c>
    </row>
    <row r="24" spans="1:8" ht="19.899999999999999" customHeight="1">
      <c r="A24" s="1033" t="s">
        <v>911</v>
      </c>
      <c r="B24" s="63" t="s">
        <v>111</v>
      </c>
      <c r="C24" s="299">
        <v>31212313.41</v>
      </c>
      <c r="D24" s="1032">
        <v>39145229.850000001</v>
      </c>
      <c r="E24" s="300">
        <v>37900074.719999999</v>
      </c>
      <c r="F24" s="1040">
        <v>96.8</v>
      </c>
      <c r="G24" s="316">
        <v>0.01</v>
      </c>
      <c r="H24" s="1034">
        <v>121.4</v>
      </c>
    </row>
    <row r="25" spans="1:8" ht="27">
      <c r="A25" s="1033" t="s">
        <v>914</v>
      </c>
      <c r="B25" s="63" t="s">
        <v>112</v>
      </c>
      <c r="C25" s="299">
        <v>3304969985.48</v>
      </c>
      <c r="D25" s="1032">
        <v>3331382300.5799999</v>
      </c>
      <c r="E25" s="300">
        <v>3312833104.4099998</v>
      </c>
      <c r="F25" s="1040">
        <v>99.4</v>
      </c>
      <c r="G25" s="316">
        <v>0.99</v>
      </c>
      <c r="H25" s="1034">
        <v>100.2</v>
      </c>
    </row>
    <row r="26" spans="1:8" ht="19.899999999999999" customHeight="1">
      <c r="A26" s="1033" t="s">
        <v>915</v>
      </c>
      <c r="B26" s="63" t="s">
        <v>113</v>
      </c>
      <c r="C26" s="299">
        <v>101070653.98</v>
      </c>
      <c r="D26" s="1032">
        <v>100839838</v>
      </c>
      <c r="E26" s="300">
        <v>99981148.069999993</v>
      </c>
      <c r="F26" s="1040">
        <v>99.1</v>
      </c>
      <c r="G26" s="316">
        <v>0.03</v>
      </c>
      <c r="H26" s="1034">
        <v>98.9</v>
      </c>
    </row>
    <row r="27" spans="1:8" ht="54">
      <c r="A27" s="1033" t="s">
        <v>916</v>
      </c>
      <c r="B27" s="63" t="s">
        <v>356</v>
      </c>
      <c r="C27" s="299">
        <v>101231470612.77</v>
      </c>
      <c r="D27" s="1032">
        <v>107300034635.5</v>
      </c>
      <c r="E27" s="300">
        <v>115394868889.88</v>
      </c>
      <c r="F27" s="1040">
        <v>107.5</v>
      </c>
      <c r="G27" s="316">
        <v>34.61</v>
      </c>
      <c r="H27" s="1034">
        <v>114</v>
      </c>
    </row>
    <row r="28" spans="1:8" ht="19.899999999999999" customHeight="1">
      <c r="A28" s="1033" t="s">
        <v>917</v>
      </c>
      <c r="B28" s="63" t="s">
        <v>357</v>
      </c>
      <c r="C28" s="299">
        <v>12399860.82</v>
      </c>
      <c r="D28" s="1032">
        <v>6189386.6900000004</v>
      </c>
      <c r="E28" s="300">
        <v>6861774.0899999999</v>
      </c>
      <c r="F28" s="1040">
        <v>110.9</v>
      </c>
      <c r="G28" s="316">
        <v>0</v>
      </c>
      <c r="H28" s="1034">
        <v>55.3</v>
      </c>
    </row>
    <row r="29" spans="1:8" ht="19.899999999999999" customHeight="1">
      <c r="A29" s="1033" t="s">
        <v>918</v>
      </c>
      <c r="B29" s="63" t="s">
        <v>114</v>
      </c>
      <c r="C29" s="299">
        <v>82756396204.649994</v>
      </c>
      <c r="D29" s="1032">
        <v>86719687805.389999</v>
      </c>
      <c r="E29" s="300">
        <v>91150276687.660004</v>
      </c>
      <c r="F29" s="1040">
        <v>105.1</v>
      </c>
      <c r="G29" s="316">
        <v>27.34</v>
      </c>
      <c r="H29" s="1034">
        <v>110.1</v>
      </c>
    </row>
    <row r="30" spans="1:8" ht="19.899999999999999" customHeight="1">
      <c r="A30" s="1033" t="s">
        <v>919</v>
      </c>
      <c r="B30" s="63" t="s">
        <v>115</v>
      </c>
      <c r="C30" s="299">
        <v>5938957144.8400002</v>
      </c>
      <c r="D30" s="1032">
        <v>7405358132.9099998</v>
      </c>
      <c r="E30" s="300">
        <v>6759175574.3599997</v>
      </c>
      <c r="F30" s="1040">
        <v>91.3</v>
      </c>
      <c r="G30" s="316">
        <v>2.0299999999999998</v>
      </c>
      <c r="H30" s="1034">
        <v>113.8</v>
      </c>
    </row>
    <row r="31" spans="1:8" ht="19.899999999999999" customHeight="1">
      <c r="A31" s="1033" t="s">
        <v>921</v>
      </c>
      <c r="B31" s="63" t="s">
        <v>116</v>
      </c>
      <c r="C31" s="299">
        <v>1399569002.75</v>
      </c>
      <c r="D31" s="1032">
        <v>2011364692.03</v>
      </c>
      <c r="E31" s="300">
        <v>2216621106.5</v>
      </c>
      <c r="F31" s="1040">
        <v>110.2</v>
      </c>
      <c r="G31" s="316">
        <v>0.66</v>
      </c>
      <c r="H31" s="1034">
        <v>158.4</v>
      </c>
    </row>
    <row r="32" spans="1:8" ht="19.899999999999999" customHeight="1">
      <c r="A32" s="1033" t="s">
        <v>922</v>
      </c>
      <c r="B32" s="63" t="s">
        <v>117</v>
      </c>
      <c r="C32" s="299">
        <v>7818437433.8900003</v>
      </c>
      <c r="D32" s="1032">
        <v>7891740929.5299997</v>
      </c>
      <c r="E32" s="300">
        <v>7688096714.8900003</v>
      </c>
      <c r="F32" s="1040">
        <v>97.4</v>
      </c>
      <c r="G32" s="316">
        <v>2.31</v>
      </c>
      <c r="H32" s="1034">
        <v>98.3</v>
      </c>
    </row>
    <row r="33" spans="1:8" ht="27">
      <c r="A33" s="1033" t="s">
        <v>923</v>
      </c>
      <c r="B33" s="63" t="s">
        <v>118</v>
      </c>
      <c r="C33" s="299">
        <v>1636196001.2</v>
      </c>
      <c r="D33" s="1032">
        <v>1461531109.3</v>
      </c>
      <c r="E33" s="300">
        <v>1326228644.23</v>
      </c>
      <c r="F33" s="1040">
        <v>90.7</v>
      </c>
      <c r="G33" s="316">
        <v>0.4</v>
      </c>
      <c r="H33" s="1034">
        <v>81.099999999999994</v>
      </c>
    </row>
    <row r="34" spans="1:8" ht="19.899999999999999" customHeight="1">
      <c r="A34" s="1033" t="s">
        <v>924</v>
      </c>
      <c r="B34" s="63" t="s">
        <v>119</v>
      </c>
      <c r="C34" s="299">
        <v>406767164</v>
      </c>
      <c r="D34" s="1032">
        <v>485086633.01999998</v>
      </c>
      <c r="E34" s="300">
        <v>413345582.79000002</v>
      </c>
      <c r="F34" s="1040">
        <v>85.2</v>
      </c>
      <c r="G34" s="316">
        <v>0.12</v>
      </c>
      <c r="H34" s="1034">
        <v>101.6</v>
      </c>
    </row>
    <row r="35" spans="1:8" ht="19.899999999999999" customHeight="1">
      <c r="A35" s="1033" t="s">
        <v>925</v>
      </c>
      <c r="B35" s="63" t="s">
        <v>120</v>
      </c>
      <c r="C35" s="299">
        <v>56585200535.129997</v>
      </c>
      <c r="D35" s="1032">
        <v>55854088123.449997</v>
      </c>
      <c r="E35" s="300">
        <v>55611205247.419998</v>
      </c>
      <c r="F35" s="1040">
        <v>99.6</v>
      </c>
      <c r="G35" s="316">
        <v>16.68</v>
      </c>
      <c r="H35" s="1034">
        <v>98.3</v>
      </c>
    </row>
    <row r="36" spans="1:8" ht="27">
      <c r="A36" s="1033" t="s">
        <v>926</v>
      </c>
      <c r="B36" s="63" t="s">
        <v>121</v>
      </c>
      <c r="C36" s="299">
        <v>12234804705.549999</v>
      </c>
      <c r="D36" s="1032">
        <v>15031977049.32</v>
      </c>
      <c r="E36" s="300">
        <v>13695169150.98</v>
      </c>
      <c r="F36" s="1040">
        <v>91.1</v>
      </c>
      <c r="G36" s="316">
        <v>4.1100000000000003</v>
      </c>
      <c r="H36" s="1034">
        <v>111.9</v>
      </c>
    </row>
    <row r="37" spans="1:8" ht="27">
      <c r="A37" s="1033" t="s">
        <v>927</v>
      </c>
      <c r="B37" s="63" t="s">
        <v>122</v>
      </c>
      <c r="C37" s="299">
        <v>851819018.85000002</v>
      </c>
      <c r="D37" s="1032">
        <v>997740485.86000001</v>
      </c>
      <c r="E37" s="300">
        <v>789802678.32000005</v>
      </c>
      <c r="F37" s="1040">
        <v>79.2</v>
      </c>
      <c r="G37" s="316">
        <v>0.24</v>
      </c>
      <c r="H37" s="1034">
        <v>92.7</v>
      </c>
    </row>
    <row r="38" spans="1:8" ht="40.5">
      <c r="A38" s="1033" t="s">
        <v>928</v>
      </c>
      <c r="B38" s="63" t="s">
        <v>123</v>
      </c>
      <c r="C38" s="299">
        <v>91717604.099999994</v>
      </c>
      <c r="D38" s="1032">
        <v>111483366.79000001</v>
      </c>
      <c r="E38" s="300">
        <v>112118892.16</v>
      </c>
      <c r="F38" s="1040">
        <v>100.6</v>
      </c>
      <c r="G38" s="316">
        <v>0.03</v>
      </c>
      <c r="H38" s="1034">
        <v>122.2</v>
      </c>
    </row>
    <row r="39" spans="1:8" ht="19.899999999999999" customHeight="1">
      <c r="A39" s="1035" t="s">
        <v>929</v>
      </c>
      <c r="B39" s="295" t="s">
        <v>124</v>
      </c>
      <c r="C39" s="301">
        <v>911929507.75</v>
      </c>
      <c r="D39" s="1036">
        <v>1085027883.0899999</v>
      </c>
      <c r="E39" s="302">
        <v>988291132.39999998</v>
      </c>
      <c r="F39" s="1041">
        <v>91.1</v>
      </c>
      <c r="G39" s="318">
        <v>0.3</v>
      </c>
      <c r="H39" s="1037">
        <v>108.4</v>
      </c>
    </row>
    <row r="41" spans="1:8" ht="13.5">
      <c r="A41" s="47" t="s">
        <v>930</v>
      </c>
      <c r="B41" s="46"/>
      <c r="C41" s="46"/>
      <c r="D41" s="46"/>
      <c r="E41" s="46"/>
      <c r="F41" s="46"/>
      <c r="G41" s="46"/>
      <c r="H41" s="46"/>
    </row>
  </sheetData>
  <mergeCells count="6">
    <mergeCell ref="A1:H1"/>
    <mergeCell ref="C5:E5"/>
    <mergeCell ref="F5:H5"/>
    <mergeCell ref="A3:A5"/>
    <mergeCell ref="B3:B5"/>
    <mergeCell ref="G3:G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24"/>
  <sheetViews>
    <sheetView showGridLines="0" workbookViewId="0">
      <selection activeCell="K15" sqref="K15"/>
    </sheetView>
  </sheetViews>
  <sheetFormatPr defaultColWidth="8.85546875" defaultRowHeight="13.5"/>
  <cols>
    <col min="1" max="1" width="3.28515625" style="1569" bestFit="1" customWidth="1"/>
    <col min="2" max="2" width="3" style="1569" bestFit="1" customWidth="1"/>
    <col min="3" max="3" width="21.85546875" style="1569" bestFit="1" customWidth="1"/>
    <col min="4" max="5" width="17.28515625" style="1569" bestFit="1" customWidth="1"/>
    <col min="6" max="6" width="14.5703125" style="1569" bestFit="1" customWidth="1"/>
    <col min="7" max="16384" width="8.85546875" style="1569"/>
  </cols>
  <sheetData>
    <row r="1" spans="1:8" ht="33" customHeight="1">
      <c r="A1" s="2238" t="s">
        <v>1173</v>
      </c>
      <c r="B1" s="2238"/>
      <c r="C1" s="2238"/>
      <c r="D1" s="2238"/>
      <c r="E1" s="2238"/>
      <c r="F1" s="2238"/>
      <c r="G1" s="2238"/>
      <c r="H1" s="2238"/>
    </row>
    <row r="2" spans="1:8">
      <c r="A2" s="2239" t="s">
        <v>41</v>
      </c>
      <c r="B2" s="2239" t="s">
        <v>67</v>
      </c>
      <c r="C2" s="2239" t="s">
        <v>40</v>
      </c>
      <c r="D2" s="2240" t="s">
        <v>1038</v>
      </c>
      <c r="E2" s="2240"/>
      <c r="F2" s="2240"/>
      <c r="G2" s="2240"/>
      <c r="H2" s="2240"/>
    </row>
    <row r="3" spans="1:8" ht="18.75" customHeight="1">
      <c r="A3" s="2239"/>
      <c r="B3" s="2239"/>
      <c r="C3" s="2239"/>
      <c r="D3" s="2084" t="s">
        <v>1172</v>
      </c>
      <c r="E3" s="2241" t="s">
        <v>21</v>
      </c>
      <c r="F3" s="2241"/>
      <c r="G3" s="2242" t="s">
        <v>1053</v>
      </c>
      <c r="H3" s="2242" t="s">
        <v>1169</v>
      </c>
    </row>
    <row r="4" spans="1:8">
      <c r="A4" s="2239"/>
      <c r="B4" s="2239"/>
      <c r="C4" s="2239"/>
      <c r="D4" s="2084"/>
      <c r="E4" s="2084" t="s">
        <v>739</v>
      </c>
      <c r="F4" s="2084" t="s">
        <v>740</v>
      </c>
      <c r="G4" s="2242"/>
      <c r="H4" s="2242"/>
    </row>
    <row r="5" spans="1:8" ht="36.75" customHeight="1">
      <c r="A5" s="2239"/>
      <c r="B5" s="2239"/>
      <c r="C5" s="2239"/>
      <c r="D5" s="2084"/>
      <c r="E5" s="2084"/>
      <c r="F5" s="2084"/>
      <c r="G5" s="2242"/>
      <c r="H5" s="2242"/>
    </row>
    <row r="6" spans="1:8">
      <c r="A6" s="2239"/>
      <c r="B6" s="2239"/>
      <c r="C6" s="2239"/>
      <c r="D6" s="2085" t="s">
        <v>4</v>
      </c>
      <c r="E6" s="2085"/>
      <c r="F6" s="2085"/>
      <c r="G6" s="2085" t="s">
        <v>5</v>
      </c>
      <c r="H6" s="2085"/>
    </row>
    <row r="7" spans="1:8">
      <c r="A7" s="937" t="s">
        <v>887</v>
      </c>
      <c r="B7" s="937" t="s">
        <v>888</v>
      </c>
      <c r="C7" s="937" t="s">
        <v>889</v>
      </c>
      <c r="D7" s="937" t="s">
        <v>890</v>
      </c>
      <c r="E7" s="937" t="s">
        <v>891</v>
      </c>
      <c r="F7" s="937" t="s">
        <v>892</v>
      </c>
      <c r="G7" s="937" t="s">
        <v>893</v>
      </c>
      <c r="H7" s="937" t="s">
        <v>894</v>
      </c>
    </row>
    <row r="8" spans="1:8">
      <c r="A8" s="1645"/>
      <c r="B8" s="1645"/>
      <c r="C8" s="1646" t="s">
        <v>933</v>
      </c>
      <c r="D8" s="1647">
        <f>SUM(D9:D322)</f>
        <v>12880419724.890005</v>
      </c>
      <c r="E8" s="1647">
        <f t="shared" ref="E8:F8" si="0">SUM(E9:E322)</f>
        <v>12339484458.450005</v>
      </c>
      <c r="F8" s="1647">
        <f t="shared" si="0"/>
        <v>540935266.4400003</v>
      </c>
      <c r="G8" s="1648">
        <f>E8/D8*100</f>
        <v>95.80032888683975</v>
      </c>
      <c r="H8" s="1648">
        <f>F8/D8*100</f>
        <v>4.1996711131602487</v>
      </c>
    </row>
    <row r="9" spans="1:8" s="1572" customFormat="1">
      <c r="A9" s="1649">
        <v>2</v>
      </c>
      <c r="B9" s="1649">
        <v>1</v>
      </c>
      <c r="C9" s="1650" t="s">
        <v>683</v>
      </c>
      <c r="D9" s="1651">
        <v>58965232.420000002</v>
      </c>
      <c r="E9" s="1651">
        <v>52774690.789999999</v>
      </c>
      <c r="F9" s="1651">
        <v>6190541.6299999999</v>
      </c>
      <c r="G9" s="1652">
        <f>E9/D9*100</f>
        <v>89.501369915909507</v>
      </c>
      <c r="H9" s="1652">
        <f>F9/D9*100</f>
        <v>10.498630084090491</v>
      </c>
    </row>
    <row r="10" spans="1:8" s="1572" customFormat="1">
      <c r="A10" s="1649">
        <v>2</v>
      </c>
      <c r="B10" s="1649">
        <v>2</v>
      </c>
      <c r="C10" s="1650" t="s">
        <v>682</v>
      </c>
      <c r="D10" s="1651">
        <v>51478477.210000001</v>
      </c>
      <c r="E10" s="1651">
        <v>51414077.210000001</v>
      </c>
      <c r="F10" s="1651">
        <v>64400</v>
      </c>
      <c r="G10" s="1652">
        <f>E10/D10*100</f>
        <v>99.874899174392269</v>
      </c>
      <c r="H10" s="1652">
        <f>F10/D10*100</f>
        <v>0.12510082560773558</v>
      </c>
    </row>
    <row r="11" spans="1:8" s="1572" customFormat="1">
      <c r="A11" s="1649">
        <v>2</v>
      </c>
      <c r="B11" s="1649">
        <v>3</v>
      </c>
      <c r="C11" s="1650" t="s">
        <v>681</v>
      </c>
      <c r="D11" s="1651">
        <v>82027263.280000001</v>
      </c>
      <c r="E11" s="1651">
        <v>81370619.579999998</v>
      </c>
      <c r="F11" s="1651">
        <v>656643.69999999995</v>
      </c>
      <c r="G11" s="1652">
        <f t="shared" ref="G11:G74" si="1">E11/D11*100</f>
        <v>99.199481155724342</v>
      </c>
      <c r="H11" s="1652">
        <f t="shared" ref="H11:H74" si="2">F11/D11*100</f>
        <v>0.80051884427564912</v>
      </c>
    </row>
    <row r="12" spans="1:8" s="1572" customFormat="1">
      <c r="A12" s="1649">
        <v>2</v>
      </c>
      <c r="B12" s="1649">
        <v>4</v>
      </c>
      <c r="C12" s="1650" t="s">
        <v>680</v>
      </c>
      <c r="D12" s="1651">
        <v>19925361.489999998</v>
      </c>
      <c r="E12" s="1651">
        <v>19052950.649999999</v>
      </c>
      <c r="F12" s="1651">
        <v>872410.84</v>
      </c>
      <c r="G12" s="1652">
        <f t="shared" si="1"/>
        <v>95.621605959631708</v>
      </c>
      <c r="H12" s="1652">
        <f t="shared" si="2"/>
        <v>4.378394040368299</v>
      </c>
    </row>
    <row r="13" spans="1:8" s="1572" customFormat="1">
      <c r="A13" s="1649">
        <v>2</v>
      </c>
      <c r="B13" s="1649">
        <v>5</v>
      </c>
      <c r="C13" s="1650" t="s">
        <v>679</v>
      </c>
      <c r="D13" s="1651">
        <v>23104797.18</v>
      </c>
      <c r="E13" s="1651">
        <v>22661731.620000001</v>
      </c>
      <c r="F13" s="1651">
        <v>443065.56</v>
      </c>
      <c r="G13" s="1652">
        <f t="shared" si="1"/>
        <v>98.082365508131247</v>
      </c>
      <c r="H13" s="1652">
        <f t="shared" si="2"/>
        <v>1.9176344918687576</v>
      </c>
    </row>
    <row r="14" spans="1:8" s="1572" customFormat="1">
      <c r="A14" s="1649">
        <v>2</v>
      </c>
      <c r="B14" s="1649">
        <v>6</v>
      </c>
      <c r="C14" s="1650" t="s">
        <v>773</v>
      </c>
      <c r="D14" s="1651">
        <v>23215113.870000001</v>
      </c>
      <c r="E14" s="1651">
        <v>22787181.640000001</v>
      </c>
      <c r="F14" s="1651">
        <v>427932.23</v>
      </c>
      <c r="G14" s="1652">
        <f t="shared" si="1"/>
        <v>98.156665384471779</v>
      </c>
      <c r="H14" s="1652">
        <f t="shared" si="2"/>
        <v>1.8433346155282071</v>
      </c>
    </row>
    <row r="15" spans="1:8" s="1572" customFormat="1">
      <c r="A15" s="1649">
        <v>2</v>
      </c>
      <c r="B15" s="1649">
        <v>7</v>
      </c>
      <c r="C15" s="1650" t="s">
        <v>678</v>
      </c>
      <c r="D15" s="1651">
        <v>21449896.370000001</v>
      </c>
      <c r="E15" s="1651">
        <v>20209460.73</v>
      </c>
      <c r="F15" s="1651">
        <v>1240435.6399999999</v>
      </c>
      <c r="G15" s="1652">
        <f t="shared" si="1"/>
        <v>94.21705532463605</v>
      </c>
      <c r="H15" s="1652">
        <f t="shared" si="2"/>
        <v>5.7829446753639484</v>
      </c>
    </row>
    <row r="16" spans="1:8" s="1572" customFormat="1">
      <c r="A16" s="1649">
        <v>2</v>
      </c>
      <c r="B16" s="1649">
        <v>8</v>
      </c>
      <c r="C16" s="1650" t="s">
        <v>677</v>
      </c>
      <c r="D16" s="1651">
        <v>86955355.030000001</v>
      </c>
      <c r="E16" s="1651">
        <v>85742562.290000007</v>
      </c>
      <c r="F16" s="1651">
        <v>1212792.74</v>
      </c>
      <c r="G16" s="1652">
        <f t="shared" si="1"/>
        <v>98.605269635686525</v>
      </c>
      <c r="H16" s="1652">
        <f t="shared" si="2"/>
        <v>1.3947303643134812</v>
      </c>
    </row>
    <row r="17" spans="1:8" s="1572" customFormat="1">
      <c r="A17" s="1649">
        <v>2</v>
      </c>
      <c r="B17" s="1649">
        <v>9</v>
      </c>
      <c r="C17" s="1650" t="s">
        <v>676</v>
      </c>
      <c r="D17" s="1651">
        <v>11261214.800000001</v>
      </c>
      <c r="E17" s="1651">
        <v>11074182.050000001</v>
      </c>
      <c r="F17" s="1651">
        <v>187032.75</v>
      </c>
      <c r="G17" s="1652">
        <f t="shared" si="1"/>
        <v>98.339142327699847</v>
      </c>
      <c r="H17" s="1652">
        <f t="shared" si="2"/>
        <v>1.6608576723001498</v>
      </c>
    </row>
    <row r="18" spans="1:8" s="1572" customFormat="1">
      <c r="A18" s="1649">
        <v>2</v>
      </c>
      <c r="B18" s="1649">
        <v>10</v>
      </c>
      <c r="C18" s="1650" t="s">
        <v>675</v>
      </c>
      <c r="D18" s="1651">
        <v>32369529.73</v>
      </c>
      <c r="E18" s="1651">
        <v>31706609.07</v>
      </c>
      <c r="F18" s="1651">
        <v>662920.66</v>
      </c>
      <c r="G18" s="1652">
        <f t="shared" si="1"/>
        <v>97.952022579476633</v>
      </c>
      <c r="H18" s="1652">
        <f t="shared" si="2"/>
        <v>2.0479774205233721</v>
      </c>
    </row>
    <row r="19" spans="1:8" s="1572" customFormat="1">
      <c r="A19" s="1649">
        <v>2</v>
      </c>
      <c r="B19" s="1649">
        <v>11</v>
      </c>
      <c r="C19" s="1650" t="s">
        <v>674</v>
      </c>
      <c r="D19" s="1651">
        <v>67252754.420000002</v>
      </c>
      <c r="E19" s="1651">
        <v>67252754.420000002</v>
      </c>
      <c r="F19" s="1651">
        <v>0</v>
      </c>
      <c r="G19" s="1652">
        <f t="shared" si="1"/>
        <v>100</v>
      </c>
      <c r="H19" s="1652">
        <f t="shared" si="2"/>
        <v>0</v>
      </c>
    </row>
    <row r="20" spans="1:8" s="1572" customFormat="1">
      <c r="A20" s="1649">
        <v>2</v>
      </c>
      <c r="B20" s="1649">
        <v>12</v>
      </c>
      <c r="C20" s="1650" t="s">
        <v>673</v>
      </c>
      <c r="D20" s="1651">
        <v>31916170.510000002</v>
      </c>
      <c r="E20" s="1651">
        <v>30919362.199999999</v>
      </c>
      <c r="F20" s="1651">
        <v>996808.31</v>
      </c>
      <c r="G20" s="1652">
        <f t="shared" si="1"/>
        <v>96.876792252730695</v>
      </c>
      <c r="H20" s="1652">
        <f t="shared" si="2"/>
        <v>3.1232077472693009</v>
      </c>
    </row>
    <row r="21" spans="1:8" s="1572" customFormat="1">
      <c r="A21" s="1649">
        <v>2</v>
      </c>
      <c r="B21" s="1649">
        <v>13</v>
      </c>
      <c r="C21" s="1650" t="s">
        <v>672</v>
      </c>
      <c r="D21" s="1651">
        <v>23032147.129999999</v>
      </c>
      <c r="E21" s="1651">
        <v>22964150.68</v>
      </c>
      <c r="F21" s="1651">
        <v>67996.45</v>
      </c>
      <c r="G21" s="1652">
        <f t="shared" si="1"/>
        <v>99.704775895984824</v>
      </c>
      <c r="H21" s="1652">
        <f t="shared" si="2"/>
        <v>0.29522410401517785</v>
      </c>
    </row>
    <row r="22" spans="1:8" s="1572" customFormat="1">
      <c r="A22" s="1649">
        <v>2</v>
      </c>
      <c r="B22" s="1649">
        <v>14</v>
      </c>
      <c r="C22" s="1650" t="s">
        <v>671</v>
      </c>
      <c r="D22" s="1651">
        <v>60706547.960000001</v>
      </c>
      <c r="E22" s="1651">
        <v>57490439.079999998</v>
      </c>
      <c r="F22" s="1651">
        <v>3216108.88</v>
      </c>
      <c r="G22" s="1652">
        <f t="shared" si="1"/>
        <v>94.702204312261145</v>
      </c>
      <c r="H22" s="1652">
        <f t="shared" si="2"/>
        <v>5.297795687738855</v>
      </c>
    </row>
    <row r="23" spans="1:8" s="1572" customFormat="1">
      <c r="A23" s="1649">
        <v>2</v>
      </c>
      <c r="B23" s="1649">
        <v>15</v>
      </c>
      <c r="C23" s="1650" t="s">
        <v>670</v>
      </c>
      <c r="D23" s="1651">
        <v>43200633.960000001</v>
      </c>
      <c r="E23" s="1651">
        <v>38487704.920000002</v>
      </c>
      <c r="F23" s="1651">
        <v>4712929.04</v>
      </c>
      <c r="G23" s="1652">
        <f t="shared" si="1"/>
        <v>89.090602132450741</v>
      </c>
      <c r="H23" s="1652">
        <f t="shared" si="2"/>
        <v>10.909397867549256</v>
      </c>
    </row>
    <row r="24" spans="1:8" s="1572" customFormat="1">
      <c r="A24" s="1649">
        <v>2</v>
      </c>
      <c r="B24" s="1649">
        <v>16</v>
      </c>
      <c r="C24" s="1650" t="s">
        <v>669</v>
      </c>
      <c r="D24" s="1651">
        <v>19247414.010000002</v>
      </c>
      <c r="E24" s="1651">
        <v>17359006.27</v>
      </c>
      <c r="F24" s="1651">
        <v>1888407.74</v>
      </c>
      <c r="G24" s="1652">
        <f t="shared" si="1"/>
        <v>90.188771649953196</v>
      </c>
      <c r="H24" s="1652">
        <f t="shared" si="2"/>
        <v>9.8112283500468003</v>
      </c>
    </row>
    <row r="25" spans="1:8" s="1572" customFormat="1">
      <c r="A25" s="1649">
        <v>2</v>
      </c>
      <c r="B25" s="1649">
        <v>17</v>
      </c>
      <c r="C25" s="1650" t="s">
        <v>668</v>
      </c>
      <c r="D25" s="1651">
        <v>31097895.789999999</v>
      </c>
      <c r="E25" s="1651">
        <v>30956933.969999999</v>
      </c>
      <c r="F25" s="1651">
        <v>140961.82</v>
      </c>
      <c r="G25" s="1652">
        <f t="shared" si="1"/>
        <v>99.546715890515884</v>
      </c>
      <c r="H25" s="1652">
        <f t="shared" si="2"/>
        <v>0.45328410948411635</v>
      </c>
    </row>
    <row r="26" spans="1:8" s="1572" customFormat="1">
      <c r="A26" s="1649">
        <v>2</v>
      </c>
      <c r="B26" s="1649">
        <v>18</v>
      </c>
      <c r="C26" s="1650" t="s">
        <v>405</v>
      </c>
      <c r="D26" s="1651">
        <v>16566373.85</v>
      </c>
      <c r="E26" s="1651">
        <v>15948587.82</v>
      </c>
      <c r="F26" s="1651">
        <v>617786.03</v>
      </c>
      <c r="G26" s="1652">
        <f t="shared" si="1"/>
        <v>96.270843362622784</v>
      </c>
      <c r="H26" s="1652">
        <f t="shared" si="2"/>
        <v>3.7291566373772254</v>
      </c>
    </row>
    <row r="27" spans="1:8" s="1572" customFormat="1">
      <c r="A27" s="1649">
        <v>2</v>
      </c>
      <c r="B27" s="1649">
        <v>19</v>
      </c>
      <c r="C27" s="1650" t="s">
        <v>626</v>
      </c>
      <c r="D27" s="1651">
        <v>99723105.870000005</v>
      </c>
      <c r="E27" s="1651">
        <v>94561495.219999999</v>
      </c>
      <c r="F27" s="1651">
        <v>5161610.6500000004</v>
      </c>
      <c r="G27" s="1652">
        <f t="shared" si="1"/>
        <v>94.824057468959367</v>
      </c>
      <c r="H27" s="1652">
        <f t="shared" si="2"/>
        <v>5.1759425310406248</v>
      </c>
    </row>
    <row r="28" spans="1:8" s="1572" customFormat="1">
      <c r="A28" s="1649">
        <v>2</v>
      </c>
      <c r="B28" s="1649">
        <v>20</v>
      </c>
      <c r="C28" s="1650" t="s">
        <v>667</v>
      </c>
      <c r="D28" s="1651">
        <v>35936023.159999996</v>
      </c>
      <c r="E28" s="1651">
        <v>33952631.289999999</v>
      </c>
      <c r="F28" s="1651">
        <v>1983391.87</v>
      </c>
      <c r="G28" s="1652">
        <f t="shared" si="1"/>
        <v>94.480769724659766</v>
      </c>
      <c r="H28" s="1652">
        <f t="shared" si="2"/>
        <v>5.5192302753402398</v>
      </c>
    </row>
    <row r="29" spans="1:8" s="1572" customFormat="1">
      <c r="A29" s="1649">
        <v>2</v>
      </c>
      <c r="B29" s="1649">
        <v>21</v>
      </c>
      <c r="C29" s="1650" t="s">
        <v>666</v>
      </c>
      <c r="D29" s="1651">
        <v>15431933.609999999</v>
      </c>
      <c r="E29" s="1651">
        <v>14956346.57</v>
      </c>
      <c r="F29" s="1651">
        <v>475587.04</v>
      </c>
      <c r="G29" s="1652">
        <f t="shared" si="1"/>
        <v>96.918162998758532</v>
      </c>
      <c r="H29" s="1652">
        <f t="shared" si="2"/>
        <v>3.0818370012414795</v>
      </c>
    </row>
    <row r="30" spans="1:8" s="1572" customFormat="1">
      <c r="A30" s="1649">
        <v>2</v>
      </c>
      <c r="B30" s="1649">
        <v>22</v>
      </c>
      <c r="C30" s="1650" t="s">
        <v>665</v>
      </c>
      <c r="D30" s="1651">
        <v>38974037.460000001</v>
      </c>
      <c r="E30" s="1651">
        <v>37479609.170000002</v>
      </c>
      <c r="F30" s="1651">
        <v>1494428.29</v>
      </c>
      <c r="G30" s="1652">
        <f t="shared" si="1"/>
        <v>96.165579992748334</v>
      </c>
      <c r="H30" s="1652">
        <f t="shared" si="2"/>
        <v>3.8344200072516683</v>
      </c>
    </row>
    <row r="31" spans="1:8" s="1572" customFormat="1">
      <c r="A31" s="1649">
        <v>2</v>
      </c>
      <c r="B31" s="1649">
        <v>23</v>
      </c>
      <c r="C31" s="1650" t="s">
        <v>664</v>
      </c>
      <c r="D31" s="1651">
        <v>31220708.809999999</v>
      </c>
      <c r="E31" s="1651">
        <v>29738509.879999999</v>
      </c>
      <c r="F31" s="1651">
        <v>1482198.93</v>
      </c>
      <c r="G31" s="1652">
        <f t="shared" si="1"/>
        <v>95.252513519086889</v>
      </c>
      <c r="H31" s="1652">
        <f t="shared" si="2"/>
        <v>4.7474864809131159</v>
      </c>
    </row>
    <row r="32" spans="1:8" s="1572" customFormat="1">
      <c r="A32" s="1649">
        <v>2</v>
      </c>
      <c r="B32" s="1649">
        <v>24</v>
      </c>
      <c r="C32" s="1650" t="s">
        <v>663</v>
      </c>
      <c r="D32" s="1651">
        <v>34205984.520000003</v>
      </c>
      <c r="E32" s="1651">
        <v>33222889.02</v>
      </c>
      <c r="F32" s="1651">
        <v>983095.5</v>
      </c>
      <c r="G32" s="1652">
        <f t="shared" si="1"/>
        <v>97.125954671980878</v>
      </c>
      <c r="H32" s="1652">
        <f t="shared" si="2"/>
        <v>2.8740453280191098</v>
      </c>
    </row>
    <row r="33" spans="1:8" s="1572" customFormat="1">
      <c r="A33" s="1649">
        <v>2</v>
      </c>
      <c r="B33" s="1649">
        <v>25</v>
      </c>
      <c r="C33" s="1650" t="s">
        <v>662</v>
      </c>
      <c r="D33" s="1651">
        <v>48761037.75</v>
      </c>
      <c r="E33" s="1651">
        <v>46769560.969999999</v>
      </c>
      <c r="F33" s="1651">
        <v>1991476.78</v>
      </c>
      <c r="G33" s="1652">
        <f t="shared" si="1"/>
        <v>95.91584414136058</v>
      </c>
      <c r="H33" s="1652">
        <f t="shared" si="2"/>
        <v>4.0841558586394111</v>
      </c>
    </row>
    <row r="34" spans="1:8" s="1572" customFormat="1">
      <c r="A34" s="1649">
        <v>2</v>
      </c>
      <c r="B34" s="1649">
        <v>26</v>
      </c>
      <c r="C34" s="1650" t="s">
        <v>661</v>
      </c>
      <c r="D34" s="1651">
        <v>20834454.890000001</v>
      </c>
      <c r="E34" s="1651">
        <v>20809547.390000001</v>
      </c>
      <c r="F34" s="1651">
        <v>24907.5</v>
      </c>
      <c r="G34" s="1652">
        <f t="shared" si="1"/>
        <v>99.880450435917311</v>
      </c>
      <c r="H34" s="1652">
        <f t="shared" si="2"/>
        <v>0.11954956408269148</v>
      </c>
    </row>
    <row r="35" spans="1:8" s="1572" customFormat="1">
      <c r="A35" s="1649">
        <v>4</v>
      </c>
      <c r="B35" s="1649">
        <v>1</v>
      </c>
      <c r="C35" s="1650" t="s">
        <v>660</v>
      </c>
      <c r="D35" s="1651">
        <v>25743554.059999999</v>
      </c>
      <c r="E35" s="1651">
        <v>25404304.059999999</v>
      </c>
      <c r="F35" s="1651">
        <v>339250</v>
      </c>
      <c r="G35" s="1652">
        <f t="shared" si="1"/>
        <v>98.682194388508606</v>
      </c>
      <c r="H35" s="1652">
        <f t="shared" si="2"/>
        <v>1.3178056114913916</v>
      </c>
    </row>
    <row r="36" spans="1:8" s="1572" customFormat="1">
      <c r="A36" s="1649">
        <v>4</v>
      </c>
      <c r="B36" s="1649">
        <v>2</v>
      </c>
      <c r="C36" s="1650" t="s">
        <v>659</v>
      </c>
      <c r="D36" s="1651">
        <v>40537045.579999998</v>
      </c>
      <c r="E36" s="1651">
        <v>40432020.579999998</v>
      </c>
      <c r="F36" s="1651">
        <v>105025</v>
      </c>
      <c r="G36" s="1652">
        <f t="shared" si="1"/>
        <v>99.740915997953692</v>
      </c>
      <c r="H36" s="1652">
        <f t="shared" si="2"/>
        <v>0.25908400204630799</v>
      </c>
    </row>
    <row r="37" spans="1:8" s="1572" customFormat="1">
      <c r="A37" s="1649">
        <v>4</v>
      </c>
      <c r="B37" s="1649">
        <v>3</v>
      </c>
      <c r="C37" s="1650" t="s">
        <v>658</v>
      </c>
      <c r="D37" s="1651">
        <v>29199889</v>
      </c>
      <c r="E37" s="1651">
        <v>22541383.18</v>
      </c>
      <c r="F37" s="1651">
        <v>6658505.8200000003</v>
      </c>
      <c r="G37" s="1652">
        <f t="shared" si="1"/>
        <v>77.196811193357618</v>
      </c>
      <c r="H37" s="1652">
        <f t="shared" si="2"/>
        <v>22.803188806642382</v>
      </c>
    </row>
    <row r="38" spans="1:8" s="1572" customFormat="1">
      <c r="A38" s="1649">
        <v>4</v>
      </c>
      <c r="B38" s="1649">
        <v>4</v>
      </c>
      <c r="C38" s="1650" t="s">
        <v>657</v>
      </c>
      <c r="D38" s="1651">
        <v>30658972.289999999</v>
      </c>
      <c r="E38" s="1651">
        <v>27909611.850000001</v>
      </c>
      <c r="F38" s="1651">
        <v>2749360.44</v>
      </c>
      <c r="G38" s="1652">
        <f t="shared" si="1"/>
        <v>91.032444225481257</v>
      </c>
      <c r="H38" s="1652">
        <f t="shared" si="2"/>
        <v>8.9675557745187557</v>
      </c>
    </row>
    <row r="39" spans="1:8" s="1572" customFormat="1">
      <c r="A39" s="1649">
        <v>4</v>
      </c>
      <c r="B39" s="1649">
        <v>5</v>
      </c>
      <c r="C39" s="1650" t="s">
        <v>656</v>
      </c>
      <c r="D39" s="1651">
        <v>26576734.719999999</v>
      </c>
      <c r="E39" s="1651">
        <v>24973053.469999999</v>
      </c>
      <c r="F39" s="1651">
        <v>1603681.25</v>
      </c>
      <c r="G39" s="1652">
        <f t="shared" si="1"/>
        <v>93.965845440022505</v>
      </c>
      <c r="H39" s="1652">
        <f t="shared" si="2"/>
        <v>6.0341545599774875</v>
      </c>
    </row>
    <row r="40" spans="1:8" s="1572" customFormat="1">
      <c r="A40" s="1649">
        <v>4</v>
      </c>
      <c r="B40" s="1649">
        <v>6</v>
      </c>
      <c r="C40" s="1650" t="s">
        <v>655</v>
      </c>
      <c r="D40" s="1651">
        <v>4492950.17</v>
      </c>
      <c r="E40" s="1651">
        <v>4313929.82</v>
      </c>
      <c r="F40" s="1651">
        <v>179020.35</v>
      </c>
      <c r="G40" s="1652">
        <f t="shared" si="1"/>
        <v>96.01552781076137</v>
      </c>
      <c r="H40" s="1652">
        <f t="shared" si="2"/>
        <v>3.9844721892386357</v>
      </c>
    </row>
    <row r="41" spans="1:8" s="1572" customFormat="1">
      <c r="A41" s="1649">
        <v>4</v>
      </c>
      <c r="B41" s="1649">
        <v>7</v>
      </c>
      <c r="C41" s="1650" t="s">
        <v>654</v>
      </c>
      <c r="D41" s="1651">
        <v>91865048.640000001</v>
      </c>
      <c r="E41" s="1651">
        <v>87902375.370000005</v>
      </c>
      <c r="F41" s="1651">
        <v>3962673.27</v>
      </c>
      <c r="G41" s="1652">
        <f t="shared" si="1"/>
        <v>95.686419014995693</v>
      </c>
      <c r="H41" s="1652">
        <f t="shared" si="2"/>
        <v>4.3135809850043092</v>
      </c>
    </row>
    <row r="42" spans="1:8" s="1572" customFormat="1">
      <c r="A42" s="1649">
        <v>4</v>
      </c>
      <c r="B42" s="1649">
        <v>8</v>
      </c>
      <c r="C42" s="1650" t="s">
        <v>653</v>
      </c>
      <c r="D42" s="1651">
        <v>30223209.449999999</v>
      </c>
      <c r="E42" s="1651">
        <v>27684710.829999998</v>
      </c>
      <c r="F42" s="1651">
        <v>2538498.62</v>
      </c>
      <c r="G42" s="1652">
        <f t="shared" si="1"/>
        <v>91.600830400889137</v>
      </c>
      <c r="H42" s="1652">
        <f t="shared" si="2"/>
        <v>8.3991695991108593</v>
      </c>
    </row>
    <row r="43" spans="1:8" s="1572" customFormat="1">
      <c r="A43" s="1649">
        <v>4</v>
      </c>
      <c r="B43" s="1649">
        <v>9</v>
      </c>
      <c r="C43" s="1650" t="s">
        <v>652</v>
      </c>
      <c r="D43" s="1651">
        <v>31941491.800000001</v>
      </c>
      <c r="E43" s="1651">
        <v>31782743.879999999</v>
      </c>
      <c r="F43" s="1651">
        <v>158747.92000000001</v>
      </c>
      <c r="G43" s="1652">
        <f t="shared" si="1"/>
        <v>99.503004051927206</v>
      </c>
      <c r="H43" s="1652">
        <f t="shared" si="2"/>
        <v>0.49699594807278225</v>
      </c>
    </row>
    <row r="44" spans="1:8" s="1572" customFormat="1">
      <c r="A44" s="1649">
        <v>4</v>
      </c>
      <c r="B44" s="1649">
        <v>10</v>
      </c>
      <c r="C44" s="1650" t="s">
        <v>651</v>
      </c>
      <c r="D44" s="1651">
        <v>48851337.469999999</v>
      </c>
      <c r="E44" s="1651">
        <v>46354955.939999998</v>
      </c>
      <c r="F44" s="1651">
        <v>2496381.5299999998</v>
      </c>
      <c r="G44" s="1652">
        <f t="shared" si="1"/>
        <v>94.88983995262555</v>
      </c>
      <c r="H44" s="1652">
        <f t="shared" si="2"/>
        <v>5.1101600473744409</v>
      </c>
    </row>
    <row r="45" spans="1:8" s="1572" customFormat="1">
      <c r="A45" s="1649">
        <v>4</v>
      </c>
      <c r="B45" s="1649">
        <v>11</v>
      </c>
      <c r="C45" s="1650" t="s">
        <v>650</v>
      </c>
      <c r="D45" s="1651">
        <v>28772076.34</v>
      </c>
      <c r="E45" s="1651">
        <v>28523416.34</v>
      </c>
      <c r="F45" s="1651">
        <v>248660</v>
      </c>
      <c r="G45" s="1652">
        <f t="shared" si="1"/>
        <v>99.135759279026018</v>
      </c>
      <c r="H45" s="1652">
        <f t="shared" si="2"/>
        <v>0.8642407209739803</v>
      </c>
    </row>
    <row r="46" spans="1:8" s="1572" customFormat="1">
      <c r="A46" s="1649">
        <v>4</v>
      </c>
      <c r="B46" s="1649">
        <v>12</v>
      </c>
      <c r="C46" s="1650" t="s">
        <v>649</v>
      </c>
      <c r="D46" s="1651">
        <v>36044431.450000003</v>
      </c>
      <c r="E46" s="1651">
        <v>33053594.77</v>
      </c>
      <c r="F46" s="1651">
        <v>2990836.68</v>
      </c>
      <c r="G46" s="1652">
        <f t="shared" si="1"/>
        <v>91.702361336594194</v>
      </c>
      <c r="H46" s="1652">
        <f t="shared" si="2"/>
        <v>8.2976386634058006</v>
      </c>
    </row>
    <row r="47" spans="1:8" s="1572" customFormat="1">
      <c r="A47" s="1649">
        <v>4</v>
      </c>
      <c r="B47" s="1649">
        <v>13</v>
      </c>
      <c r="C47" s="1650" t="s">
        <v>648</v>
      </c>
      <c r="D47" s="1651">
        <v>18433784.530000001</v>
      </c>
      <c r="E47" s="1651">
        <v>18257621.09</v>
      </c>
      <c r="F47" s="1651">
        <v>176163.44</v>
      </c>
      <c r="G47" s="1652">
        <f t="shared" si="1"/>
        <v>99.04434469376973</v>
      </c>
      <c r="H47" s="1652">
        <f t="shared" si="2"/>
        <v>0.95565530623027195</v>
      </c>
    </row>
    <row r="48" spans="1:8" s="1572" customFormat="1">
      <c r="A48" s="1649">
        <v>4</v>
      </c>
      <c r="B48" s="1649">
        <v>14</v>
      </c>
      <c r="C48" s="1650" t="s">
        <v>647</v>
      </c>
      <c r="D48" s="1651">
        <v>52795932.740000002</v>
      </c>
      <c r="E48" s="1651">
        <v>49541236.979999997</v>
      </c>
      <c r="F48" s="1651">
        <v>3254695.76</v>
      </c>
      <c r="G48" s="1652">
        <f t="shared" si="1"/>
        <v>93.835328611338014</v>
      </c>
      <c r="H48" s="1652">
        <f t="shared" si="2"/>
        <v>6.1646713886619731</v>
      </c>
    </row>
    <row r="49" spans="1:8" s="1572" customFormat="1">
      <c r="A49" s="1649">
        <v>4</v>
      </c>
      <c r="B49" s="1649">
        <v>15</v>
      </c>
      <c r="C49" s="1650" t="s">
        <v>646</v>
      </c>
      <c r="D49" s="1651">
        <v>32869162.940000001</v>
      </c>
      <c r="E49" s="1651">
        <v>29786034.859999999</v>
      </c>
      <c r="F49" s="1651">
        <v>3083128.08</v>
      </c>
      <c r="G49" s="1652">
        <f t="shared" si="1"/>
        <v>90.619998186056634</v>
      </c>
      <c r="H49" s="1652">
        <f t="shared" si="2"/>
        <v>9.3800018139433643</v>
      </c>
    </row>
    <row r="50" spans="1:8" s="1572" customFormat="1">
      <c r="A50" s="1649">
        <v>4</v>
      </c>
      <c r="B50" s="1649">
        <v>16</v>
      </c>
      <c r="C50" s="1650" t="s">
        <v>645</v>
      </c>
      <c r="D50" s="1651">
        <v>27341702.43</v>
      </c>
      <c r="E50" s="1651">
        <v>27341702.43</v>
      </c>
      <c r="F50" s="1651">
        <v>0</v>
      </c>
      <c r="G50" s="1652">
        <f t="shared" si="1"/>
        <v>100</v>
      </c>
      <c r="H50" s="1652">
        <f t="shared" si="2"/>
        <v>0</v>
      </c>
    </row>
    <row r="51" spans="1:8" s="1572" customFormat="1">
      <c r="A51" s="1649">
        <v>4</v>
      </c>
      <c r="B51" s="1649">
        <v>17</v>
      </c>
      <c r="C51" s="1650" t="s">
        <v>644</v>
      </c>
      <c r="D51" s="1651">
        <v>15891333.01</v>
      </c>
      <c r="E51" s="1651">
        <v>15466955.51</v>
      </c>
      <c r="F51" s="1651">
        <v>424377.5</v>
      </c>
      <c r="G51" s="1652">
        <f t="shared" si="1"/>
        <v>97.329503448622276</v>
      </c>
      <c r="H51" s="1652">
        <f t="shared" si="2"/>
        <v>2.6704965513777252</v>
      </c>
    </row>
    <row r="52" spans="1:8" s="1572" customFormat="1">
      <c r="A52" s="1649">
        <v>4</v>
      </c>
      <c r="B52" s="1649">
        <v>18</v>
      </c>
      <c r="C52" s="1650" t="s">
        <v>643</v>
      </c>
      <c r="D52" s="1651">
        <v>17899799.370000001</v>
      </c>
      <c r="E52" s="1651">
        <v>17765512.370000001</v>
      </c>
      <c r="F52" s="1651">
        <v>134287</v>
      </c>
      <c r="G52" s="1652">
        <f t="shared" si="1"/>
        <v>99.249784887393417</v>
      </c>
      <c r="H52" s="1652">
        <f t="shared" si="2"/>
        <v>0.75021511260659457</v>
      </c>
    </row>
    <row r="53" spans="1:8" s="1572" customFormat="1">
      <c r="A53" s="1649">
        <v>4</v>
      </c>
      <c r="B53" s="1649">
        <v>19</v>
      </c>
      <c r="C53" s="1650" t="s">
        <v>642</v>
      </c>
      <c r="D53" s="1651">
        <v>31541048.170000002</v>
      </c>
      <c r="E53" s="1651">
        <v>29724716.219999999</v>
      </c>
      <c r="F53" s="1651">
        <v>1816331.95</v>
      </c>
      <c r="G53" s="1652">
        <f t="shared" si="1"/>
        <v>94.241370989922927</v>
      </c>
      <c r="H53" s="1652">
        <f t="shared" si="2"/>
        <v>5.758629010077061</v>
      </c>
    </row>
    <row r="54" spans="1:8" s="1572" customFormat="1">
      <c r="A54" s="1649">
        <v>6</v>
      </c>
      <c r="B54" s="1649">
        <v>1</v>
      </c>
      <c r="C54" s="1650" t="s">
        <v>641</v>
      </c>
      <c r="D54" s="1651">
        <v>36601381.280000001</v>
      </c>
      <c r="E54" s="1651">
        <v>35341178.219999999</v>
      </c>
      <c r="F54" s="1651">
        <v>1260203.06</v>
      </c>
      <c r="G54" s="1652">
        <f t="shared" si="1"/>
        <v>96.556952180685556</v>
      </c>
      <c r="H54" s="1652">
        <f t="shared" si="2"/>
        <v>3.44304781931443</v>
      </c>
    </row>
    <row r="55" spans="1:8" s="1572" customFormat="1">
      <c r="A55" s="1649">
        <v>6</v>
      </c>
      <c r="B55" s="1649">
        <v>2</v>
      </c>
      <c r="C55" s="1650" t="s">
        <v>640</v>
      </c>
      <c r="D55" s="1651">
        <v>57958703.149999999</v>
      </c>
      <c r="E55" s="1651">
        <v>54382532.189999998</v>
      </c>
      <c r="F55" s="1651">
        <v>3576170.96</v>
      </c>
      <c r="G55" s="1652">
        <f t="shared" si="1"/>
        <v>93.829794723417649</v>
      </c>
      <c r="H55" s="1652">
        <f t="shared" si="2"/>
        <v>6.1702052765823492</v>
      </c>
    </row>
    <row r="56" spans="1:8" s="1572" customFormat="1">
      <c r="A56" s="1649">
        <v>6</v>
      </c>
      <c r="B56" s="1649">
        <v>3</v>
      </c>
      <c r="C56" s="1650" t="s">
        <v>639</v>
      </c>
      <c r="D56" s="1651">
        <v>15097293.66</v>
      </c>
      <c r="E56" s="1651">
        <v>13979931.359999999</v>
      </c>
      <c r="F56" s="1651">
        <v>1117362.3</v>
      </c>
      <c r="G56" s="1652">
        <f t="shared" si="1"/>
        <v>92.598923190052062</v>
      </c>
      <c r="H56" s="1652">
        <f t="shared" si="2"/>
        <v>7.401076809947936</v>
      </c>
    </row>
    <row r="57" spans="1:8" s="1572" customFormat="1">
      <c r="A57" s="1649">
        <v>6</v>
      </c>
      <c r="B57" s="1649">
        <v>4</v>
      </c>
      <c r="C57" s="1650" t="s">
        <v>638</v>
      </c>
      <c r="D57" s="1651">
        <v>32142949.710000001</v>
      </c>
      <c r="E57" s="1651">
        <v>32132749.710000001</v>
      </c>
      <c r="F57" s="1651">
        <v>10200</v>
      </c>
      <c r="G57" s="1652">
        <f t="shared" si="1"/>
        <v>99.96826675805417</v>
      </c>
      <c r="H57" s="1652">
        <f t="shared" si="2"/>
        <v>3.1733241945827627E-2</v>
      </c>
    </row>
    <row r="58" spans="1:8" s="1572" customFormat="1">
      <c r="A58" s="1649">
        <v>6</v>
      </c>
      <c r="B58" s="1649">
        <v>5</v>
      </c>
      <c r="C58" s="1650" t="s">
        <v>637</v>
      </c>
      <c r="D58" s="1651">
        <v>24426581.629999999</v>
      </c>
      <c r="E58" s="1651">
        <v>21037146.370000001</v>
      </c>
      <c r="F58" s="1651">
        <v>3389435.26</v>
      </c>
      <c r="G58" s="1652">
        <f t="shared" si="1"/>
        <v>86.123988565648517</v>
      </c>
      <c r="H58" s="1652">
        <f t="shared" si="2"/>
        <v>13.876011434351486</v>
      </c>
    </row>
    <row r="59" spans="1:8" s="1572" customFormat="1">
      <c r="A59" s="1649">
        <v>6</v>
      </c>
      <c r="B59" s="1649">
        <v>6</v>
      </c>
      <c r="C59" s="1650" t="s">
        <v>636</v>
      </c>
      <c r="D59" s="1651">
        <v>30383012.75</v>
      </c>
      <c r="E59" s="1651">
        <v>30335205.75</v>
      </c>
      <c r="F59" s="1651">
        <v>47807</v>
      </c>
      <c r="G59" s="1652">
        <f t="shared" si="1"/>
        <v>99.84265220702973</v>
      </c>
      <c r="H59" s="1652">
        <f t="shared" si="2"/>
        <v>0.15734779297026757</v>
      </c>
    </row>
    <row r="60" spans="1:8" s="1572" customFormat="1">
      <c r="A60" s="1649">
        <v>6</v>
      </c>
      <c r="B60" s="1649">
        <v>7</v>
      </c>
      <c r="C60" s="1650" t="s">
        <v>635</v>
      </c>
      <c r="D60" s="1651">
        <v>49741765.119999997</v>
      </c>
      <c r="E60" s="1651">
        <v>48775931.340000004</v>
      </c>
      <c r="F60" s="1651">
        <v>965833.78</v>
      </c>
      <c r="G60" s="1652">
        <f t="shared" si="1"/>
        <v>98.05830416819758</v>
      </c>
      <c r="H60" s="1652">
        <f t="shared" si="2"/>
        <v>1.9416958318024404</v>
      </c>
    </row>
    <row r="61" spans="1:8" s="1572" customFormat="1">
      <c r="A61" s="1649">
        <v>6</v>
      </c>
      <c r="B61" s="1649">
        <v>8</v>
      </c>
      <c r="C61" s="1650" t="s">
        <v>634</v>
      </c>
      <c r="D61" s="1651">
        <v>35036822.729999997</v>
      </c>
      <c r="E61" s="1651">
        <v>34678790.359999999</v>
      </c>
      <c r="F61" s="1651">
        <v>358032.37</v>
      </c>
      <c r="G61" s="1652">
        <f t="shared" si="1"/>
        <v>98.978125463147563</v>
      </c>
      <c r="H61" s="1652">
        <f t="shared" si="2"/>
        <v>1.021874536852446</v>
      </c>
    </row>
    <row r="62" spans="1:8" s="1572" customFormat="1">
      <c r="A62" s="1649">
        <v>6</v>
      </c>
      <c r="B62" s="1649">
        <v>9</v>
      </c>
      <c r="C62" s="1650" t="s">
        <v>633</v>
      </c>
      <c r="D62" s="1651">
        <v>55764797.289999999</v>
      </c>
      <c r="E62" s="1651">
        <v>51646196.75</v>
      </c>
      <c r="F62" s="1651">
        <v>4118600.54</v>
      </c>
      <c r="G62" s="1652">
        <f t="shared" si="1"/>
        <v>92.614336032494521</v>
      </c>
      <c r="H62" s="1652">
        <f t="shared" si="2"/>
        <v>7.3856639675054767</v>
      </c>
    </row>
    <row r="63" spans="1:8" s="1572" customFormat="1">
      <c r="A63" s="1649">
        <v>6</v>
      </c>
      <c r="B63" s="1649">
        <v>10</v>
      </c>
      <c r="C63" s="1650" t="s">
        <v>632</v>
      </c>
      <c r="D63" s="1651">
        <v>28698885.48</v>
      </c>
      <c r="E63" s="1651">
        <v>28531185.48</v>
      </c>
      <c r="F63" s="1651">
        <v>167700</v>
      </c>
      <c r="G63" s="1652">
        <f t="shared" si="1"/>
        <v>99.415656750444654</v>
      </c>
      <c r="H63" s="1652">
        <f t="shared" si="2"/>
        <v>0.58434324955534822</v>
      </c>
    </row>
    <row r="64" spans="1:8" s="1572" customFormat="1">
      <c r="A64" s="1649">
        <v>6</v>
      </c>
      <c r="B64" s="1649">
        <v>11</v>
      </c>
      <c r="C64" s="1650" t="s">
        <v>631</v>
      </c>
      <c r="D64" s="1651">
        <v>64187131.619999997</v>
      </c>
      <c r="E64" s="1651">
        <v>61755069.789999999</v>
      </c>
      <c r="F64" s="1651">
        <v>2432061.83</v>
      </c>
      <c r="G64" s="1652">
        <f t="shared" si="1"/>
        <v>96.210982219304853</v>
      </c>
      <c r="H64" s="1652">
        <f t="shared" si="2"/>
        <v>3.7890177806951524</v>
      </c>
    </row>
    <row r="65" spans="1:8" s="1572" customFormat="1">
      <c r="A65" s="1649">
        <v>6</v>
      </c>
      <c r="B65" s="1649">
        <v>12</v>
      </c>
      <c r="C65" s="1650" t="s">
        <v>531</v>
      </c>
      <c r="D65" s="1651">
        <v>22873672.579999998</v>
      </c>
      <c r="E65" s="1651">
        <v>22503158.100000001</v>
      </c>
      <c r="F65" s="1651">
        <v>370514.48</v>
      </c>
      <c r="G65" s="1652">
        <f t="shared" si="1"/>
        <v>98.380170570754942</v>
      </c>
      <c r="H65" s="1652">
        <f t="shared" si="2"/>
        <v>1.6198294292450697</v>
      </c>
    </row>
    <row r="66" spans="1:8" s="1572" customFormat="1">
      <c r="A66" s="1649">
        <v>6</v>
      </c>
      <c r="B66" s="1649">
        <v>13</v>
      </c>
      <c r="C66" s="1650" t="s">
        <v>630</v>
      </c>
      <c r="D66" s="1651">
        <v>10881719.140000001</v>
      </c>
      <c r="E66" s="1651">
        <v>10790427.140000001</v>
      </c>
      <c r="F66" s="1651">
        <v>91292</v>
      </c>
      <c r="G66" s="1652">
        <f t="shared" si="1"/>
        <v>99.161051679192667</v>
      </c>
      <c r="H66" s="1652">
        <f t="shared" si="2"/>
        <v>0.8389483208073315</v>
      </c>
    </row>
    <row r="67" spans="1:8" s="1572" customFormat="1">
      <c r="A67" s="1649">
        <v>6</v>
      </c>
      <c r="B67" s="1649">
        <v>14</v>
      </c>
      <c r="C67" s="1650" t="s">
        <v>629</v>
      </c>
      <c r="D67" s="1651">
        <v>87852661.349999994</v>
      </c>
      <c r="E67" s="1651">
        <v>84854095.010000005</v>
      </c>
      <c r="F67" s="1651">
        <v>2998566.34</v>
      </c>
      <c r="G67" s="1652">
        <f t="shared" si="1"/>
        <v>96.5868235589883</v>
      </c>
      <c r="H67" s="1652">
        <f t="shared" si="2"/>
        <v>3.4131764410117102</v>
      </c>
    </row>
    <row r="68" spans="1:8" s="1572" customFormat="1">
      <c r="A68" s="1649">
        <v>6</v>
      </c>
      <c r="B68" s="1649">
        <v>15</v>
      </c>
      <c r="C68" s="1650" t="s">
        <v>628</v>
      </c>
      <c r="D68" s="1651">
        <v>30544211.809999999</v>
      </c>
      <c r="E68" s="1651">
        <v>30442280.91</v>
      </c>
      <c r="F68" s="1651">
        <v>101930.9</v>
      </c>
      <c r="G68" s="1652">
        <f t="shared" si="1"/>
        <v>99.666284071646501</v>
      </c>
      <c r="H68" s="1652">
        <f t="shared" si="2"/>
        <v>0.33371592835349706</v>
      </c>
    </row>
    <row r="69" spans="1:8" s="1572" customFormat="1">
      <c r="A69" s="1649">
        <v>6</v>
      </c>
      <c r="B69" s="1649">
        <v>16</v>
      </c>
      <c r="C69" s="1650" t="s">
        <v>627</v>
      </c>
      <c r="D69" s="1651">
        <v>36508896.210000001</v>
      </c>
      <c r="E69" s="1651">
        <v>35386230.619999997</v>
      </c>
      <c r="F69" s="1651">
        <v>1122665.5900000001</v>
      </c>
      <c r="G69" s="1652">
        <f t="shared" si="1"/>
        <v>96.924953349609893</v>
      </c>
      <c r="H69" s="1652">
        <f t="shared" si="2"/>
        <v>3.0750466503900915</v>
      </c>
    </row>
    <row r="70" spans="1:8" s="1572" customFormat="1">
      <c r="A70" s="1649">
        <v>6</v>
      </c>
      <c r="B70" s="1649">
        <v>17</v>
      </c>
      <c r="C70" s="1650" t="s">
        <v>626</v>
      </c>
      <c r="D70" s="1651">
        <v>30352062.16</v>
      </c>
      <c r="E70" s="1651">
        <v>29345337.510000002</v>
      </c>
      <c r="F70" s="1651">
        <v>1006724.65</v>
      </c>
      <c r="G70" s="1652">
        <f t="shared" si="1"/>
        <v>96.683175447213173</v>
      </c>
      <c r="H70" s="1652">
        <f t="shared" si="2"/>
        <v>3.3168245527868274</v>
      </c>
    </row>
    <row r="71" spans="1:8" s="1572" customFormat="1">
      <c r="A71" s="1649">
        <v>6</v>
      </c>
      <c r="B71" s="1649">
        <v>18</v>
      </c>
      <c r="C71" s="1650" t="s">
        <v>597</v>
      </c>
      <c r="D71" s="1651">
        <v>41461931.100000001</v>
      </c>
      <c r="E71" s="1651">
        <v>40846809.299999997</v>
      </c>
      <c r="F71" s="1651">
        <v>615121.80000000005</v>
      </c>
      <c r="G71" s="1652">
        <f t="shared" si="1"/>
        <v>98.516417871332564</v>
      </c>
      <c r="H71" s="1652">
        <f t="shared" si="2"/>
        <v>1.4835821286674222</v>
      </c>
    </row>
    <row r="72" spans="1:8" s="1572" customFormat="1">
      <c r="A72" s="1649">
        <v>6</v>
      </c>
      <c r="B72" s="1649">
        <v>19</v>
      </c>
      <c r="C72" s="1650" t="s">
        <v>625</v>
      </c>
      <c r="D72" s="1651">
        <v>24792141.039999999</v>
      </c>
      <c r="E72" s="1651">
        <v>24772215.039999999</v>
      </c>
      <c r="F72" s="1651">
        <v>19926</v>
      </c>
      <c r="G72" s="1652">
        <f t="shared" si="1"/>
        <v>99.919627756360967</v>
      </c>
      <c r="H72" s="1652">
        <f t="shared" si="2"/>
        <v>8.0372243639026994E-2</v>
      </c>
    </row>
    <row r="73" spans="1:8" s="1572" customFormat="1">
      <c r="A73" s="1649">
        <v>6</v>
      </c>
      <c r="B73" s="1649">
        <v>20</v>
      </c>
      <c r="C73" s="1650" t="s">
        <v>624</v>
      </c>
      <c r="D73" s="1651">
        <v>9489460.3399999999</v>
      </c>
      <c r="E73" s="1651">
        <v>9410289.6999999993</v>
      </c>
      <c r="F73" s="1651">
        <v>79170.64</v>
      </c>
      <c r="G73" s="1652">
        <f t="shared" si="1"/>
        <v>99.165699237223421</v>
      </c>
      <c r="H73" s="1652">
        <f t="shared" si="2"/>
        <v>0.83430076277656895</v>
      </c>
    </row>
    <row r="74" spans="1:8" s="1572" customFormat="1">
      <c r="A74" s="1649">
        <v>8</v>
      </c>
      <c r="B74" s="1649">
        <v>1</v>
      </c>
      <c r="C74" s="1650" t="s">
        <v>623</v>
      </c>
      <c r="D74" s="1651">
        <v>14247727.859999999</v>
      </c>
      <c r="E74" s="1651">
        <v>14155908.359999999</v>
      </c>
      <c r="F74" s="1651">
        <v>91819.5</v>
      </c>
      <c r="G74" s="1652">
        <f t="shared" si="1"/>
        <v>99.355549875024067</v>
      </c>
      <c r="H74" s="1652">
        <f t="shared" si="2"/>
        <v>0.64445012497592724</v>
      </c>
    </row>
    <row r="75" spans="1:8" s="1572" customFormat="1">
      <c r="A75" s="1649">
        <v>8</v>
      </c>
      <c r="B75" s="1649">
        <v>2</v>
      </c>
      <c r="C75" s="1650" t="s">
        <v>522</v>
      </c>
      <c r="D75" s="1651">
        <v>24726076.469999999</v>
      </c>
      <c r="E75" s="1651">
        <v>24519378.969999999</v>
      </c>
      <c r="F75" s="1651">
        <v>206697.5</v>
      </c>
      <c r="G75" s="1652">
        <f t="shared" ref="G75:G138" si="3">E75/D75*100</f>
        <v>99.164050551041598</v>
      </c>
      <c r="H75" s="1652">
        <f t="shared" ref="H75:H138" si="4">F75/D75*100</f>
        <v>0.83594944895840972</v>
      </c>
    </row>
    <row r="76" spans="1:8" s="1572" customFormat="1">
      <c r="A76" s="1649">
        <v>8</v>
      </c>
      <c r="B76" s="1649">
        <v>3</v>
      </c>
      <c r="C76" s="1650" t="s">
        <v>622</v>
      </c>
      <c r="D76" s="1651">
        <v>25341939.66</v>
      </c>
      <c r="E76" s="1651">
        <v>23249522.52</v>
      </c>
      <c r="F76" s="1651">
        <v>2092417.14</v>
      </c>
      <c r="G76" s="1652">
        <f t="shared" si="3"/>
        <v>91.743263664609316</v>
      </c>
      <c r="H76" s="1652">
        <f t="shared" si="4"/>
        <v>8.2567363353906735</v>
      </c>
    </row>
    <row r="77" spans="1:8" s="1572" customFormat="1">
      <c r="A77" s="1649">
        <v>8</v>
      </c>
      <c r="B77" s="1649">
        <v>4</v>
      </c>
      <c r="C77" s="1650" t="s">
        <v>621</v>
      </c>
      <c r="D77" s="1651">
        <v>42683128.140000001</v>
      </c>
      <c r="E77" s="1651">
        <v>40555838.990000002</v>
      </c>
      <c r="F77" s="1651">
        <v>2127289.15</v>
      </c>
      <c r="G77" s="1652">
        <f t="shared" si="3"/>
        <v>95.016088926232115</v>
      </c>
      <c r="H77" s="1652">
        <f t="shared" si="4"/>
        <v>4.9839110737678931</v>
      </c>
    </row>
    <row r="78" spans="1:8" s="1572" customFormat="1">
      <c r="A78" s="1649">
        <v>8</v>
      </c>
      <c r="B78" s="1649">
        <v>5</v>
      </c>
      <c r="C78" s="1650" t="s">
        <v>620</v>
      </c>
      <c r="D78" s="1651">
        <v>22078075.550000001</v>
      </c>
      <c r="E78" s="1651">
        <v>21980804.510000002</v>
      </c>
      <c r="F78" s="1651">
        <v>97271.039999999994</v>
      </c>
      <c r="G78" s="1652">
        <f t="shared" si="3"/>
        <v>99.559422469681707</v>
      </c>
      <c r="H78" s="1652">
        <f t="shared" si="4"/>
        <v>0.44057753031830704</v>
      </c>
    </row>
    <row r="79" spans="1:8" s="1572" customFormat="1">
      <c r="A79" s="1649">
        <v>8</v>
      </c>
      <c r="B79" s="1649">
        <v>6</v>
      </c>
      <c r="C79" s="1650" t="s">
        <v>619</v>
      </c>
      <c r="D79" s="1651">
        <v>22729095.940000001</v>
      </c>
      <c r="E79" s="1651">
        <v>22091978.43</v>
      </c>
      <c r="F79" s="1651">
        <v>637117.51</v>
      </c>
      <c r="G79" s="1652">
        <f t="shared" si="3"/>
        <v>97.196907823866567</v>
      </c>
      <c r="H79" s="1652">
        <f t="shared" si="4"/>
        <v>2.8030921761334251</v>
      </c>
    </row>
    <row r="80" spans="1:8" s="1572" customFormat="1">
      <c r="A80" s="1649">
        <v>8</v>
      </c>
      <c r="B80" s="1649">
        <v>7</v>
      </c>
      <c r="C80" s="1650" t="s">
        <v>618</v>
      </c>
      <c r="D80" s="1651">
        <v>16933275.82</v>
      </c>
      <c r="E80" s="1651">
        <v>15915127.609999999</v>
      </c>
      <c r="F80" s="1651">
        <v>1018148.21</v>
      </c>
      <c r="G80" s="1652">
        <f t="shared" si="3"/>
        <v>93.987293298574514</v>
      </c>
      <c r="H80" s="1652">
        <f t="shared" si="4"/>
        <v>6.0127067014254774</v>
      </c>
    </row>
    <row r="81" spans="1:8" s="1572" customFormat="1">
      <c r="A81" s="1649">
        <v>8</v>
      </c>
      <c r="B81" s="1649">
        <v>8</v>
      </c>
      <c r="C81" s="1650" t="s">
        <v>617</v>
      </c>
      <c r="D81" s="1651">
        <v>27638640.170000002</v>
      </c>
      <c r="E81" s="1651">
        <v>26147229.539999999</v>
      </c>
      <c r="F81" s="1651">
        <v>1491410.63</v>
      </c>
      <c r="G81" s="1652">
        <f t="shared" si="3"/>
        <v>94.603892880305906</v>
      </c>
      <c r="H81" s="1652">
        <f t="shared" si="4"/>
        <v>5.3961071196940864</v>
      </c>
    </row>
    <row r="82" spans="1:8" s="1572" customFormat="1">
      <c r="A82" s="1649">
        <v>8</v>
      </c>
      <c r="B82" s="1649">
        <v>9</v>
      </c>
      <c r="C82" s="1650" t="s">
        <v>616</v>
      </c>
      <c r="D82" s="1651">
        <v>28048841.48</v>
      </c>
      <c r="E82" s="1651">
        <v>28034081.48</v>
      </c>
      <c r="F82" s="1651">
        <v>14760</v>
      </c>
      <c r="G82" s="1652">
        <f t="shared" si="3"/>
        <v>99.947377505732192</v>
      </c>
      <c r="H82" s="1652">
        <f t="shared" si="4"/>
        <v>5.2622494267809593E-2</v>
      </c>
    </row>
    <row r="83" spans="1:8" s="1572" customFormat="1">
      <c r="A83" s="1649">
        <v>8</v>
      </c>
      <c r="B83" s="1649">
        <v>10</v>
      </c>
      <c r="C83" s="1650" t="s">
        <v>615</v>
      </c>
      <c r="D83" s="1651">
        <v>38323375.130000003</v>
      </c>
      <c r="E83" s="1651">
        <v>37820778.229999997</v>
      </c>
      <c r="F83" s="1651">
        <v>502596.9</v>
      </c>
      <c r="G83" s="1652">
        <f t="shared" si="3"/>
        <v>98.688536961332076</v>
      </c>
      <c r="H83" s="1652">
        <f t="shared" si="4"/>
        <v>1.3114630386679098</v>
      </c>
    </row>
    <row r="84" spans="1:8" s="1572" customFormat="1">
      <c r="A84" s="1649">
        <v>8</v>
      </c>
      <c r="B84" s="1649">
        <v>11</v>
      </c>
      <c r="C84" s="1650" t="s">
        <v>614</v>
      </c>
      <c r="D84" s="1651">
        <v>61502797.799999997</v>
      </c>
      <c r="E84" s="1651">
        <v>60875152.270000003</v>
      </c>
      <c r="F84" s="1651">
        <v>627645.53</v>
      </c>
      <c r="G84" s="1652">
        <f t="shared" si="3"/>
        <v>98.979484588585663</v>
      </c>
      <c r="H84" s="1652">
        <f t="shared" si="4"/>
        <v>1.0205154114143407</v>
      </c>
    </row>
    <row r="85" spans="1:8" s="1572" customFormat="1">
      <c r="A85" s="1649">
        <v>8</v>
      </c>
      <c r="B85" s="1649">
        <v>12</v>
      </c>
      <c r="C85" s="1650" t="s">
        <v>613</v>
      </c>
      <c r="D85" s="1651">
        <v>23932129.739999998</v>
      </c>
      <c r="E85" s="1651">
        <v>23484858.440000001</v>
      </c>
      <c r="F85" s="1651">
        <v>447271.3</v>
      </c>
      <c r="G85" s="1652">
        <f t="shared" si="3"/>
        <v>98.131084425585286</v>
      </c>
      <c r="H85" s="1652">
        <f t="shared" si="4"/>
        <v>1.8689155744147325</v>
      </c>
    </row>
    <row r="86" spans="1:8" s="1572" customFormat="1">
      <c r="A86" s="1649">
        <v>10</v>
      </c>
      <c r="B86" s="1649">
        <v>1</v>
      </c>
      <c r="C86" s="1650" t="s">
        <v>612</v>
      </c>
      <c r="D86" s="1651">
        <v>56550937.579999998</v>
      </c>
      <c r="E86" s="1651">
        <v>54898582.859999999</v>
      </c>
      <c r="F86" s="1651">
        <v>1652354.72</v>
      </c>
      <c r="G86" s="1652">
        <f t="shared" si="3"/>
        <v>97.078112599525895</v>
      </c>
      <c r="H86" s="1652">
        <f t="shared" si="4"/>
        <v>2.9218874004741124</v>
      </c>
    </row>
    <row r="87" spans="1:8" s="1572" customFormat="1">
      <c r="A87" s="1649">
        <v>10</v>
      </c>
      <c r="B87" s="1649">
        <v>2</v>
      </c>
      <c r="C87" s="1650" t="s">
        <v>611</v>
      </c>
      <c r="D87" s="1651">
        <v>66928311.219999999</v>
      </c>
      <c r="E87" s="1651">
        <v>63079033.390000001</v>
      </c>
      <c r="F87" s="1651">
        <v>3849277.83</v>
      </c>
      <c r="G87" s="1652">
        <f t="shared" si="3"/>
        <v>94.248655374932383</v>
      </c>
      <c r="H87" s="1652">
        <f t="shared" si="4"/>
        <v>5.7513446250676221</v>
      </c>
    </row>
    <row r="88" spans="1:8" s="1572" customFormat="1">
      <c r="A88" s="1649">
        <v>10</v>
      </c>
      <c r="B88" s="1649">
        <v>3</v>
      </c>
      <c r="C88" s="1650" t="s">
        <v>610</v>
      </c>
      <c r="D88" s="1651">
        <v>20534714.18</v>
      </c>
      <c r="E88" s="1651">
        <v>18797524.789999999</v>
      </c>
      <c r="F88" s="1651">
        <v>1737189.39</v>
      </c>
      <c r="G88" s="1652">
        <f t="shared" si="3"/>
        <v>91.540230972915353</v>
      </c>
      <c r="H88" s="1652">
        <f t="shared" si="4"/>
        <v>8.4597690270846506</v>
      </c>
    </row>
    <row r="89" spans="1:8" s="1572" customFormat="1">
      <c r="A89" s="1649">
        <v>10</v>
      </c>
      <c r="B89" s="1649">
        <v>4</v>
      </c>
      <c r="C89" s="1650" t="s">
        <v>609</v>
      </c>
      <c r="D89" s="1651">
        <v>38035014.68</v>
      </c>
      <c r="E89" s="1651">
        <v>37331866.630000003</v>
      </c>
      <c r="F89" s="1651">
        <v>703148.05</v>
      </c>
      <c r="G89" s="1652">
        <f t="shared" si="3"/>
        <v>98.151313846160463</v>
      </c>
      <c r="H89" s="1652">
        <f t="shared" si="4"/>
        <v>1.8486861538395496</v>
      </c>
    </row>
    <row r="90" spans="1:8" s="1572" customFormat="1">
      <c r="A90" s="1649">
        <v>10</v>
      </c>
      <c r="B90" s="1649">
        <v>5</v>
      </c>
      <c r="C90" s="1650" t="s">
        <v>608</v>
      </c>
      <c r="D90" s="1651">
        <v>52983585.369999997</v>
      </c>
      <c r="E90" s="1651">
        <v>50001816.549999997</v>
      </c>
      <c r="F90" s="1651">
        <v>2981768.82</v>
      </c>
      <c r="G90" s="1652">
        <f t="shared" si="3"/>
        <v>94.372278132600073</v>
      </c>
      <c r="H90" s="1652">
        <f t="shared" si="4"/>
        <v>5.6277218673999299</v>
      </c>
    </row>
    <row r="91" spans="1:8" s="1572" customFormat="1">
      <c r="A91" s="1649">
        <v>10</v>
      </c>
      <c r="B91" s="1649">
        <v>6</v>
      </c>
      <c r="C91" s="1650" t="s">
        <v>607</v>
      </c>
      <c r="D91" s="1651">
        <v>16669387.23</v>
      </c>
      <c r="E91" s="1651">
        <v>15801202.32</v>
      </c>
      <c r="F91" s="1651">
        <v>868184.91</v>
      </c>
      <c r="G91" s="1652">
        <f t="shared" si="3"/>
        <v>94.791740703956279</v>
      </c>
      <c r="H91" s="1652">
        <f t="shared" si="4"/>
        <v>5.2082592960437211</v>
      </c>
    </row>
    <row r="92" spans="1:8" s="1572" customFormat="1">
      <c r="A92" s="1649">
        <v>10</v>
      </c>
      <c r="B92" s="1649">
        <v>7</v>
      </c>
      <c r="C92" s="1650" t="s">
        <v>606</v>
      </c>
      <c r="D92" s="1651">
        <v>32143281.440000001</v>
      </c>
      <c r="E92" s="1651">
        <v>31555792.399999999</v>
      </c>
      <c r="F92" s="1651">
        <v>587489.04</v>
      </c>
      <c r="G92" s="1652">
        <f t="shared" si="3"/>
        <v>98.172280446547958</v>
      </c>
      <c r="H92" s="1652">
        <f t="shared" si="4"/>
        <v>1.8277195534520385</v>
      </c>
    </row>
    <row r="93" spans="1:8" s="1572" customFormat="1">
      <c r="A93" s="1649">
        <v>10</v>
      </c>
      <c r="B93" s="1649">
        <v>8</v>
      </c>
      <c r="C93" s="1650" t="s">
        <v>605</v>
      </c>
      <c r="D93" s="1651">
        <v>43616142.740000002</v>
      </c>
      <c r="E93" s="1651">
        <v>42463538.289999999</v>
      </c>
      <c r="F93" s="1651">
        <v>1152604.45</v>
      </c>
      <c r="G93" s="1652">
        <f t="shared" si="3"/>
        <v>97.35739022849684</v>
      </c>
      <c r="H93" s="1652">
        <f t="shared" si="4"/>
        <v>2.6426097715031456</v>
      </c>
    </row>
    <row r="94" spans="1:8" s="1572" customFormat="1">
      <c r="A94" s="1649">
        <v>10</v>
      </c>
      <c r="B94" s="1649">
        <v>9</v>
      </c>
      <c r="C94" s="1650" t="s">
        <v>604</v>
      </c>
      <c r="D94" s="1651">
        <v>17265604.210000001</v>
      </c>
      <c r="E94" s="1651">
        <v>17249737.210000001</v>
      </c>
      <c r="F94" s="1651">
        <v>15867</v>
      </c>
      <c r="G94" s="1652">
        <f t="shared" si="3"/>
        <v>99.908100522825549</v>
      </c>
      <c r="H94" s="1652">
        <f t="shared" si="4"/>
        <v>9.1899477174450989E-2</v>
      </c>
    </row>
    <row r="95" spans="1:8" s="1572" customFormat="1">
      <c r="A95" s="1649">
        <v>10</v>
      </c>
      <c r="B95" s="1649">
        <v>10</v>
      </c>
      <c r="C95" s="1650" t="s">
        <v>603</v>
      </c>
      <c r="D95" s="1651">
        <v>20503952.620000001</v>
      </c>
      <c r="E95" s="1651">
        <v>20310680.620000001</v>
      </c>
      <c r="F95" s="1651">
        <v>193272</v>
      </c>
      <c r="G95" s="1652">
        <f t="shared" si="3"/>
        <v>99.057391501131946</v>
      </c>
      <c r="H95" s="1652">
        <f t="shared" si="4"/>
        <v>0.94260849886805864</v>
      </c>
    </row>
    <row r="96" spans="1:8" s="1572" customFormat="1">
      <c r="A96" s="1649">
        <v>10</v>
      </c>
      <c r="B96" s="1649">
        <v>11</v>
      </c>
      <c r="C96" s="1650" t="s">
        <v>602</v>
      </c>
      <c r="D96" s="1651">
        <v>15149396.630000001</v>
      </c>
      <c r="E96" s="1651">
        <v>15052896.630000001</v>
      </c>
      <c r="F96" s="1651">
        <v>96500</v>
      </c>
      <c r="G96" s="1652">
        <f t="shared" si="3"/>
        <v>99.363010934647363</v>
      </c>
      <c r="H96" s="1652">
        <f t="shared" si="4"/>
        <v>0.63698906535263111</v>
      </c>
    </row>
    <row r="97" spans="1:8" s="1572" customFormat="1">
      <c r="A97" s="1649">
        <v>10</v>
      </c>
      <c r="B97" s="1649">
        <v>12</v>
      </c>
      <c r="C97" s="1650" t="s">
        <v>601</v>
      </c>
      <c r="D97" s="1651">
        <v>59331292.590000004</v>
      </c>
      <c r="E97" s="1651">
        <v>57901481.420000002</v>
      </c>
      <c r="F97" s="1651">
        <v>1429811.17</v>
      </c>
      <c r="G97" s="1652">
        <f t="shared" si="3"/>
        <v>97.590123006622335</v>
      </c>
      <c r="H97" s="1652">
        <f t="shared" si="4"/>
        <v>2.4098769933776691</v>
      </c>
    </row>
    <row r="98" spans="1:8" s="1572" customFormat="1">
      <c r="A98" s="1649">
        <v>10</v>
      </c>
      <c r="B98" s="1649">
        <v>13</v>
      </c>
      <c r="C98" s="1650" t="s">
        <v>600</v>
      </c>
      <c r="D98" s="1651">
        <v>39897521.149999999</v>
      </c>
      <c r="E98" s="1651">
        <v>35541177.659999996</v>
      </c>
      <c r="F98" s="1651">
        <v>4356343.49</v>
      </c>
      <c r="G98" s="1652">
        <f t="shared" si="3"/>
        <v>89.081167540154311</v>
      </c>
      <c r="H98" s="1652">
        <f t="shared" si="4"/>
        <v>10.918832459845692</v>
      </c>
    </row>
    <row r="99" spans="1:8" s="1572" customFormat="1">
      <c r="A99" s="1649">
        <v>10</v>
      </c>
      <c r="B99" s="1649">
        <v>14</v>
      </c>
      <c r="C99" s="1650" t="s">
        <v>599</v>
      </c>
      <c r="D99" s="1651">
        <v>58863843.57</v>
      </c>
      <c r="E99" s="1651">
        <v>57117709.350000001</v>
      </c>
      <c r="F99" s="1651">
        <v>1746134.22</v>
      </c>
      <c r="G99" s="1652">
        <f t="shared" si="3"/>
        <v>97.033604817321319</v>
      </c>
      <c r="H99" s="1652">
        <f t="shared" si="4"/>
        <v>2.9663951826786903</v>
      </c>
    </row>
    <row r="100" spans="1:8" s="1572" customFormat="1">
      <c r="A100" s="1649">
        <v>10</v>
      </c>
      <c r="B100" s="1649">
        <v>15</v>
      </c>
      <c r="C100" s="1650" t="s">
        <v>598</v>
      </c>
      <c r="D100" s="1651">
        <v>5695537.4000000004</v>
      </c>
      <c r="E100" s="1651">
        <v>5543447.3799999999</v>
      </c>
      <c r="F100" s="1651">
        <v>152090.01999999999</v>
      </c>
      <c r="G100" s="1652">
        <f t="shared" si="3"/>
        <v>97.329663395766659</v>
      </c>
      <c r="H100" s="1652">
        <f t="shared" si="4"/>
        <v>2.6703366042333423</v>
      </c>
    </row>
    <row r="101" spans="1:8" s="1572" customFormat="1">
      <c r="A101" s="1649">
        <v>10</v>
      </c>
      <c r="B101" s="1649">
        <v>16</v>
      </c>
      <c r="C101" s="1650" t="s">
        <v>597</v>
      </c>
      <c r="D101" s="1651">
        <v>63789350.060000002</v>
      </c>
      <c r="E101" s="1651">
        <v>56186590.82</v>
      </c>
      <c r="F101" s="1651">
        <v>7602759.2400000002</v>
      </c>
      <c r="G101" s="1652">
        <f t="shared" si="3"/>
        <v>88.081459941433991</v>
      </c>
      <c r="H101" s="1652">
        <f t="shared" si="4"/>
        <v>11.918540058566009</v>
      </c>
    </row>
    <row r="102" spans="1:8" s="1572" customFormat="1">
      <c r="A102" s="1649">
        <v>10</v>
      </c>
      <c r="B102" s="1649">
        <v>17</v>
      </c>
      <c r="C102" s="1650" t="s">
        <v>596</v>
      </c>
      <c r="D102" s="1651">
        <v>60309319.909999996</v>
      </c>
      <c r="E102" s="1651">
        <v>56673250.399999999</v>
      </c>
      <c r="F102" s="1651">
        <v>3636069.51</v>
      </c>
      <c r="G102" s="1652">
        <f t="shared" si="3"/>
        <v>93.970965821823015</v>
      </c>
      <c r="H102" s="1652">
        <f t="shared" si="4"/>
        <v>6.0290341781769898</v>
      </c>
    </row>
    <row r="103" spans="1:8" s="1572" customFormat="1">
      <c r="A103" s="1649">
        <v>10</v>
      </c>
      <c r="B103" s="1649">
        <v>18</v>
      </c>
      <c r="C103" s="1650" t="s">
        <v>595</v>
      </c>
      <c r="D103" s="1651">
        <v>15270451.58</v>
      </c>
      <c r="E103" s="1651">
        <v>11805817.640000001</v>
      </c>
      <c r="F103" s="1651">
        <v>3464633.94</v>
      </c>
      <c r="G103" s="1652">
        <f t="shared" si="3"/>
        <v>77.31151615360416</v>
      </c>
      <c r="H103" s="1652">
        <f t="shared" si="4"/>
        <v>22.688483846395851</v>
      </c>
    </row>
    <row r="104" spans="1:8" s="1572" customFormat="1">
      <c r="A104" s="1649">
        <v>10</v>
      </c>
      <c r="B104" s="1649">
        <v>19</v>
      </c>
      <c r="C104" s="1650" t="s">
        <v>594</v>
      </c>
      <c r="D104" s="1651">
        <v>52276330.109999999</v>
      </c>
      <c r="E104" s="1651">
        <v>50358681.729999997</v>
      </c>
      <c r="F104" s="1651">
        <v>1917648.38</v>
      </c>
      <c r="G104" s="1652">
        <f t="shared" si="3"/>
        <v>96.331708105819828</v>
      </c>
      <c r="H104" s="1652">
        <f t="shared" si="4"/>
        <v>3.6682918941801743</v>
      </c>
    </row>
    <row r="105" spans="1:8" s="1572" customFormat="1">
      <c r="A105" s="1649">
        <v>10</v>
      </c>
      <c r="B105" s="1649">
        <v>20</v>
      </c>
      <c r="C105" s="1650" t="s">
        <v>593</v>
      </c>
      <c r="D105" s="1651">
        <v>90240199.090000004</v>
      </c>
      <c r="E105" s="1651">
        <v>83409300.950000003</v>
      </c>
      <c r="F105" s="1651">
        <v>6830898.1399999997</v>
      </c>
      <c r="G105" s="1652">
        <f t="shared" si="3"/>
        <v>92.430315747433937</v>
      </c>
      <c r="H105" s="1652">
        <f t="shared" si="4"/>
        <v>7.5696842525660699</v>
      </c>
    </row>
    <row r="106" spans="1:8" s="1572" customFormat="1">
      <c r="A106" s="1649">
        <v>10</v>
      </c>
      <c r="B106" s="1649">
        <v>21</v>
      </c>
      <c r="C106" s="1650" t="s">
        <v>592</v>
      </c>
      <c r="D106" s="1651">
        <v>10910772.449999999</v>
      </c>
      <c r="E106" s="1651">
        <v>9167761.1999999993</v>
      </c>
      <c r="F106" s="1651">
        <v>1743011.25</v>
      </c>
      <c r="G106" s="1652">
        <f t="shared" si="3"/>
        <v>84.024859303155935</v>
      </c>
      <c r="H106" s="1652">
        <f t="shared" si="4"/>
        <v>15.975140696844065</v>
      </c>
    </row>
    <row r="107" spans="1:8" s="1572" customFormat="1">
      <c r="A107" s="1649">
        <v>12</v>
      </c>
      <c r="B107" s="1649">
        <v>1</v>
      </c>
      <c r="C107" s="1650" t="s">
        <v>591</v>
      </c>
      <c r="D107" s="1651">
        <v>63302722.280000001</v>
      </c>
      <c r="E107" s="1651">
        <v>60687627.710000001</v>
      </c>
      <c r="F107" s="1651">
        <v>2615094.5699999998</v>
      </c>
      <c r="G107" s="1652">
        <f t="shared" si="3"/>
        <v>95.868906619160967</v>
      </c>
      <c r="H107" s="1652">
        <f t="shared" si="4"/>
        <v>4.1310933808390393</v>
      </c>
    </row>
    <row r="108" spans="1:8" s="1572" customFormat="1">
      <c r="A108" s="1649">
        <v>12</v>
      </c>
      <c r="B108" s="1649">
        <v>2</v>
      </c>
      <c r="C108" s="1650" t="s">
        <v>539</v>
      </c>
      <c r="D108" s="1651">
        <v>43546149.420000002</v>
      </c>
      <c r="E108" s="1651">
        <v>42754423.560000002</v>
      </c>
      <c r="F108" s="1651">
        <v>791725.86</v>
      </c>
      <c r="G108" s="1652">
        <f t="shared" si="3"/>
        <v>98.181869417743812</v>
      </c>
      <c r="H108" s="1652">
        <f t="shared" si="4"/>
        <v>1.8181305822561979</v>
      </c>
    </row>
    <row r="109" spans="1:8" s="1572" customFormat="1">
      <c r="A109" s="1649">
        <v>12</v>
      </c>
      <c r="B109" s="1649">
        <v>3</v>
      </c>
      <c r="C109" s="1650" t="s">
        <v>590</v>
      </c>
      <c r="D109" s="1651">
        <v>55755270.859999999</v>
      </c>
      <c r="E109" s="1651">
        <v>55471295.990000002</v>
      </c>
      <c r="F109" s="1651">
        <v>283974.87</v>
      </c>
      <c r="G109" s="1652">
        <f t="shared" si="3"/>
        <v>99.490676189677117</v>
      </c>
      <c r="H109" s="1652">
        <f t="shared" si="4"/>
        <v>0.50932381032289009</v>
      </c>
    </row>
    <row r="110" spans="1:8" s="1572" customFormat="1">
      <c r="A110" s="1649">
        <v>12</v>
      </c>
      <c r="B110" s="1649">
        <v>4</v>
      </c>
      <c r="C110" s="1650" t="s">
        <v>589</v>
      </c>
      <c r="D110" s="1651">
        <v>23193300.420000002</v>
      </c>
      <c r="E110" s="1651">
        <v>20853511.07</v>
      </c>
      <c r="F110" s="1651">
        <v>2339789.35</v>
      </c>
      <c r="G110" s="1652">
        <f t="shared" si="3"/>
        <v>89.911787854123787</v>
      </c>
      <c r="H110" s="1652">
        <f t="shared" si="4"/>
        <v>10.088212145876218</v>
      </c>
    </row>
    <row r="111" spans="1:8" s="1572" customFormat="1">
      <c r="A111" s="1649">
        <v>12</v>
      </c>
      <c r="B111" s="1649">
        <v>5</v>
      </c>
      <c r="C111" s="1650" t="s">
        <v>588</v>
      </c>
      <c r="D111" s="1651">
        <v>70064245.379999995</v>
      </c>
      <c r="E111" s="1651">
        <v>63980924.380000003</v>
      </c>
      <c r="F111" s="1651">
        <v>6083321</v>
      </c>
      <c r="G111" s="1652">
        <f t="shared" si="3"/>
        <v>91.317510140862098</v>
      </c>
      <c r="H111" s="1652">
        <f t="shared" si="4"/>
        <v>8.6824898591379078</v>
      </c>
    </row>
    <row r="112" spans="1:8" s="1572" customFormat="1">
      <c r="A112" s="1649">
        <v>12</v>
      </c>
      <c r="B112" s="1649">
        <v>6</v>
      </c>
      <c r="C112" s="1650" t="s">
        <v>587</v>
      </c>
      <c r="D112" s="1651">
        <v>65380985.009999998</v>
      </c>
      <c r="E112" s="1651">
        <v>61771568.840000004</v>
      </c>
      <c r="F112" s="1651">
        <v>3609416.17</v>
      </c>
      <c r="G112" s="1652">
        <f t="shared" si="3"/>
        <v>94.479409924081239</v>
      </c>
      <c r="H112" s="1652">
        <f t="shared" si="4"/>
        <v>5.520590075918772</v>
      </c>
    </row>
    <row r="113" spans="1:8" s="1572" customFormat="1">
      <c r="A113" s="1649">
        <v>12</v>
      </c>
      <c r="B113" s="1649">
        <v>7</v>
      </c>
      <c r="C113" s="1650" t="s">
        <v>586</v>
      </c>
      <c r="D113" s="1651">
        <v>69639620.640000001</v>
      </c>
      <c r="E113" s="1651">
        <v>69153336.120000005</v>
      </c>
      <c r="F113" s="1651">
        <v>486284.52</v>
      </c>
      <c r="G113" s="1652">
        <f t="shared" si="3"/>
        <v>99.301712853213502</v>
      </c>
      <c r="H113" s="1652">
        <f t="shared" si="4"/>
        <v>0.69828714678650206</v>
      </c>
    </row>
    <row r="114" spans="1:8" s="1572" customFormat="1">
      <c r="A114" s="1649">
        <v>12</v>
      </c>
      <c r="B114" s="1649">
        <v>8</v>
      </c>
      <c r="C114" s="1650" t="s">
        <v>585</v>
      </c>
      <c r="D114" s="1651">
        <v>32317921.91</v>
      </c>
      <c r="E114" s="1651">
        <v>32059763.199999999</v>
      </c>
      <c r="F114" s="1651">
        <v>258158.71</v>
      </c>
      <c r="G114" s="1652">
        <f t="shared" si="3"/>
        <v>99.201190253757858</v>
      </c>
      <c r="H114" s="1652">
        <f t="shared" si="4"/>
        <v>0.79880974624212764</v>
      </c>
    </row>
    <row r="115" spans="1:8" s="1572" customFormat="1">
      <c r="A115" s="1649">
        <v>12</v>
      </c>
      <c r="B115" s="1649">
        <v>9</v>
      </c>
      <c r="C115" s="1650" t="s">
        <v>584</v>
      </c>
      <c r="D115" s="1651">
        <v>58562421.469999999</v>
      </c>
      <c r="E115" s="1651">
        <v>58173037.469999999</v>
      </c>
      <c r="F115" s="1651">
        <v>389384</v>
      </c>
      <c r="G115" s="1652">
        <f t="shared" si="3"/>
        <v>99.335095799958566</v>
      </c>
      <c r="H115" s="1652">
        <f t="shared" si="4"/>
        <v>0.66490420004144002</v>
      </c>
    </row>
    <row r="116" spans="1:8" s="1572" customFormat="1">
      <c r="A116" s="1649">
        <v>12</v>
      </c>
      <c r="B116" s="1649">
        <v>10</v>
      </c>
      <c r="C116" s="1650" t="s">
        <v>583</v>
      </c>
      <c r="D116" s="1651">
        <v>57143682.390000001</v>
      </c>
      <c r="E116" s="1651">
        <v>55135867.939999998</v>
      </c>
      <c r="F116" s="1651">
        <v>2007814.45</v>
      </c>
      <c r="G116" s="1652">
        <f t="shared" si="3"/>
        <v>96.486375455650773</v>
      </c>
      <c r="H116" s="1652">
        <f t="shared" si="4"/>
        <v>3.5136245443492151</v>
      </c>
    </row>
    <row r="117" spans="1:8" s="1572" customFormat="1">
      <c r="A117" s="1649">
        <v>12</v>
      </c>
      <c r="B117" s="1649">
        <v>11</v>
      </c>
      <c r="C117" s="1650" t="s">
        <v>582</v>
      </c>
      <c r="D117" s="1651">
        <v>98484104.299999997</v>
      </c>
      <c r="E117" s="1651">
        <v>98318034.879999995</v>
      </c>
      <c r="F117" s="1651">
        <v>166069.42000000001</v>
      </c>
      <c r="G117" s="1652">
        <f t="shared" si="3"/>
        <v>99.831374391653981</v>
      </c>
      <c r="H117" s="1652">
        <f t="shared" si="4"/>
        <v>0.16862560834601611</v>
      </c>
    </row>
    <row r="118" spans="1:8" s="1572" customFormat="1">
      <c r="A118" s="1649">
        <v>12</v>
      </c>
      <c r="B118" s="1649">
        <v>12</v>
      </c>
      <c r="C118" s="1650" t="s">
        <v>581</v>
      </c>
      <c r="D118" s="1651">
        <v>62311368.829999998</v>
      </c>
      <c r="E118" s="1651">
        <v>62052301.100000001</v>
      </c>
      <c r="F118" s="1651">
        <v>259067.73</v>
      </c>
      <c r="G118" s="1652">
        <f t="shared" si="3"/>
        <v>99.584236817671595</v>
      </c>
      <c r="H118" s="1652">
        <f t="shared" si="4"/>
        <v>0.41576318232840853</v>
      </c>
    </row>
    <row r="119" spans="1:8" s="1572" customFormat="1">
      <c r="A119" s="1649">
        <v>12</v>
      </c>
      <c r="B119" s="1649">
        <v>13</v>
      </c>
      <c r="C119" s="1650" t="s">
        <v>580</v>
      </c>
      <c r="D119" s="1651">
        <v>108102723.53</v>
      </c>
      <c r="E119" s="1651">
        <v>96901955.650000006</v>
      </c>
      <c r="F119" s="1651">
        <v>11200767.880000001</v>
      </c>
      <c r="G119" s="1652">
        <f t="shared" si="3"/>
        <v>89.638773645798452</v>
      </c>
      <c r="H119" s="1652">
        <f t="shared" si="4"/>
        <v>10.361226354201552</v>
      </c>
    </row>
    <row r="120" spans="1:8" s="1572" customFormat="1">
      <c r="A120" s="1649">
        <v>12</v>
      </c>
      <c r="B120" s="1649">
        <v>14</v>
      </c>
      <c r="C120" s="1650" t="s">
        <v>579</v>
      </c>
      <c r="D120" s="1651">
        <v>12527253.85</v>
      </c>
      <c r="E120" s="1651">
        <v>12396786.85</v>
      </c>
      <c r="F120" s="1651">
        <v>130467</v>
      </c>
      <c r="G120" s="1652">
        <f t="shared" si="3"/>
        <v>98.958534715092412</v>
      </c>
      <c r="H120" s="1652">
        <f t="shared" si="4"/>
        <v>1.0414652849075938</v>
      </c>
    </row>
    <row r="121" spans="1:8" s="1572" customFormat="1">
      <c r="A121" s="1649">
        <v>12</v>
      </c>
      <c r="B121" s="1649">
        <v>15</v>
      </c>
      <c r="C121" s="1650" t="s">
        <v>578</v>
      </c>
      <c r="D121" s="1651">
        <v>54244435.420000002</v>
      </c>
      <c r="E121" s="1651">
        <v>53345845.869999997</v>
      </c>
      <c r="F121" s="1651">
        <v>898589.55</v>
      </c>
      <c r="G121" s="1652">
        <f t="shared" si="3"/>
        <v>98.343443814941622</v>
      </c>
      <c r="H121" s="1652">
        <f t="shared" si="4"/>
        <v>1.6565561850583641</v>
      </c>
    </row>
    <row r="122" spans="1:8" s="1572" customFormat="1">
      <c r="A122" s="1649">
        <v>12</v>
      </c>
      <c r="B122" s="1649">
        <v>16</v>
      </c>
      <c r="C122" s="1650" t="s">
        <v>577</v>
      </c>
      <c r="D122" s="1651">
        <v>59588841.780000001</v>
      </c>
      <c r="E122" s="1651">
        <v>58716027.329999998</v>
      </c>
      <c r="F122" s="1651">
        <v>872814.45</v>
      </c>
      <c r="G122" s="1652">
        <f t="shared" si="3"/>
        <v>98.535272000717171</v>
      </c>
      <c r="H122" s="1652">
        <f t="shared" si="4"/>
        <v>1.4647279992828213</v>
      </c>
    </row>
    <row r="123" spans="1:8" s="1572" customFormat="1">
      <c r="A123" s="1649">
        <v>12</v>
      </c>
      <c r="B123" s="1649">
        <v>17</v>
      </c>
      <c r="C123" s="1650" t="s">
        <v>576</v>
      </c>
      <c r="D123" s="1651">
        <v>30686345.84</v>
      </c>
      <c r="E123" s="1651">
        <v>26458469.469999999</v>
      </c>
      <c r="F123" s="1651">
        <v>4227876.37</v>
      </c>
      <c r="G123" s="1652">
        <f t="shared" si="3"/>
        <v>86.222287945119504</v>
      </c>
      <c r="H123" s="1652">
        <f t="shared" si="4"/>
        <v>13.777712054880498</v>
      </c>
    </row>
    <row r="124" spans="1:8" s="1572" customFormat="1">
      <c r="A124" s="1649">
        <v>12</v>
      </c>
      <c r="B124" s="1649">
        <v>18</v>
      </c>
      <c r="C124" s="1650" t="s">
        <v>575</v>
      </c>
      <c r="D124" s="1651">
        <v>95078293.260000005</v>
      </c>
      <c r="E124" s="1651">
        <v>89986771.739999995</v>
      </c>
      <c r="F124" s="1651">
        <v>5091521.5199999996</v>
      </c>
      <c r="G124" s="1652">
        <f t="shared" si="3"/>
        <v>94.644916999007549</v>
      </c>
      <c r="H124" s="1652">
        <f t="shared" si="4"/>
        <v>5.3550830009924377</v>
      </c>
    </row>
    <row r="125" spans="1:8" s="1572" customFormat="1">
      <c r="A125" s="1649">
        <v>12</v>
      </c>
      <c r="B125" s="1649">
        <v>19</v>
      </c>
      <c r="C125" s="1650" t="s">
        <v>574</v>
      </c>
      <c r="D125" s="1651">
        <v>41624785.060000002</v>
      </c>
      <c r="E125" s="1651">
        <v>38215049.880000003</v>
      </c>
      <c r="F125" s="1651">
        <v>3409735.18</v>
      </c>
      <c r="G125" s="1652">
        <f t="shared" si="3"/>
        <v>91.808401712861595</v>
      </c>
      <c r="H125" s="1652">
        <f t="shared" si="4"/>
        <v>8.1915982871383992</v>
      </c>
    </row>
    <row r="126" spans="1:8" s="1572" customFormat="1">
      <c r="A126" s="1649">
        <v>14</v>
      </c>
      <c r="B126" s="1649">
        <v>1</v>
      </c>
      <c r="C126" s="1650" t="s">
        <v>573</v>
      </c>
      <c r="D126" s="1651">
        <v>14012566.560000001</v>
      </c>
      <c r="E126" s="1651">
        <v>14012566.560000001</v>
      </c>
      <c r="F126" s="1651">
        <v>0</v>
      </c>
      <c r="G126" s="1652">
        <f t="shared" si="3"/>
        <v>100</v>
      </c>
      <c r="H126" s="1652">
        <f t="shared" si="4"/>
        <v>0</v>
      </c>
    </row>
    <row r="127" spans="1:8" s="1572" customFormat="1">
      <c r="A127" s="1649">
        <v>14</v>
      </c>
      <c r="B127" s="1649">
        <v>2</v>
      </c>
      <c r="C127" s="1650" t="s">
        <v>572</v>
      </c>
      <c r="D127" s="1651">
        <v>50986617.060000002</v>
      </c>
      <c r="E127" s="1651">
        <v>49963099.240000002</v>
      </c>
      <c r="F127" s="1651">
        <v>1023517.82</v>
      </c>
      <c r="G127" s="1652">
        <f t="shared" si="3"/>
        <v>97.992575544293231</v>
      </c>
      <c r="H127" s="1652">
        <f t="shared" si="4"/>
        <v>2.0074244557067695</v>
      </c>
    </row>
    <row r="128" spans="1:8" s="1572" customFormat="1">
      <c r="A128" s="1649">
        <v>14</v>
      </c>
      <c r="B128" s="1649">
        <v>3</v>
      </c>
      <c r="C128" s="1650" t="s">
        <v>571</v>
      </c>
      <c r="D128" s="1651">
        <v>82322046.420000002</v>
      </c>
      <c r="E128" s="1651">
        <v>81872814.230000004</v>
      </c>
      <c r="F128" s="1651">
        <v>449232.19</v>
      </c>
      <c r="G128" s="1652">
        <f t="shared" si="3"/>
        <v>99.454299049238827</v>
      </c>
      <c r="H128" s="1652">
        <f t="shared" si="4"/>
        <v>0.54570095076118008</v>
      </c>
    </row>
    <row r="129" spans="1:8" s="1572" customFormat="1">
      <c r="A129" s="1649">
        <v>14</v>
      </c>
      <c r="B129" s="1649">
        <v>4</v>
      </c>
      <c r="C129" s="1650" t="s">
        <v>570</v>
      </c>
      <c r="D129" s="1651">
        <v>25650378.629999999</v>
      </c>
      <c r="E129" s="1651">
        <v>25356587.390000001</v>
      </c>
      <c r="F129" s="1651">
        <v>293791.24</v>
      </c>
      <c r="G129" s="1652">
        <f t="shared" si="3"/>
        <v>98.85463195597282</v>
      </c>
      <c r="H129" s="1652">
        <f t="shared" si="4"/>
        <v>1.1453680440271925</v>
      </c>
    </row>
    <row r="130" spans="1:8" s="1572" customFormat="1">
      <c r="A130" s="1649">
        <v>14</v>
      </c>
      <c r="B130" s="1649">
        <v>5</v>
      </c>
      <c r="C130" s="1650" t="s">
        <v>425</v>
      </c>
      <c r="D130" s="1651">
        <v>43190983.079999998</v>
      </c>
      <c r="E130" s="1651">
        <v>41706887.32</v>
      </c>
      <c r="F130" s="1651">
        <v>1484095.76</v>
      </c>
      <c r="G130" s="1652">
        <f t="shared" si="3"/>
        <v>96.563875943154386</v>
      </c>
      <c r="H130" s="1652">
        <f t="shared" si="4"/>
        <v>3.4361240568456171</v>
      </c>
    </row>
    <row r="131" spans="1:8" s="1572" customFormat="1">
      <c r="A131" s="1649">
        <v>14</v>
      </c>
      <c r="B131" s="1649">
        <v>6</v>
      </c>
      <c r="C131" s="1650" t="s">
        <v>569</v>
      </c>
      <c r="D131" s="1651">
        <v>53855817.549999997</v>
      </c>
      <c r="E131" s="1651">
        <v>53549517.57</v>
      </c>
      <c r="F131" s="1651">
        <v>306299.98</v>
      </c>
      <c r="G131" s="1652">
        <f t="shared" si="3"/>
        <v>99.431259251211586</v>
      </c>
      <c r="H131" s="1652">
        <f t="shared" si="4"/>
        <v>0.56874074878842873</v>
      </c>
    </row>
    <row r="132" spans="1:8" s="1572" customFormat="1">
      <c r="A132" s="1649">
        <v>14</v>
      </c>
      <c r="B132" s="1649">
        <v>7</v>
      </c>
      <c r="C132" s="1650" t="s">
        <v>568</v>
      </c>
      <c r="D132" s="1651">
        <v>26754250.050000001</v>
      </c>
      <c r="E132" s="1651">
        <v>23572766.09</v>
      </c>
      <c r="F132" s="1651">
        <v>3181483.96</v>
      </c>
      <c r="G132" s="1652">
        <f t="shared" si="3"/>
        <v>88.108491346031954</v>
      </c>
      <c r="H132" s="1652">
        <f t="shared" si="4"/>
        <v>11.891508653968044</v>
      </c>
    </row>
    <row r="133" spans="1:8" s="1572" customFormat="1">
      <c r="A133" s="1649">
        <v>14</v>
      </c>
      <c r="B133" s="1649">
        <v>8</v>
      </c>
      <c r="C133" s="1650" t="s">
        <v>567</v>
      </c>
      <c r="D133" s="1651">
        <v>34988448.359999999</v>
      </c>
      <c r="E133" s="1651">
        <v>34668586.359999999</v>
      </c>
      <c r="F133" s="1651">
        <v>319862</v>
      </c>
      <c r="G133" s="1652">
        <f t="shared" si="3"/>
        <v>99.085806844850893</v>
      </c>
      <c r="H133" s="1652">
        <f t="shared" si="4"/>
        <v>0.91419315514910704</v>
      </c>
    </row>
    <row r="134" spans="1:8" s="1572" customFormat="1">
      <c r="A134" s="1649">
        <v>14</v>
      </c>
      <c r="B134" s="1649">
        <v>9</v>
      </c>
      <c r="C134" s="1650" t="s">
        <v>566</v>
      </c>
      <c r="D134" s="1651">
        <v>29348013.539999999</v>
      </c>
      <c r="E134" s="1651">
        <v>29143701.760000002</v>
      </c>
      <c r="F134" s="1651">
        <v>204311.78</v>
      </c>
      <c r="G134" s="1652">
        <f t="shared" si="3"/>
        <v>99.303830974040096</v>
      </c>
      <c r="H134" s="1652">
        <f t="shared" si="4"/>
        <v>0.69616902595990826</v>
      </c>
    </row>
    <row r="135" spans="1:8" s="1572" customFormat="1">
      <c r="A135" s="1649">
        <v>14</v>
      </c>
      <c r="B135" s="1649">
        <v>10</v>
      </c>
      <c r="C135" s="1650" t="s">
        <v>565</v>
      </c>
      <c r="D135" s="1651">
        <v>20244614.989999998</v>
      </c>
      <c r="E135" s="1651">
        <v>20064126</v>
      </c>
      <c r="F135" s="1651">
        <v>180488.99</v>
      </c>
      <c r="G135" s="1652">
        <f t="shared" si="3"/>
        <v>99.108459261442349</v>
      </c>
      <c r="H135" s="1652">
        <f t="shared" si="4"/>
        <v>0.89154073855765636</v>
      </c>
    </row>
    <row r="136" spans="1:8" s="1572" customFormat="1">
      <c r="A136" s="1649">
        <v>14</v>
      </c>
      <c r="B136" s="1649">
        <v>11</v>
      </c>
      <c r="C136" s="1650" t="s">
        <v>564</v>
      </c>
      <c r="D136" s="1651">
        <v>25824101.600000001</v>
      </c>
      <c r="E136" s="1651">
        <v>22419766.239999998</v>
      </c>
      <c r="F136" s="1651">
        <v>3404335.36</v>
      </c>
      <c r="G136" s="1652">
        <f t="shared" si="3"/>
        <v>86.817216673280114</v>
      </c>
      <c r="H136" s="1652">
        <f t="shared" si="4"/>
        <v>13.182783326719871</v>
      </c>
    </row>
    <row r="137" spans="1:8" s="1572" customFormat="1">
      <c r="A137" s="1649">
        <v>14</v>
      </c>
      <c r="B137" s="1649">
        <v>12</v>
      </c>
      <c r="C137" s="1650" t="s">
        <v>563</v>
      </c>
      <c r="D137" s="1651">
        <v>89148378</v>
      </c>
      <c r="E137" s="1651">
        <v>88521030.769999996</v>
      </c>
      <c r="F137" s="1651">
        <v>627347.23</v>
      </c>
      <c r="G137" s="1652">
        <f t="shared" si="3"/>
        <v>99.296288677288103</v>
      </c>
      <c r="H137" s="1652">
        <f t="shared" si="4"/>
        <v>0.70371132271189496</v>
      </c>
    </row>
    <row r="138" spans="1:8" s="1572" customFormat="1">
      <c r="A138" s="1649">
        <v>14</v>
      </c>
      <c r="B138" s="1649">
        <v>13</v>
      </c>
      <c r="C138" s="1650" t="s">
        <v>562</v>
      </c>
      <c r="D138" s="1651">
        <v>42936129.079999998</v>
      </c>
      <c r="E138" s="1651">
        <v>42888129.079999998</v>
      </c>
      <c r="F138" s="1651">
        <v>48000</v>
      </c>
      <c r="G138" s="1652">
        <f t="shared" si="3"/>
        <v>99.888206037599332</v>
      </c>
      <c r="H138" s="1652">
        <f t="shared" si="4"/>
        <v>0.11179396240067388</v>
      </c>
    </row>
    <row r="139" spans="1:8" s="1572" customFormat="1">
      <c r="A139" s="1649">
        <v>14</v>
      </c>
      <c r="B139" s="1649">
        <v>14</v>
      </c>
      <c r="C139" s="1650" t="s">
        <v>485</v>
      </c>
      <c r="D139" s="1651">
        <v>23484579.219999999</v>
      </c>
      <c r="E139" s="1651">
        <v>23472279.219999999</v>
      </c>
      <c r="F139" s="1651">
        <v>12300</v>
      </c>
      <c r="G139" s="1652">
        <f t="shared" ref="G139:G202" si="5">E139/D139*100</f>
        <v>99.947625205949933</v>
      </c>
      <c r="H139" s="1652">
        <f t="shared" ref="H139:H202" si="6">F139/D139*100</f>
        <v>5.2374794050067723E-2</v>
      </c>
    </row>
    <row r="140" spans="1:8" s="1572" customFormat="1">
      <c r="A140" s="1649">
        <v>14</v>
      </c>
      <c r="B140" s="1649">
        <v>15</v>
      </c>
      <c r="C140" s="1650" t="s">
        <v>561</v>
      </c>
      <c r="D140" s="1651">
        <v>20228723.859999999</v>
      </c>
      <c r="E140" s="1651">
        <v>20208723.859999999</v>
      </c>
      <c r="F140" s="1651">
        <v>20000</v>
      </c>
      <c r="G140" s="1652">
        <f t="shared" si="5"/>
        <v>99.901130688527772</v>
      </c>
      <c r="H140" s="1652">
        <f t="shared" si="6"/>
        <v>9.8869311472226495E-2</v>
      </c>
    </row>
    <row r="141" spans="1:8" s="1572" customFormat="1">
      <c r="A141" s="1649">
        <v>14</v>
      </c>
      <c r="B141" s="1649">
        <v>16</v>
      </c>
      <c r="C141" s="1650" t="s">
        <v>413</v>
      </c>
      <c r="D141" s="1651">
        <v>36806366.579999998</v>
      </c>
      <c r="E141" s="1651">
        <v>35795607.890000001</v>
      </c>
      <c r="F141" s="1651">
        <v>1010758.69</v>
      </c>
      <c r="G141" s="1652">
        <f t="shared" si="5"/>
        <v>97.25384822268974</v>
      </c>
      <c r="H141" s="1652">
        <f t="shared" si="6"/>
        <v>2.7461517773102613</v>
      </c>
    </row>
    <row r="142" spans="1:8" s="1572" customFormat="1">
      <c r="A142" s="1649">
        <v>14</v>
      </c>
      <c r="B142" s="1649">
        <v>17</v>
      </c>
      <c r="C142" s="1650" t="s">
        <v>560</v>
      </c>
      <c r="D142" s="1651">
        <v>73560577.109999999</v>
      </c>
      <c r="E142" s="1651">
        <v>70631161.219999999</v>
      </c>
      <c r="F142" s="1651">
        <v>2929415.89</v>
      </c>
      <c r="G142" s="1652">
        <f t="shared" si="5"/>
        <v>96.01768228976853</v>
      </c>
      <c r="H142" s="1652">
        <f t="shared" si="6"/>
        <v>3.9823177102314609</v>
      </c>
    </row>
    <row r="143" spans="1:8" s="1572" customFormat="1">
      <c r="A143" s="1649">
        <v>14</v>
      </c>
      <c r="B143" s="1649">
        <v>18</v>
      </c>
      <c r="C143" s="1650" t="s">
        <v>559</v>
      </c>
      <c r="D143" s="1651">
        <v>106561907.05</v>
      </c>
      <c r="E143" s="1651">
        <v>101306535.42</v>
      </c>
      <c r="F143" s="1651">
        <v>5255371.63</v>
      </c>
      <c r="G143" s="1652">
        <f t="shared" si="5"/>
        <v>95.068245515225129</v>
      </c>
      <c r="H143" s="1652">
        <f t="shared" si="6"/>
        <v>4.9317544847748671</v>
      </c>
    </row>
    <row r="144" spans="1:8" s="1572" customFormat="1">
      <c r="A144" s="1649">
        <v>14</v>
      </c>
      <c r="B144" s="1649">
        <v>19</v>
      </c>
      <c r="C144" s="1650" t="s">
        <v>558</v>
      </c>
      <c r="D144" s="1651">
        <v>27833296.18</v>
      </c>
      <c r="E144" s="1651">
        <v>27643465.48</v>
      </c>
      <c r="F144" s="1651">
        <v>189830.7</v>
      </c>
      <c r="G144" s="1652">
        <f t="shared" si="5"/>
        <v>99.31797262252968</v>
      </c>
      <c r="H144" s="1652">
        <f t="shared" si="6"/>
        <v>0.68202737747031728</v>
      </c>
    </row>
    <row r="145" spans="1:8" s="1572" customFormat="1">
      <c r="A145" s="1649">
        <v>14</v>
      </c>
      <c r="B145" s="1649">
        <v>20</v>
      </c>
      <c r="C145" s="1650" t="s">
        <v>557</v>
      </c>
      <c r="D145" s="1651">
        <v>64915520.420000002</v>
      </c>
      <c r="E145" s="1651">
        <v>62410382.380000003</v>
      </c>
      <c r="F145" s="1651">
        <v>2505138.04</v>
      </c>
      <c r="G145" s="1652">
        <f t="shared" si="5"/>
        <v>96.140925892926859</v>
      </c>
      <c r="H145" s="1652">
        <f t="shared" si="6"/>
        <v>3.8590741070731447</v>
      </c>
    </row>
    <row r="146" spans="1:8" s="1572" customFormat="1">
      <c r="A146" s="1649">
        <v>14</v>
      </c>
      <c r="B146" s="1649">
        <v>21</v>
      </c>
      <c r="C146" s="1650" t="s">
        <v>556</v>
      </c>
      <c r="D146" s="1651">
        <v>73214980.340000004</v>
      </c>
      <c r="E146" s="1651">
        <v>53294430.43</v>
      </c>
      <c r="F146" s="1651">
        <v>19920549.91</v>
      </c>
      <c r="G146" s="1652">
        <f t="shared" si="5"/>
        <v>72.791702166016037</v>
      </c>
      <c r="H146" s="1652">
        <f t="shared" si="6"/>
        <v>27.208297833983959</v>
      </c>
    </row>
    <row r="147" spans="1:8" s="1572" customFormat="1">
      <c r="A147" s="1649">
        <v>14</v>
      </c>
      <c r="B147" s="1649">
        <v>22</v>
      </c>
      <c r="C147" s="1650" t="s">
        <v>555</v>
      </c>
      <c r="D147" s="1651">
        <v>42839776.439999998</v>
      </c>
      <c r="E147" s="1651">
        <v>37448712.18</v>
      </c>
      <c r="F147" s="1651">
        <v>5391064.2599999998</v>
      </c>
      <c r="G147" s="1652">
        <f t="shared" si="5"/>
        <v>87.415750715808358</v>
      </c>
      <c r="H147" s="1652">
        <f t="shared" si="6"/>
        <v>12.584249284191642</v>
      </c>
    </row>
    <row r="148" spans="1:8" s="1572" customFormat="1">
      <c r="A148" s="1649">
        <v>14</v>
      </c>
      <c r="B148" s="1649">
        <v>23</v>
      </c>
      <c r="C148" s="1650" t="s">
        <v>554</v>
      </c>
      <c r="D148" s="1651">
        <v>50129515.229999997</v>
      </c>
      <c r="E148" s="1651">
        <v>49390769.32</v>
      </c>
      <c r="F148" s="1651">
        <v>738745.91</v>
      </c>
      <c r="G148" s="1652">
        <f t="shared" si="5"/>
        <v>98.526325445976198</v>
      </c>
      <c r="H148" s="1652">
        <f t="shared" si="6"/>
        <v>1.4736745540238092</v>
      </c>
    </row>
    <row r="149" spans="1:8" s="1572" customFormat="1">
      <c r="A149" s="1649">
        <v>14</v>
      </c>
      <c r="B149" s="1649">
        <v>24</v>
      </c>
      <c r="C149" s="1650" t="s">
        <v>553</v>
      </c>
      <c r="D149" s="1651">
        <v>30525943.809999999</v>
      </c>
      <c r="E149" s="1651">
        <v>27425685.739999998</v>
      </c>
      <c r="F149" s="1651">
        <v>3100258.07</v>
      </c>
      <c r="G149" s="1652">
        <f t="shared" si="5"/>
        <v>89.84385842646941</v>
      </c>
      <c r="H149" s="1652">
        <f t="shared" si="6"/>
        <v>10.156141573530597</v>
      </c>
    </row>
    <row r="150" spans="1:8" s="1572" customFormat="1">
      <c r="A150" s="1649">
        <v>14</v>
      </c>
      <c r="B150" s="1649">
        <v>25</v>
      </c>
      <c r="C150" s="1650" t="s">
        <v>552</v>
      </c>
      <c r="D150" s="1651">
        <v>40699744.600000001</v>
      </c>
      <c r="E150" s="1651">
        <v>36474842.259999998</v>
      </c>
      <c r="F150" s="1651">
        <v>4224902.34</v>
      </c>
      <c r="G150" s="1652">
        <f t="shared" si="5"/>
        <v>89.619339429466578</v>
      </c>
      <c r="H150" s="1652">
        <f t="shared" si="6"/>
        <v>10.380660570533408</v>
      </c>
    </row>
    <row r="151" spans="1:8" s="1572" customFormat="1">
      <c r="A151" s="1649">
        <v>14</v>
      </c>
      <c r="B151" s="1649">
        <v>26</v>
      </c>
      <c r="C151" s="1650" t="s">
        <v>551</v>
      </c>
      <c r="D151" s="1651">
        <v>17471714.550000001</v>
      </c>
      <c r="E151" s="1651">
        <v>17217884.550000001</v>
      </c>
      <c r="F151" s="1651">
        <v>253830</v>
      </c>
      <c r="G151" s="1652">
        <f t="shared" si="5"/>
        <v>98.547194671286562</v>
      </c>
      <c r="H151" s="1652">
        <f t="shared" si="6"/>
        <v>1.4528053287134317</v>
      </c>
    </row>
    <row r="152" spans="1:8" s="1572" customFormat="1">
      <c r="A152" s="1649">
        <v>14</v>
      </c>
      <c r="B152" s="1649">
        <v>27</v>
      </c>
      <c r="C152" s="1650" t="s">
        <v>550</v>
      </c>
      <c r="D152" s="1651">
        <v>31094124.34</v>
      </c>
      <c r="E152" s="1651">
        <v>30321916.440000001</v>
      </c>
      <c r="F152" s="1651">
        <v>772207.9</v>
      </c>
      <c r="G152" s="1652">
        <f t="shared" si="5"/>
        <v>97.516547205008067</v>
      </c>
      <c r="H152" s="1652">
        <f t="shared" si="6"/>
        <v>2.4834527949919432</v>
      </c>
    </row>
    <row r="153" spans="1:8" s="1572" customFormat="1">
      <c r="A153" s="1649">
        <v>14</v>
      </c>
      <c r="B153" s="1649">
        <v>28</v>
      </c>
      <c r="C153" s="1650" t="s">
        <v>549</v>
      </c>
      <c r="D153" s="1651">
        <v>55011915.340000004</v>
      </c>
      <c r="E153" s="1651">
        <v>51170763.280000001</v>
      </c>
      <c r="F153" s="1651">
        <v>3841152.06</v>
      </c>
      <c r="G153" s="1652">
        <f t="shared" si="5"/>
        <v>93.017599848578541</v>
      </c>
      <c r="H153" s="1652">
        <f t="shared" si="6"/>
        <v>6.9824001514214498</v>
      </c>
    </row>
    <row r="154" spans="1:8" s="1572" customFormat="1">
      <c r="A154" s="1649">
        <v>14</v>
      </c>
      <c r="B154" s="1649">
        <v>29</v>
      </c>
      <c r="C154" s="1650" t="s">
        <v>548</v>
      </c>
      <c r="D154" s="1651">
        <v>25667427.140000001</v>
      </c>
      <c r="E154" s="1651">
        <v>25587600.140000001</v>
      </c>
      <c r="F154" s="1651">
        <v>79827</v>
      </c>
      <c r="G154" s="1652">
        <f t="shared" si="5"/>
        <v>99.688994929002448</v>
      </c>
      <c r="H154" s="1652">
        <f t="shared" si="6"/>
        <v>0.31100507099754449</v>
      </c>
    </row>
    <row r="155" spans="1:8" s="1572" customFormat="1">
      <c r="A155" s="1649">
        <v>14</v>
      </c>
      <c r="B155" s="1649">
        <v>30</v>
      </c>
      <c r="C155" s="1650" t="s">
        <v>547</v>
      </c>
      <c r="D155" s="1651">
        <v>17968901.649999999</v>
      </c>
      <c r="E155" s="1651">
        <v>17968901.649999999</v>
      </c>
      <c r="F155" s="1651">
        <v>0</v>
      </c>
      <c r="G155" s="1652">
        <f t="shared" si="5"/>
        <v>100</v>
      </c>
      <c r="H155" s="1652">
        <f t="shared" si="6"/>
        <v>0</v>
      </c>
    </row>
    <row r="156" spans="1:8" s="1572" customFormat="1">
      <c r="A156" s="1649">
        <v>14</v>
      </c>
      <c r="B156" s="1649">
        <v>32</v>
      </c>
      <c r="C156" s="1650" t="s">
        <v>546</v>
      </c>
      <c r="D156" s="1651">
        <v>55116422.240000002</v>
      </c>
      <c r="E156" s="1651">
        <v>52102749.880000003</v>
      </c>
      <c r="F156" s="1651">
        <v>3013672.36</v>
      </c>
      <c r="G156" s="1652">
        <f t="shared" si="5"/>
        <v>94.532169837009363</v>
      </c>
      <c r="H156" s="1652">
        <f t="shared" si="6"/>
        <v>5.4678301629906372</v>
      </c>
    </row>
    <row r="157" spans="1:8" s="1572" customFormat="1">
      <c r="A157" s="1649">
        <v>14</v>
      </c>
      <c r="B157" s="1649">
        <v>33</v>
      </c>
      <c r="C157" s="1650" t="s">
        <v>545</v>
      </c>
      <c r="D157" s="1651">
        <v>51257188.380000003</v>
      </c>
      <c r="E157" s="1651">
        <v>49163993.380000003</v>
      </c>
      <c r="F157" s="1651">
        <v>2093195</v>
      </c>
      <c r="G157" s="1652">
        <f t="shared" si="5"/>
        <v>95.91628985873767</v>
      </c>
      <c r="H157" s="1652">
        <f t="shared" si="6"/>
        <v>4.0837101412623369</v>
      </c>
    </row>
    <row r="158" spans="1:8" s="1572" customFormat="1">
      <c r="A158" s="1649">
        <v>14</v>
      </c>
      <c r="B158" s="1649">
        <v>34</v>
      </c>
      <c r="C158" s="1650" t="s">
        <v>544</v>
      </c>
      <c r="D158" s="1651">
        <v>81469281.239999995</v>
      </c>
      <c r="E158" s="1651">
        <v>81215973.239999995</v>
      </c>
      <c r="F158" s="1651">
        <v>253308</v>
      </c>
      <c r="G158" s="1652">
        <f t="shared" si="5"/>
        <v>99.689075445192927</v>
      </c>
      <c r="H158" s="1652">
        <f t="shared" si="6"/>
        <v>0.31092455480708253</v>
      </c>
    </row>
    <row r="159" spans="1:8" s="1572" customFormat="1">
      <c r="A159" s="1649">
        <v>14</v>
      </c>
      <c r="B159" s="1649">
        <v>35</v>
      </c>
      <c r="C159" s="1650" t="s">
        <v>543</v>
      </c>
      <c r="D159" s="1651">
        <v>47335857.299999997</v>
      </c>
      <c r="E159" s="1651">
        <v>47275442.75</v>
      </c>
      <c r="F159" s="1651">
        <v>60414.55</v>
      </c>
      <c r="G159" s="1652">
        <f t="shared" si="5"/>
        <v>99.872370432382567</v>
      </c>
      <c r="H159" s="1652">
        <f t="shared" si="6"/>
        <v>0.12762956761744337</v>
      </c>
    </row>
    <row r="160" spans="1:8" s="1572" customFormat="1">
      <c r="A160" s="1649">
        <v>14</v>
      </c>
      <c r="B160" s="1649">
        <v>36</v>
      </c>
      <c r="C160" s="1650" t="s">
        <v>542</v>
      </c>
      <c r="D160" s="1651">
        <v>13787393.449999999</v>
      </c>
      <c r="E160" s="1651">
        <v>13638214.9</v>
      </c>
      <c r="F160" s="1651">
        <v>149178.54999999999</v>
      </c>
      <c r="G160" s="1652">
        <f t="shared" si="5"/>
        <v>98.918007594829334</v>
      </c>
      <c r="H160" s="1652">
        <f t="shared" si="6"/>
        <v>1.0819924051706815</v>
      </c>
    </row>
    <row r="161" spans="1:8" s="1572" customFormat="1">
      <c r="A161" s="1649">
        <v>14</v>
      </c>
      <c r="B161" s="1649">
        <v>37</v>
      </c>
      <c r="C161" s="1650" t="s">
        <v>541</v>
      </c>
      <c r="D161" s="1651">
        <v>25280898.68</v>
      </c>
      <c r="E161" s="1651">
        <v>24655464.879999999</v>
      </c>
      <c r="F161" s="1651">
        <v>625433.80000000005</v>
      </c>
      <c r="G161" s="1652">
        <f t="shared" si="5"/>
        <v>97.526061838558022</v>
      </c>
      <c r="H161" s="1652">
        <f t="shared" si="6"/>
        <v>2.4739381614419731</v>
      </c>
    </row>
    <row r="162" spans="1:8" s="1572" customFormat="1">
      <c r="A162" s="1649">
        <v>14</v>
      </c>
      <c r="B162" s="1649">
        <v>38</v>
      </c>
      <c r="C162" s="1650" t="s">
        <v>540</v>
      </c>
      <c r="D162" s="1651">
        <v>41855455.259999998</v>
      </c>
      <c r="E162" s="1651">
        <v>36672480.369999997</v>
      </c>
      <c r="F162" s="1651">
        <v>5182974.8899999997</v>
      </c>
      <c r="G162" s="1652">
        <f t="shared" si="5"/>
        <v>87.616966873722632</v>
      </c>
      <c r="H162" s="1652">
        <f t="shared" si="6"/>
        <v>12.383033126277361</v>
      </c>
    </row>
    <row r="163" spans="1:8" s="1572" customFormat="1">
      <c r="A163" s="1649">
        <v>16</v>
      </c>
      <c r="B163" s="1649">
        <v>1</v>
      </c>
      <c r="C163" s="1650" t="s">
        <v>539</v>
      </c>
      <c r="D163" s="1651">
        <v>46592379.909999996</v>
      </c>
      <c r="E163" s="1651">
        <v>43518807.890000001</v>
      </c>
      <c r="F163" s="1651">
        <v>3073572.02</v>
      </c>
      <c r="G163" s="1652">
        <f t="shared" si="5"/>
        <v>93.403273183432461</v>
      </c>
      <c r="H163" s="1652">
        <f t="shared" si="6"/>
        <v>6.5967268165675472</v>
      </c>
    </row>
    <row r="164" spans="1:8" s="1572" customFormat="1">
      <c r="A164" s="1649">
        <v>16</v>
      </c>
      <c r="B164" s="1649">
        <v>2</v>
      </c>
      <c r="C164" s="1650" t="s">
        <v>538</v>
      </c>
      <c r="D164" s="1651">
        <v>17398859.190000001</v>
      </c>
      <c r="E164" s="1651">
        <v>14987511.75</v>
      </c>
      <c r="F164" s="1651">
        <v>2411347.44</v>
      </c>
      <c r="G164" s="1652">
        <f t="shared" si="5"/>
        <v>86.140772715800111</v>
      </c>
      <c r="H164" s="1652">
        <f t="shared" si="6"/>
        <v>13.859227284199887</v>
      </c>
    </row>
    <row r="165" spans="1:8" s="1572" customFormat="1">
      <c r="A165" s="1649">
        <v>16</v>
      </c>
      <c r="B165" s="1649">
        <v>3</v>
      </c>
      <c r="C165" s="1650" t="s">
        <v>537</v>
      </c>
      <c r="D165" s="1651">
        <v>54147747.590000004</v>
      </c>
      <c r="E165" s="1651">
        <v>52762197.07</v>
      </c>
      <c r="F165" s="1651">
        <v>1385550.52</v>
      </c>
      <c r="G165" s="1652">
        <f t="shared" si="5"/>
        <v>97.441166841340817</v>
      </c>
      <c r="H165" s="1652">
        <f t="shared" si="6"/>
        <v>2.5588331586591853</v>
      </c>
    </row>
    <row r="166" spans="1:8" s="1572" customFormat="1">
      <c r="A166" s="1649">
        <v>16</v>
      </c>
      <c r="B166" s="1649">
        <v>4</v>
      </c>
      <c r="C166" s="1650" t="s">
        <v>536</v>
      </c>
      <c r="D166" s="1651">
        <v>39779922.850000001</v>
      </c>
      <c r="E166" s="1651">
        <v>39664451.850000001</v>
      </c>
      <c r="F166" s="1651">
        <v>115471</v>
      </c>
      <c r="G166" s="1652">
        <f t="shared" si="5"/>
        <v>99.709725429997903</v>
      </c>
      <c r="H166" s="1652">
        <f t="shared" si="6"/>
        <v>0.29027457000208839</v>
      </c>
    </row>
    <row r="167" spans="1:8" s="1572" customFormat="1">
      <c r="A167" s="1649">
        <v>16</v>
      </c>
      <c r="B167" s="1649">
        <v>5</v>
      </c>
      <c r="C167" s="1650" t="s">
        <v>535</v>
      </c>
      <c r="D167" s="1651">
        <v>15845324.52</v>
      </c>
      <c r="E167" s="1651">
        <v>15844709.52</v>
      </c>
      <c r="F167" s="1651">
        <v>615</v>
      </c>
      <c r="G167" s="1652">
        <f t="shared" si="5"/>
        <v>99.996118728908172</v>
      </c>
      <c r="H167" s="1652">
        <f t="shared" si="6"/>
        <v>3.8812710918210971E-3</v>
      </c>
    </row>
    <row r="168" spans="1:8" s="1572" customFormat="1">
      <c r="A168" s="1649">
        <v>16</v>
      </c>
      <c r="B168" s="1649">
        <v>6</v>
      </c>
      <c r="C168" s="1650" t="s">
        <v>534</v>
      </c>
      <c r="D168" s="1651">
        <v>27040178.43</v>
      </c>
      <c r="E168" s="1651">
        <v>26948553.43</v>
      </c>
      <c r="F168" s="1651">
        <v>91625</v>
      </c>
      <c r="G168" s="1652">
        <f t="shared" si="5"/>
        <v>99.661152383897189</v>
      </c>
      <c r="H168" s="1652">
        <f t="shared" si="6"/>
        <v>0.33884761610280545</v>
      </c>
    </row>
    <row r="169" spans="1:8" s="1572" customFormat="1">
      <c r="A169" s="1649">
        <v>16</v>
      </c>
      <c r="B169" s="1649">
        <v>7</v>
      </c>
      <c r="C169" s="1650" t="s">
        <v>533</v>
      </c>
      <c r="D169" s="1651">
        <v>75497053.5</v>
      </c>
      <c r="E169" s="1651">
        <v>73940167.810000002</v>
      </c>
      <c r="F169" s="1651">
        <v>1556885.69</v>
      </c>
      <c r="G169" s="1652">
        <f t="shared" si="5"/>
        <v>97.937819268668548</v>
      </c>
      <c r="H169" s="1652">
        <f t="shared" si="6"/>
        <v>2.0621807313314551</v>
      </c>
    </row>
    <row r="170" spans="1:8" s="1572" customFormat="1">
      <c r="A170" s="1649">
        <v>16</v>
      </c>
      <c r="B170" s="1649">
        <v>8</v>
      </c>
      <c r="C170" s="1650" t="s">
        <v>532</v>
      </c>
      <c r="D170" s="1651">
        <v>36444844.68</v>
      </c>
      <c r="E170" s="1651">
        <v>36306443.68</v>
      </c>
      <c r="F170" s="1651">
        <v>138401</v>
      </c>
      <c r="G170" s="1652">
        <f t="shared" si="5"/>
        <v>99.620245329030169</v>
      </c>
      <c r="H170" s="1652">
        <f t="shared" si="6"/>
        <v>0.37975467096983112</v>
      </c>
    </row>
    <row r="171" spans="1:8" s="1572" customFormat="1">
      <c r="A171" s="1649">
        <v>16</v>
      </c>
      <c r="B171" s="1649">
        <v>9</v>
      </c>
      <c r="C171" s="1650" t="s">
        <v>531</v>
      </c>
      <c r="D171" s="1651">
        <v>29997179.219999999</v>
      </c>
      <c r="E171" s="1651">
        <v>27116745.219999999</v>
      </c>
      <c r="F171" s="1651">
        <v>2880434</v>
      </c>
      <c r="G171" s="1652">
        <f t="shared" si="5"/>
        <v>90.397650462815747</v>
      </c>
      <c r="H171" s="1652">
        <f t="shared" si="6"/>
        <v>9.6023495371842493</v>
      </c>
    </row>
    <row r="172" spans="1:8" s="1572" customFormat="1">
      <c r="A172" s="1649">
        <v>16</v>
      </c>
      <c r="B172" s="1649">
        <v>10</v>
      </c>
      <c r="C172" s="1650" t="s">
        <v>530</v>
      </c>
      <c r="D172" s="1651">
        <v>30953501.859999999</v>
      </c>
      <c r="E172" s="1651">
        <v>24767070.530000001</v>
      </c>
      <c r="F172" s="1651">
        <v>6186431.3300000001</v>
      </c>
      <c r="G172" s="1652">
        <f t="shared" si="5"/>
        <v>80.013791790083431</v>
      </c>
      <c r="H172" s="1652">
        <f t="shared" si="6"/>
        <v>19.986208209916576</v>
      </c>
    </row>
    <row r="173" spans="1:8" s="1572" customFormat="1">
      <c r="A173" s="1649">
        <v>16</v>
      </c>
      <c r="B173" s="1649">
        <v>11</v>
      </c>
      <c r="C173" s="1650" t="s">
        <v>529</v>
      </c>
      <c r="D173" s="1651">
        <v>36980352.390000001</v>
      </c>
      <c r="E173" s="1651">
        <v>35963570.119999997</v>
      </c>
      <c r="F173" s="1651">
        <v>1016782.27</v>
      </c>
      <c r="G173" s="1652">
        <f t="shared" si="5"/>
        <v>97.250479770238869</v>
      </c>
      <c r="H173" s="1652">
        <f t="shared" si="6"/>
        <v>2.7495202297611208</v>
      </c>
    </row>
    <row r="174" spans="1:8" s="1572" customFormat="1">
      <c r="A174" s="1649">
        <v>18</v>
      </c>
      <c r="B174" s="1649">
        <v>1</v>
      </c>
      <c r="C174" s="1650" t="s">
        <v>528</v>
      </c>
      <c r="D174" s="1651">
        <v>12000889.58</v>
      </c>
      <c r="E174" s="1651">
        <v>11933214.98</v>
      </c>
      <c r="F174" s="1651">
        <v>67674.600000000006</v>
      </c>
      <c r="G174" s="1652">
        <f t="shared" si="5"/>
        <v>99.436086803825091</v>
      </c>
      <c r="H174" s="1652">
        <f t="shared" si="6"/>
        <v>0.5639131961749122</v>
      </c>
    </row>
    <row r="175" spans="1:8" s="1572" customFormat="1">
      <c r="A175" s="1649">
        <v>18</v>
      </c>
      <c r="B175" s="1649">
        <v>2</v>
      </c>
      <c r="C175" s="1650" t="s">
        <v>527</v>
      </c>
      <c r="D175" s="1651">
        <v>29227847.190000001</v>
      </c>
      <c r="E175" s="1651">
        <v>26494767.440000001</v>
      </c>
      <c r="F175" s="1651">
        <v>2733079.75</v>
      </c>
      <c r="G175" s="1652">
        <f t="shared" si="5"/>
        <v>90.649055565970343</v>
      </c>
      <c r="H175" s="1652">
        <f t="shared" si="6"/>
        <v>9.3509444340296621</v>
      </c>
    </row>
    <row r="176" spans="1:8" s="1572" customFormat="1">
      <c r="A176" s="1649">
        <v>18</v>
      </c>
      <c r="B176" s="1649">
        <v>3</v>
      </c>
      <c r="C176" s="1650" t="s">
        <v>526</v>
      </c>
      <c r="D176" s="1651">
        <v>72708799.489999995</v>
      </c>
      <c r="E176" s="1651">
        <v>66448172.090000004</v>
      </c>
      <c r="F176" s="1651">
        <v>6260627.4000000004</v>
      </c>
      <c r="G176" s="1652">
        <f t="shared" si="5"/>
        <v>91.389450184965511</v>
      </c>
      <c r="H176" s="1652">
        <f t="shared" si="6"/>
        <v>8.610549815034501</v>
      </c>
    </row>
    <row r="177" spans="1:8" s="1572" customFormat="1">
      <c r="A177" s="1649">
        <v>18</v>
      </c>
      <c r="B177" s="1649">
        <v>4</v>
      </c>
      <c r="C177" s="1650" t="s">
        <v>525</v>
      </c>
      <c r="D177" s="1651">
        <v>86098502.659999996</v>
      </c>
      <c r="E177" s="1651">
        <v>85797502.659999996</v>
      </c>
      <c r="F177" s="1651">
        <v>301000</v>
      </c>
      <c r="G177" s="1652">
        <f t="shared" si="5"/>
        <v>99.650400424280733</v>
      </c>
      <c r="H177" s="1652">
        <f t="shared" si="6"/>
        <v>0.34959957571926492</v>
      </c>
    </row>
    <row r="178" spans="1:8" s="1572" customFormat="1">
      <c r="A178" s="1649">
        <v>18</v>
      </c>
      <c r="B178" s="1649">
        <v>5</v>
      </c>
      <c r="C178" s="1650" t="s">
        <v>524</v>
      </c>
      <c r="D178" s="1651">
        <v>64783504.5</v>
      </c>
      <c r="E178" s="1651">
        <v>64303065.310000002</v>
      </c>
      <c r="F178" s="1651">
        <v>480439.19</v>
      </c>
      <c r="G178" s="1652">
        <f t="shared" si="5"/>
        <v>99.258392713225334</v>
      </c>
      <c r="H178" s="1652">
        <f t="shared" si="6"/>
        <v>0.7416072867746758</v>
      </c>
    </row>
    <row r="179" spans="1:8" s="1572" customFormat="1">
      <c r="A179" s="1649">
        <v>18</v>
      </c>
      <c r="B179" s="1649">
        <v>6</v>
      </c>
      <c r="C179" s="1650" t="s">
        <v>523</v>
      </c>
      <c r="D179" s="1651">
        <v>19366331.140000001</v>
      </c>
      <c r="E179" s="1651">
        <v>19276331.140000001</v>
      </c>
      <c r="F179" s="1651">
        <v>90000</v>
      </c>
      <c r="G179" s="1652">
        <f t="shared" si="5"/>
        <v>99.535275941790999</v>
      </c>
      <c r="H179" s="1652">
        <f t="shared" si="6"/>
        <v>0.46472405820899332</v>
      </c>
    </row>
    <row r="180" spans="1:8" s="1572" customFormat="1">
      <c r="A180" s="1649">
        <v>18</v>
      </c>
      <c r="B180" s="1649">
        <v>7</v>
      </c>
      <c r="C180" s="1650" t="s">
        <v>522</v>
      </c>
      <c r="D180" s="1651">
        <v>37124623.140000001</v>
      </c>
      <c r="E180" s="1651">
        <v>32224492.260000002</v>
      </c>
      <c r="F180" s="1651">
        <v>4900130.88</v>
      </c>
      <c r="G180" s="1652">
        <f t="shared" si="5"/>
        <v>86.800860276692362</v>
      </c>
      <c r="H180" s="1652">
        <f t="shared" si="6"/>
        <v>13.19913972330764</v>
      </c>
    </row>
    <row r="181" spans="1:8" s="1572" customFormat="1">
      <c r="A181" s="1649">
        <v>18</v>
      </c>
      <c r="B181" s="1649">
        <v>8</v>
      </c>
      <c r="C181" s="1650" t="s">
        <v>521</v>
      </c>
      <c r="D181" s="1651">
        <v>53000849.350000001</v>
      </c>
      <c r="E181" s="1651">
        <v>48502230.409999996</v>
      </c>
      <c r="F181" s="1651">
        <v>4498618.9400000004</v>
      </c>
      <c r="G181" s="1652">
        <f t="shared" si="5"/>
        <v>91.512175757236221</v>
      </c>
      <c r="H181" s="1652">
        <f t="shared" si="6"/>
        <v>8.4878242427637627</v>
      </c>
    </row>
    <row r="182" spans="1:8" s="1572" customFormat="1">
      <c r="A182" s="1649">
        <v>18</v>
      </c>
      <c r="B182" s="1649">
        <v>9</v>
      </c>
      <c r="C182" s="1650" t="s">
        <v>520</v>
      </c>
      <c r="D182" s="1651">
        <v>33996040.719999999</v>
      </c>
      <c r="E182" s="1651">
        <v>33980764.119999997</v>
      </c>
      <c r="F182" s="1651">
        <v>15276.6</v>
      </c>
      <c r="G182" s="1652">
        <f t="shared" si="5"/>
        <v>99.955063590710978</v>
      </c>
      <c r="H182" s="1652">
        <f t="shared" si="6"/>
        <v>4.4936409289016765E-2</v>
      </c>
    </row>
    <row r="183" spans="1:8" s="1572" customFormat="1">
      <c r="A183" s="1649">
        <v>18</v>
      </c>
      <c r="B183" s="1649">
        <v>10</v>
      </c>
      <c r="C183" s="1650" t="s">
        <v>519</v>
      </c>
      <c r="D183" s="1651">
        <v>39229124.090000004</v>
      </c>
      <c r="E183" s="1651">
        <v>37581398.630000003</v>
      </c>
      <c r="F183" s="1651">
        <v>1647725.46</v>
      </c>
      <c r="G183" s="1652">
        <f t="shared" si="5"/>
        <v>95.799739356352262</v>
      </c>
      <c r="H183" s="1652">
        <f t="shared" si="6"/>
        <v>4.2002606436477272</v>
      </c>
    </row>
    <row r="184" spans="1:8" s="1572" customFormat="1">
      <c r="A184" s="1649">
        <v>18</v>
      </c>
      <c r="B184" s="1649">
        <v>11</v>
      </c>
      <c r="C184" s="1650" t="s">
        <v>518</v>
      </c>
      <c r="D184" s="1651">
        <v>84310505.129999995</v>
      </c>
      <c r="E184" s="1651">
        <v>81874094.310000002</v>
      </c>
      <c r="F184" s="1651">
        <v>2436410.8199999998</v>
      </c>
      <c r="G184" s="1652">
        <f t="shared" si="5"/>
        <v>97.1101930699582</v>
      </c>
      <c r="H184" s="1652">
        <f t="shared" si="6"/>
        <v>2.8898069300418152</v>
      </c>
    </row>
    <row r="185" spans="1:8" s="1572" customFormat="1">
      <c r="A185" s="1649">
        <v>18</v>
      </c>
      <c r="B185" s="1649">
        <v>12</v>
      </c>
      <c r="C185" s="1650" t="s">
        <v>517</v>
      </c>
      <c r="D185" s="1651">
        <v>32588605.98</v>
      </c>
      <c r="E185" s="1651">
        <v>31239051.699999999</v>
      </c>
      <c r="F185" s="1651">
        <v>1349554.28</v>
      </c>
      <c r="G185" s="1652">
        <f t="shared" si="5"/>
        <v>95.858815560173895</v>
      </c>
      <c r="H185" s="1652">
        <f t="shared" si="6"/>
        <v>4.1411844398261071</v>
      </c>
    </row>
    <row r="186" spans="1:8" s="1572" customFormat="1">
      <c r="A186" s="1649">
        <v>18</v>
      </c>
      <c r="B186" s="1649">
        <v>13</v>
      </c>
      <c r="C186" s="1650" t="s">
        <v>516</v>
      </c>
      <c r="D186" s="1651">
        <v>5871359.3899999997</v>
      </c>
      <c r="E186" s="1651">
        <v>5852909.3899999997</v>
      </c>
      <c r="F186" s="1651">
        <v>18450</v>
      </c>
      <c r="G186" s="1652">
        <f t="shared" si="5"/>
        <v>99.685762720786201</v>
      </c>
      <c r="H186" s="1652">
        <f t="shared" si="6"/>
        <v>0.31423727921380062</v>
      </c>
    </row>
    <row r="187" spans="1:8" s="1572" customFormat="1">
      <c r="A187" s="1649">
        <v>18</v>
      </c>
      <c r="B187" s="1649">
        <v>14</v>
      </c>
      <c r="C187" s="1650" t="s">
        <v>515</v>
      </c>
      <c r="D187" s="1651">
        <v>23681725.359999999</v>
      </c>
      <c r="E187" s="1651">
        <v>21283834.07</v>
      </c>
      <c r="F187" s="1651">
        <v>2397891.29</v>
      </c>
      <c r="G187" s="1652">
        <f t="shared" si="5"/>
        <v>89.874507648626832</v>
      </c>
      <c r="H187" s="1652">
        <f t="shared" si="6"/>
        <v>10.12549235137317</v>
      </c>
    </row>
    <row r="188" spans="1:8" s="1572" customFormat="1">
      <c r="A188" s="1649">
        <v>18</v>
      </c>
      <c r="B188" s="1649">
        <v>15</v>
      </c>
      <c r="C188" s="1650" t="s">
        <v>514</v>
      </c>
      <c r="D188" s="1651">
        <v>47380843.68</v>
      </c>
      <c r="E188" s="1651">
        <v>45572382.670000002</v>
      </c>
      <c r="F188" s="1651">
        <v>1808461.01</v>
      </c>
      <c r="G188" s="1652">
        <f t="shared" si="5"/>
        <v>96.183138860477129</v>
      </c>
      <c r="H188" s="1652">
        <f t="shared" si="6"/>
        <v>3.8168611395228749</v>
      </c>
    </row>
    <row r="189" spans="1:8" s="1572" customFormat="1">
      <c r="A189" s="1649">
        <v>18</v>
      </c>
      <c r="B189" s="1649">
        <v>16</v>
      </c>
      <c r="C189" s="1650" t="s">
        <v>513</v>
      </c>
      <c r="D189" s="1651">
        <v>41422702.469999999</v>
      </c>
      <c r="E189" s="1651">
        <v>41302163.420000002</v>
      </c>
      <c r="F189" s="1651">
        <v>120539.05</v>
      </c>
      <c r="G189" s="1652">
        <f t="shared" si="5"/>
        <v>99.70900244838613</v>
      </c>
      <c r="H189" s="1652">
        <f t="shared" si="6"/>
        <v>0.29099755161387469</v>
      </c>
    </row>
    <row r="190" spans="1:8" s="1572" customFormat="1">
      <c r="A190" s="1649">
        <v>18</v>
      </c>
      <c r="B190" s="1649">
        <v>17</v>
      </c>
      <c r="C190" s="1650" t="s">
        <v>512</v>
      </c>
      <c r="D190" s="1651">
        <v>55456689.020000003</v>
      </c>
      <c r="E190" s="1651">
        <v>55334189.030000001</v>
      </c>
      <c r="F190" s="1651">
        <v>122499.99</v>
      </c>
      <c r="G190" s="1652">
        <f t="shared" si="5"/>
        <v>99.779106917191143</v>
      </c>
      <c r="H190" s="1652">
        <f t="shared" si="6"/>
        <v>0.22089308280885894</v>
      </c>
    </row>
    <row r="191" spans="1:8" s="1572" customFormat="1">
      <c r="A191" s="1649">
        <v>18</v>
      </c>
      <c r="B191" s="1649">
        <v>18</v>
      </c>
      <c r="C191" s="1650" t="s">
        <v>511</v>
      </c>
      <c r="D191" s="1651">
        <v>63163037.899999999</v>
      </c>
      <c r="E191" s="1651">
        <v>62091554.950000003</v>
      </c>
      <c r="F191" s="1651">
        <v>1071482.95</v>
      </c>
      <c r="G191" s="1652">
        <f t="shared" si="5"/>
        <v>98.303623470903389</v>
      </c>
      <c r="H191" s="1652">
        <f t="shared" si="6"/>
        <v>1.696376529096616</v>
      </c>
    </row>
    <row r="192" spans="1:8" s="1572" customFormat="1">
      <c r="A192" s="1649">
        <v>18</v>
      </c>
      <c r="B192" s="1649">
        <v>19</v>
      </c>
      <c r="C192" s="1650" t="s">
        <v>510</v>
      </c>
      <c r="D192" s="1651">
        <v>39351727.100000001</v>
      </c>
      <c r="E192" s="1651">
        <v>35923506.710000001</v>
      </c>
      <c r="F192" s="1651">
        <v>3428220.39</v>
      </c>
      <c r="G192" s="1652">
        <f t="shared" si="5"/>
        <v>91.288259391288577</v>
      </c>
      <c r="H192" s="1652">
        <f t="shared" si="6"/>
        <v>8.7117406087114286</v>
      </c>
    </row>
    <row r="193" spans="1:8" s="1572" customFormat="1">
      <c r="A193" s="1649">
        <v>18</v>
      </c>
      <c r="B193" s="1649">
        <v>20</v>
      </c>
      <c r="C193" s="1650" t="s">
        <v>509</v>
      </c>
      <c r="D193" s="1651">
        <v>21784512.210000001</v>
      </c>
      <c r="E193" s="1651">
        <v>21086114.52</v>
      </c>
      <c r="F193" s="1651">
        <v>698397.69</v>
      </c>
      <c r="G193" s="1652">
        <f t="shared" si="5"/>
        <v>96.79406321671317</v>
      </c>
      <c r="H193" s="1652">
        <f t="shared" si="6"/>
        <v>3.2059367832868264</v>
      </c>
    </row>
    <row r="194" spans="1:8" s="1572" customFormat="1">
      <c r="A194" s="1649">
        <v>18</v>
      </c>
      <c r="B194" s="1649">
        <v>21</v>
      </c>
      <c r="C194" s="1650" t="s">
        <v>508</v>
      </c>
      <c r="D194" s="1651">
        <v>13006056.23</v>
      </c>
      <c r="E194" s="1651">
        <v>12894126.23</v>
      </c>
      <c r="F194" s="1651">
        <v>111930</v>
      </c>
      <c r="G194" s="1652">
        <f t="shared" si="5"/>
        <v>99.139400921996483</v>
      </c>
      <c r="H194" s="1652">
        <f t="shared" si="6"/>
        <v>0.86059907800352475</v>
      </c>
    </row>
    <row r="195" spans="1:8" s="1572" customFormat="1">
      <c r="A195" s="1649">
        <v>20</v>
      </c>
      <c r="B195" s="1649">
        <v>1</v>
      </c>
      <c r="C195" s="1650" t="s">
        <v>507</v>
      </c>
      <c r="D195" s="1651">
        <v>32902984.809999999</v>
      </c>
      <c r="E195" s="1651">
        <v>32889734.809999999</v>
      </c>
      <c r="F195" s="1651">
        <v>13250</v>
      </c>
      <c r="G195" s="1652">
        <f t="shared" si="5"/>
        <v>99.959730097203902</v>
      </c>
      <c r="H195" s="1652">
        <f t="shared" si="6"/>
        <v>4.0269902796092258E-2</v>
      </c>
    </row>
    <row r="196" spans="1:8" s="1572" customFormat="1">
      <c r="A196" s="1649">
        <v>20</v>
      </c>
      <c r="B196" s="1649">
        <v>2</v>
      </c>
      <c r="C196" s="1650" t="s">
        <v>506</v>
      </c>
      <c r="D196" s="1651">
        <v>17012584.260000002</v>
      </c>
      <c r="E196" s="1651">
        <v>14739603.76</v>
      </c>
      <c r="F196" s="1651">
        <v>2272980.5</v>
      </c>
      <c r="G196" s="1652">
        <f t="shared" si="5"/>
        <v>86.639416650272025</v>
      </c>
      <c r="H196" s="1652">
        <f t="shared" si="6"/>
        <v>13.36058334972796</v>
      </c>
    </row>
    <row r="197" spans="1:8" s="1572" customFormat="1">
      <c r="A197" s="1649">
        <v>20</v>
      </c>
      <c r="B197" s="1649">
        <v>3</v>
      </c>
      <c r="C197" s="1650" t="s">
        <v>477</v>
      </c>
      <c r="D197" s="1651">
        <v>21455618.07</v>
      </c>
      <c r="E197" s="1651">
        <v>21288362.670000002</v>
      </c>
      <c r="F197" s="1651">
        <v>167255.4</v>
      </c>
      <c r="G197" s="1652">
        <f t="shared" si="5"/>
        <v>99.220458718763922</v>
      </c>
      <c r="H197" s="1652">
        <f t="shared" si="6"/>
        <v>0.77954128123608968</v>
      </c>
    </row>
    <row r="198" spans="1:8" s="1572" customFormat="1">
      <c r="A198" s="1649">
        <v>20</v>
      </c>
      <c r="B198" s="1649">
        <v>4</v>
      </c>
      <c r="C198" s="1650" t="s">
        <v>505</v>
      </c>
      <c r="D198" s="1651">
        <v>30105500.579999998</v>
      </c>
      <c r="E198" s="1651">
        <v>30053665.579999998</v>
      </c>
      <c r="F198" s="1651">
        <v>51835</v>
      </c>
      <c r="G198" s="1652">
        <f t="shared" si="5"/>
        <v>99.827822162058865</v>
      </c>
      <c r="H198" s="1652">
        <f t="shared" si="6"/>
        <v>0.17217783794113548</v>
      </c>
    </row>
    <row r="199" spans="1:8" s="1572" customFormat="1">
      <c r="A199" s="1649">
        <v>20</v>
      </c>
      <c r="B199" s="1649">
        <v>5</v>
      </c>
      <c r="C199" s="1650" t="s">
        <v>504</v>
      </c>
      <c r="D199" s="1651">
        <v>17089032.640000001</v>
      </c>
      <c r="E199" s="1651">
        <v>16333764.99</v>
      </c>
      <c r="F199" s="1651">
        <v>755267.65</v>
      </c>
      <c r="G199" s="1652">
        <f t="shared" si="5"/>
        <v>95.580395532558356</v>
      </c>
      <c r="H199" s="1652">
        <f t="shared" si="6"/>
        <v>4.4196044674416397</v>
      </c>
    </row>
    <row r="200" spans="1:8" s="1572" customFormat="1">
      <c r="A200" s="1649">
        <v>20</v>
      </c>
      <c r="B200" s="1649">
        <v>6</v>
      </c>
      <c r="C200" s="1650" t="s">
        <v>503</v>
      </c>
      <c r="D200" s="1651">
        <v>11709800.449999999</v>
      </c>
      <c r="E200" s="1651">
        <v>9155940.8599999994</v>
      </c>
      <c r="F200" s="1651">
        <v>2553859.59</v>
      </c>
      <c r="G200" s="1652">
        <f t="shared" si="5"/>
        <v>78.190408957823024</v>
      </c>
      <c r="H200" s="1652">
        <f t="shared" si="6"/>
        <v>21.809591042176983</v>
      </c>
    </row>
    <row r="201" spans="1:8" s="1572" customFormat="1">
      <c r="A201" s="1649">
        <v>20</v>
      </c>
      <c r="B201" s="1649">
        <v>7</v>
      </c>
      <c r="C201" s="1650" t="s">
        <v>502</v>
      </c>
      <c r="D201" s="1651">
        <v>964710.21</v>
      </c>
      <c r="E201" s="1651">
        <v>964710.21</v>
      </c>
      <c r="F201" s="1651">
        <v>0</v>
      </c>
      <c r="G201" s="1652">
        <f t="shared" si="5"/>
        <v>100</v>
      </c>
      <c r="H201" s="1652">
        <f t="shared" si="6"/>
        <v>0</v>
      </c>
    </row>
    <row r="202" spans="1:8" s="1572" customFormat="1">
      <c r="A202" s="1649">
        <v>20</v>
      </c>
      <c r="B202" s="1649">
        <v>8</v>
      </c>
      <c r="C202" s="1650" t="s">
        <v>501</v>
      </c>
      <c r="D202" s="1651">
        <v>19637067.399999999</v>
      </c>
      <c r="E202" s="1651">
        <v>18476611.600000001</v>
      </c>
      <c r="F202" s="1651">
        <v>1160455.8</v>
      </c>
      <c r="G202" s="1652">
        <f t="shared" si="5"/>
        <v>94.090483184877201</v>
      </c>
      <c r="H202" s="1652">
        <f t="shared" si="6"/>
        <v>5.9095168151228128</v>
      </c>
    </row>
    <row r="203" spans="1:8" s="1572" customFormat="1">
      <c r="A203" s="1649">
        <v>20</v>
      </c>
      <c r="B203" s="1649">
        <v>9</v>
      </c>
      <c r="C203" s="1650" t="s">
        <v>500</v>
      </c>
      <c r="D203" s="1651">
        <v>5758982.0899999999</v>
      </c>
      <c r="E203" s="1651">
        <v>5758982.0899999999</v>
      </c>
      <c r="F203" s="1651">
        <v>0</v>
      </c>
      <c r="G203" s="1652">
        <f t="shared" ref="G203:G266" si="7">E203/D203*100</f>
        <v>100</v>
      </c>
      <c r="H203" s="1652">
        <f t="shared" ref="H203:H266" si="8">F203/D203*100</f>
        <v>0</v>
      </c>
    </row>
    <row r="204" spans="1:8" s="1572" customFormat="1">
      <c r="A204" s="1649">
        <v>20</v>
      </c>
      <c r="B204" s="1649">
        <v>10</v>
      </c>
      <c r="C204" s="1650" t="s">
        <v>499</v>
      </c>
      <c r="D204" s="1651">
        <v>25129278.300000001</v>
      </c>
      <c r="E204" s="1651">
        <v>22089112.579999998</v>
      </c>
      <c r="F204" s="1651">
        <v>3040165.72</v>
      </c>
      <c r="G204" s="1652">
        <f t="shared" si="7"/>
        <v>87.901898002379156</v>
      </c>
      <c r="H204" s="1652">
        <f t="shared" si="8"/>
        <v>12.098101997620841</v>
      </c>
    </row>
    <row r="205" spans="1:8" s="1572" customFormat="1">
      <c r="A205" s="1649">
        <v>20</v>
      </c>
      <c r="B205" s="1649">
        <v>11</v>
      </c>
      <c r="C205" s="1650" t="s">
        <v>498</v>
      </c>
      <c r="D205" s="1651">
        <v>39233533.729999997</v>
      </c>
      <c r="E205" s="1651">
        <v>34473627.119999997</v>
      </c>
      <c r="F205" s="1651">
        <v>4759906.6100000003</v>
      </c>
      <c r="G205" s="1652">
        <f t="shared" si="7"/>
        <v>87.867759649800988</v>
      </c>
      <c r="H205" s="1652">
        <f t="shared" si="8"/>
        <v>12.132240350199016</v>
      </c>
    </row>
    <row r="206" spans="1:8" s="1572" customFormat="1">
      <c r="A206" s="1649">
        <v>20</v>
      </c>
      <c r="B206" s="1649">
        <v>12</v>
      </c>
      <c r="C206" s="1650" t="s">
        <v>497</v>
      </c>
      <c r="D206" s="1651">
        <v>5968553.1100000003</v>
      </c>
      <c r="E206" s="1651">
        <v>5913029.3700000001</v>
      </c>
      <c r="F206" s="1651">
        <v>55523.74</v>
      </c>
      <c r="G206" s="1652">
        <f t="shared" si="7"/>
        <v>99.069728643161895</v>
      </c>
      <c r="H206" s="1652">
        <f t="shared" si="8"/>
        <v>0.93027135683810636</v>
      </c>
    </row>
    <row r="207" spans="1:8" s="1572" customFormat="1">
      <c r="A207" s="1649">
        <v>20</v>
      </c>
      <c r="B207" s="1649">
        <v>13</v>
      </c>
      <c r="C207" s="1650" t="s">
        <v>496</v>
      </c>
      <c r="D207" s="1651">
        <v>35930171.810000002</v>
      </c>
      <c r="E207" s="1651">
        <v>33261261.449999999</v>
      </c>
      <c r="F207" s="1651">
        <v>2668910.36</v>
      </c>
      <c r="G207" s="1652">
        <f t="shared" si="7"/>
        <v>92.571952135065487</v>
      </c>
      <c r="H207" s="1652">
        <f t="shared" si="8"/>
        <v>7.4280478649344923</v>
      </c>
    </row>
    <row r="208" spans="1:8" s="1572" customFormat="1">
      <c r="A208" s="1649">
        <v>20</v>
      </c>
      <c r="B208" s="1649">
        <v>14</v>
      </c>
      <c r="C208" s="1650" t="s">
        <v>495</v>
      </c>
      <c r="D208" s="1651">
        <v>26486409.48</v>
      </c>
      <c r="E208" s="1651">
        <v>26486409.48</v>
      </c>
      <c r="F208" s="1651">
        <v>0</v>
      </c>
      <c r="G208" s="1652">
        <f t="shared" si="7"/>
        <v>100</v>
      </c>
      <c r="H208" s="1652">
        <f t="shared" si="8"/>
        <v>0</v>
      </c>
    </row>
    <row r="209" spans="1:8" s="1572" customFormat="1">
      <c r="A209" s="1649">
        <v>22</v>
      </c>
      <c r="B209" s="1649">
        <v>1</v>
      </c>
      <c r="C209" s="1650" t="s">
        <v>494</v>
      </c>
      <c r="D209" s="1651">
        <v>50568383.840000004</v>
      </c>
      <c r="E209" s="1651">
        <v>50334823.840000004</v>
      </c>
      <c r="F209" s="1651">
        <v>233560</v>
      </c>
      <c r="G209" s="1652">
        <f t="shared" si="7"/>
        <v>99.538130384512598</v>
      </c>
      <c r="H209" s="1652">
        <f t="shared" si="8"/>
        <v>0.46186961548739897</v>
      </c>
    </row>
    <row r="210" spans="1:8" s="1572" customFormat="1">
      <c r="A210" s="1649">
        <v>22</v>
      </c>
      <c r="B210" s="1649">
        <v>2</v>
      </c>
      <c r="C210" s="1650" t="s">
        <v>493</v>
      </c>
      <c r="D210" s="1651">
        <v>80129982.799999997</v>
      </c>
      <c r="E210" s="1651">
        <v>72789820.719999999</v>
      </c>
      <c r="F210" s="1651">
        <v>7340162.0800000001</v>
      </c>
      <c r="G210" s="1652">
        <f t="shared" si="7"/>
        <v>90.839680948989297</v>
      </c>
      <c r="H210" s="1652">
        <f t="shared" si="8"/>
        <v>9.1603190510107044</v>
      </c>
    </row>
    <row r="211" spans="1:8" s="1572" customFormat="1">
      <c r="A211" s="1649">
        <v>22</v>
      </c>
      <c r="B211" s="1649">
        <v>3</v>
      </c>
      <c r="C211" s="1650" t="s">
        <v>492</v>
      </c>
      <c r="D211" s="1651">
        <v>57364294.780000001</v>
      </c>
      <c r="E211" s="1651">
        <v>55895404.359999999</v>
      </c>
      <c r="F211" s="1651">
        <v>1468890.42</v>
      </c>
      <c r="G211" s="1652">
        <f t="shared" si="7"/>
        <v>97.439364633290793</v>
      </c>
      <c r="H211" s="1652">
        <f t="shared" si="8"/>
        <v>2.5606353667092008</v>
      </c>
    </row>
    <row r="212" spans="1:8" s="1572" customFormat="1">
      <c r="A212" s="1649">
        <v>22</v>
      </c>
      <c r="B212" s="1649">
        <v>4</v>
      </c>
      <c r="C212" s="1650" t="s">
        <v>491</v>
      </c>
      <c r="D212" s="1651">
        <v>39148393.649999999</v>
      </c>
      <c r="E212" s="1651">
        <v>34605462.960000001</v>
      </c>
      <c r="F212" s="1651">
        <v>4542930.6900000004</v>
      </c>
      <c r="G212" s="1652">
        <f t="shared" si="7"/>
        <v>88.395614056057198</v>
      </c>
      <c r="H212" s="1652">
        <f t="shared" si="8"/>
        <v>11.604385943942813</v>
      </c>
    </row>
    <row r="213" spans="1:8" s="1572" customFormat="1">
      <c r="A213" s="1649">
        <v>22</v>
      </c>
      <c r="B213" s="1649">
        <v>5</v>
      </c>
      <c r="C213" s="1650" t="s">
        <v>490</v>
      </c>
      <c r="D213" s="1651">
        <v>74342414.230000004</v>
      </c>
      <c r="E213" s="1651">
        <v>74242248.609999999</v>
      </c>
      <c r="F213" s="1651">
        <v>100165.62</v>
      </c>
      <c r="G213" s="1652">
        <f t="shared" si="7"/>
        <v>99.865264504741376</v>
      </c>
      <c r="H213" s="1652">
        <f t="shared" si="8"/>
        <v>0.13473549525861286</v>
      </c>
    </row>
    <row r="214" spans="1:8" s="1572" customFormat="1">
      <c r="A214" s="1649">
        <v>22</v>
      </c>
      <c r="B214" s="1649">
        <v>6</v>
      </c>
      <c r="C214" s="1650" t="s">
        <v>489</v>
      </c>
      <c r="D214" s="1651">
        <v>49738102.659999996</v>
      </c>
      <c r="E214" s="1651">
        <v>47486664.969999999</v>
      </c>
      <c r="F214" s="1651">
        <v>2251437.69</v>
      </c>
      <c r="G214" s="1652">
        <f t="shared" si="7"/>
        <v>95.47341460652332</v>
      </c>
      <c r="H214" s="1652">
        <f t="shared" si="8"/>
        <v>4.5265853934766884</v>
      </c>
    </row>
    <row r="215" spans="1:8" s="1572" customFormat="1">
      <c r="A215" s="1649">
        <v>22</v>
      </c>
      <c r="B215" s="1649">
        <v>7</v>
      </c>
      <c r="C215" s="1650" t="s">
        <v>488</v>
      </c>
      <c r="D215" s="1651">
        <v>46341542.100000001</v>
      </c>
      <c r="E215" s="1651">
        <v>46311542.100000001</v>
      </c>
      <c r="F215" s="1651">
        <v>30000</v>
      </c>
      <c r="G215" s="1652">
        <f t="shared" si="7"/>
        <v>99.935263267814307</v>
      </c>
      <c r="H215" s="1652">
        <f t="shared" si="8"/>
        <v>6.47367321856991E-2</v>
      </c>
    </row>
    <row r="216" spans="1:8" s="1572" customFormat="1">
      <c r="A216" s="1649">
        <v>22</v>
      </c>
      <c r="B216" s="1649">
        <v>8</v>
      </c>
      <c r="C216" s="1650" t="s">
        <v>487</v>
      </c>
      <c r="D216" s="1651">
        <v>43496509.829999998</v>
      </c>
      <c r="E216" s="1651">
        <v>42736890.789999999</v>
      </c>
      <c r="F216" s="1651">
        <v>759619.04</v>
      </c>
      <c r="G216" s="1652">
        <f t="shared" si="7"/>
        <v>98.253609213776315</v>
      </c>
      <c r="H216" s="1652">
        <f t="shared" si="8"/>
        <v>1.7463907862236865</v>
      </c>
    </row>
    <row r="217" spans="1:8" s="1572" customFormat="1">
      <c r="A217" s="1649">
        <v>22</v>
      </c>
      <c r="B217" s="1649">
        <v>9</v>
      </c>
      <c r="C217" s="1650" t="s">
        <v>486</v>
      </c>
      <c r="D217" s="1651">
        <v>54895975.57</v>
      </c>
      <c r="E217" s="1651">
        <v>53813605.390000001</v>
      </c>
      <c r="F217" s="1651">
        <v>1082370.18</v>
      </c>
      <c r="G217" s="1652">
        <f t="shared" si="7"/>
        <v>98.0283250843774</v>
      </c>
      <c r="H217" s="1652">
        <f t="shared" si="8"/>
        <v>1.971674915622599</v>
      </c>
    </row>
    <row r="218" spans="1:8" s="1572" customFormat="1">
      <c r="A218" s="1649">
        <v>22</v>
      </c>
      <c r="B218" s="1649">
        <v>10</v>
      </c>
      <c r="C218" s="1650" t="s">
        <v>485</v>
      </c>
      <c r="D218" s="1651">
        <v>17401696.27</v>
      </c>
      <c r="E218" s="1651">
        <v>17401696.27</v>
      </c>
      <c r="F218" s="1651">
        <v>0</v>
      </c>
      <c r="G218" s="1652">
        <f t="shared" si="7"/>
        <v>100</v>
      </c>
      <c r="H218" s="1652">
        <f t="shared" si="8"/>
        <v>0</v>
      </c>
    </row>
    <row r="219" spans="1:8" s="1572" customFormat="1">
      <c r="A219" s="1649">
        <v>22</v>
      </c>
      <c r="B219" s="1649">
        <v>11</v>
      </c>
      <c r="C219" s="1650" t="s">
        <v>484</v>
      </c>
      <c r="D219" s="1651">
        <v>37129545.469999999</v>
      </c>
      <c r="E219" s="1651">
        <v>36734986.909999996</v>
      </c>
      <c r="F219" s="1651">
        <v>394558.56</v>
      </c>
      <c r="G219" s="1652">
        <f t="shared" si="7"/>
        <v>98.937346108050804</v>
      </c>
      <c r="H219" s="1652">
        <f t="shared" si="8"/>
        <v>1.0626538919491924</v>
      </c>
    </row>
    <row r="220" spans="1:8" s="1572" customFormat="1">
      <c r="A220" s="1649">
        <v>22</v>
      </c>
      <c r="B220" s="1649">
        <v>12</v>
      </c>
      <c r="C220" s="1650" t="s">
        <v>483</v>
      </c>
      <c r="D220" s="1651">
        <v>24824566.16</v>
      </c>
      <c r="E220" s="1651">
        <v>24144990.59</v>
      </c>
      <c r="F220" s="1651">
        <v>679575.57</v>
      </c>
      <c r="G220" s="1652">
        <f t="shared" si="7"/>
        <v>97.262487627699187</v>
      </c>
      <c r="H220" s="1652">
        <f t="shared" si="8"/>
        <v>2.7375123723008095</v>
      </c>
    </row>
    <row r="221" spans="1:8" s="1572" customFormat="1">
      <c r="A221" s="1649">
        <v>22</v>
      </c>
      <c r="B221" s="1649">
        <v>13</v>
      </c>
      <c r="C221" s="1650" t="s">
        <v>482</v>
      </c>
      <c r="D221" s="1651">
        <v>78354284.370000005</v>
      </c>
      <c r="E221" s="1651">
        <v>77970608.219999999</v>
      </c>
      <c r="F221" s="1651">
        <v>383676.15</v>
      </c>
      <c r="G221" s="1652">
        <f t="shared" si="7"/>
        <v>99.510331626298537</v>
      </c>
      <c r="H221" s="1652">
        <f t="shared" si="8"/>
        <v>0.48966837370146477</v>
      </c>
    </row>
    <row r="222" spans="1:8" s="1572" customFormat="1">
      <c r="A222" s="1649">
        <v>22</v>
      </c>
      <c r="B222" s="1649">
        <v>14</v>
      </c>
      <c r="C222" s="1650" t="s">
        <v>481</v>
      </c>
      <c r="D222" s="1651">
        <v>79669774.25</v>
      </c>
      <c r="E222" s="1651">
        <v>78896569.890000001</v>
      </c>
      <c r="F222" s="1651">
        <v>773204.36</v>
      </c>
      <c r="G222" s="1652">
        <f t="shared" si="7"/>
        <v>99.029488451198915</v>
      </c>
      <c r="H222" s="1652">
        <f t="shared" si="8"/>
        <v>0.97051154880108126</v>
      </c>
    </row>
    <row r="223" spans="1:8" s="1572" customFormat="1">
      <c r="A223" s="1649">
        <v>22</v>
      </c>
      <c r="B223" s="1649">
        <v>15</v>
      </c>
      <c r="C223" s="1650" t="s">
        <v>480</v>
      </c>
      <c r="D223" s="1651">
        <v>110641199.38</v>
      </c>
      <c r="E223" s="1651">
        <v>106996419.66</v>
      </c>
      <c r="F223" s="1651">
        <v>3644779.72</v>
      </c>
      <c r="G223" s="1652">
        <f t="shared" si="7"/>
        <v>96.705766260286168</v>
      </c>
      <c r="H223" s="1652">
        <f t="shared" si="8"/>
        <v>3.2942337397138219</v>
      </c>
    </row>
    <row r="224" spans="1:8" s="1572" customFormat="1">
      <c r="A224" s="1649">
        <v>22</v>
      </c>
      <c r="B224" s="1649">
        <v>16</v>
      </c>
      <c r="C224" s="1650" t="s">
        <v>479</v>
      </c>
      <c r="D224" s="1651">
        <v>25241269.760000002</v>
      </c>
      <c r="E224" s="1651">
        <v>25059919.760000002</v>
      </c>
      <c r="F224" s="1651">
        <v>181350</v>
      </c>
      <c r="G224" s="1652">
        <f t="shared" si="7"/>
        <v>99.28153376702393</v>
      </c>
      <c r="H224" s="1652">
        <f t="shared" si="8"/>
        <v>0.71846623297607037</v>
      </c>
    </row>
    <row r="225" spans="1:8" s="1572" customFormat="1">
      <c r="A225" s="1649">
        <v>24</v>
      </c>
      <c r="B225" s="1649">
        <v>1</v>
      </c>
      <c r="C225" s="1650" t="s">
        <v>478</v>
      </c>
      <c r="D225" s="1651">
        <v>49456772.469999999</v>
      </c>
      <c r="E225" s="1651">
        <v>47316820.469999999</v>
      </c>
      <c r="F225" s="1651">
        <v>2139952</v>
      </c>
      <c r="G225" s="1652">
        <f t="shared" si="7"/>
        <v>95.673086024167716</v>
      </c>
      <c r="H225" s="1652">
        <f t="shared" si="8"/>
        <v>4.3269139758322774</v>
      </c>
    </row>
    <row r="226" spans="1:8" s="1572" customFormat="1">
      <c r="A226" s="1649">
        <v>24</v>
      </c>
      <c r="B226" s="1649">
        <v>2</v>
      </c>
      <c r="C226" s="1650" t="s">
        <v>477</v>
      </c>
      <c r="D226" s="1651">
        <v>38042034.259999998</v>
      </c>
      <c r="E226" s="1651">
        <v>34689935.729999997</v>
      </c>
      <c r="F226" s="1651">
        <v>3352098.53</v>
      </c>
      <c r="G226" s="1652">
        <f t="shared" si="7"/>
        <v>91.188435121292585</v>
      </c>
      <c r="H226" s="1652">
        <f t="shared" si="8"/>
        <v>8.8115648787074097</v>
      </c>
    </row>
    <row r="227" spans="1:8" s="1572" customFormat="1">
      <c r="A227" s="1649">
        <v>24</v>
      </c>
      <c r="B227" s="1649">
        <v>3</v>
      </c>
      <c r="C227" s="1650" t="s">
        <v>476</v>
      </c>
      <c r="D227" s="1651">
        <v>97141140.269999996</v>
      </c>
      <c r="E227" s="1651">
        <v>92846904.650000006</v>
      </c>
      <c r="F227" s="1651">
        <v>4294235.62</v>
      </c>
      <c r="G227" s="1652">
        <f t="shared" si="7"/>
        <v>95.579385203772233</v>
      </c>
      <c r="H227" s="1652">
        <f t="shared" si="8"/>
        <v>4.4206147962277775</v>
      </c>
    </row>
    <row r="228" spans="1:8" s="1572" customFormat="1">
      <c r="A228" s="1649">
        <v>24</v>
      </c>
      <c r="B228" s="1649">
        <v>4</v>
      </c>
      <c r="C228" s="1650" t="s">
        <v>475</v>
      </c>
      <c r="D228" s="1651">
        <v>19983055.690000001</v>
      </c>
      <c r="E228" s="1651">
        <v>19548595.829999998</v>
      </c>
      <c r="F228" s="1651">
        <v>434459.86</v>
      </c>
      <c r="G228" s="1652">
        <f t="shared" si="7"/>
        <v>97.825858733820098</v>
      </c>
      <c r="H228" s="1652">
        <f t="shared" si="8"/>
        <v>2.1741412661798973</v>
      </c>
    </row>
    <row r="229" spans="1:8" s="1572" customFormat="1">
      <c r="A229" s="1649">
        <v>24</v>
      </c>
      <c r="B229" s="1649">
        <v>5</v>
      </c>
      <c r="C229" s="1650" t="s">
        <v>474</v>
      </c>
      <c r="D229" s="1651">
        <v>33875813.340000004</v>
      </c>
      <c r="E229" s="1651">
        <v>32536874.66</v>
      </c>
      <c r="F229" s="1651">
        <v>1338938.68</v>
      </c>
      <c r="G229" s="1652">
        <f t="shared" si="7"/>
        <v>96.047508390244303</v>
      </c>
      <c r="H229" s="1652">
        <f t="shared" si="8"/>
        <v>3.9524916097556928</v>
      </c>
    </row>
    <row r="230" spans="1:8" s="1572" customFormat="1">
      <c r="A230" s="1649">
        <v>24</v>
      </c>
      <c r="B230" s="1649">
        <v>6</v>
      </c>
      <c r="C230" s="1650" t="s">
        <v>473</v>
      </c>
      <c r="D230" s="1651">
        <v>29055614.789999999</v>
      </c>
      <c r="E230" s="1651">
        <v>26858537.210000001</v>
      </c>
      <c r="F230" s="1651">
        <v>2197077.58</v>
      </c>
      <c r="G230" s="1652">
        <f t="shared" si="7"/>
        <v>92.438371736824649</v>
      </c>
      <c r="H230" s="1652">
        <f t="shared" si="8"/>
        <v>7.5616282631753604</v>
      </c>
    </row>
    <row r="231" spans="1:8" s="1572" customFormat="1">
      <c r="A231" s="1649">
        <v>24</v>
      </c>
      <c r="B231" s="1649">
        <v>7</v>
      </c>
      <c r="C231" s="1650" t="s">
        <v>472</v>
      </c>
      <c r="D231" s="1651">
        <v>49696454.009999998</v>
      </c>
      <c r="E231" s="1651">
        <v>42085046.149999999</v>
      </c>
      <c r="F231" s="1651">
        <v>7611407.8600000003</v>
      </c>
      <c r="G231" s="1652">
        <f t="shared" si="7"/>
        <v>84.684203306601262</v>
      </c>
      <c r="H231" s="1652">
        <f t="shared" si="8"/>
        <v>15.315796693398731</v>
      </c>
    </row>
    <row r="232" spans="1:8" s="1572" customFormat="1">
      <c r="A232" s="1649">
        <v>24</v>
      </c>
      <c r="B232" s="1649">
        <v>8</v>
      </c>
      <c r="C232" s="1650" t="s">
        <v>471</v>
      </c>
      <c r="D232" s="1651">
        <v>53404577.130000003</v>
      </c>
      <c r="E232" s="1651">
        <v>51765825.840000004</v>
      </c>
      <c r="F232" s="1651">
        <v>1638751.29</v>
      </c>
      <c r="G232" s="1652">
        <f t="shared" si="7"/>
        <v>96.931440378207895</v>
      </c>
      <c r="H232" s="1652">
        <f t="shared" si="8"/>
        <v>3.0685596217921032</v>
      </c>
    </row>
    <row r="233" spans="1:8" s="1572" customFormat="1">
      <c r="A233" s="1649">
        <v>24</v>
      </c>
      <c r="B233" s="1649">
        <v>9</v>
      </c>
      <c r="C233" s="1650" t="s">
        <v>470</v>
      </c>
      <c r="D233" s="1651">
        <v>24940234.530000001</v>
      </c>
      <c r="E233" s="1651">
        <v>24323152.789999999</v>
      </c>
      <c r="F233" s="1651">
        <v>617081.74</v>
      </c>
      <c r="G233" s="1652">
        <f t="shared" si="7"/>
        <v>97.525758070728131</v>
      </c>
      <c r="H233" s="1652">
        <f t="shared" si="8"/>
        <v>2.4742419292718654</v>
      </c>
    </row>
    <row r="234" spans="1:8" s="1572" customFormat="1">
      <c r="A234" s="1649">
        <v>24</v>
      </c>
      <c r="B234" s="1649">
        <v>10</v>
      </c>
      <c r="C234" s="1650" t="s">
        <v>469</v>
      </c>
      <c r="D234" s="1651">
        <v>50514080.130000003</v>
      </c>
      <c r="E234" s="1651">
        <v>48999783.719999999</v>
      </c>
      <c r="F234" s="1651">
        <v>1514296.41</v>
      </c>
      <c r="G234" s="1652">
        <f t="shared" si="7"/>
        <v>97.002229069394303</v>
      </c>
      <c r="H234" s="1652">
        <f t="shared" si="8"/>
        <v>2.9977709306056801</v>
      </c>
    </row>
    <row r="235" spans="1:8" s="1572" customFormat="1">
      <c r="A235" s="1649">
        <v>24</v>
      </c>
      <c r="B235" s="1649">
        <v>11</v>
      </c>
      <c r="C235" s="1650" t="s">
        <v>468</v>
      </c>
      <c r="D235" s="1651">
        <v>58932313.090000004</v>
      </c>
      <c r="E235" s="1651">
        <v>57687221.299999997</v>
      </c>
      <c r="F235" s="1651">
        <v>1245091.79</v>
      </c>
      <c r="G235" s="1652">
        <f t="shared" si="7"/>
        <v>97.88725111112042</v>
      </c>
      <c r="H235" s="1652">
        <f t="shared" si="8"/>
        <v>2.1127488888795622</v>
      </c>
    </row>
    <row r="236" spans="1:8" s="1572" customFormat="1">
      <c r="A236" s="1649">
        <v>24</v>
      </c>
      <c r="B236" s="1649">
        <v>12</v>
      </c>
      <c r="C236" s="1650" t="s">
        <v>467</v>
      </c>
      <c r="D236" s="1651">
        <v>17081439.879999999</v>
      </c>
      <c r="E236" s="1651">
        <v>16777255.43</v>
      </c>
      <c r="F236" s="1651">
        <v>304184.45</v>
      </c>
      <c r="G236" s="1652">
        <f t="shared" si="7"/>
        <v>98.2192107214793</v>
      </c>
      <c r="H236" s="1652">
        <f t="shared" si="8"/>
        <v>1.7807892785207053</v>
      </c>
    </row>
    <row r="237" spans="1:8" s="1572" customFormat="1">
      <c r="A237" s="1649">
        <v>24</v>
      </c>
      <c r="B237" s="1649">
        <v>13</v>
      </c>
      <c r="C237" s="1650" t="s">
        <v>466</v>
      </c>
      <c r="D237" s="1651">
        <v>93451130.870000005</v>
      </c>
      <c r="E237" s="1651">
        <v>89350743.769999996</v>
      </c>
      <c r="F237" s="1651">
        <v>4100387.1</v>
      </c>
      <c r="G237" s="1652">
        <f t="shared" si="7"/>
        <v>95.61226593854272</v>
      </c>
      <c r="H237" s="1652">
        <f t="shared" si="8"/>
        <v>4.3877340614572704</v>
      </c>
    </row>
    <row r="238" spans="1:8" s="1572" customFormat="1">
      <c r="A238" s="1649">
        <v>24</v>
      </c>
      <c r="B238" s="1649">
        <v>14</v>
      </c>
      <c r="C238" s="1650" t="s">
        <v>465</v>
      </c>
      <c r="D238" s="1651">
        <v>20832172.350000001</v>
      </c>
      <c r="E238" s="1651">
        <v>19666452.829999998</v>
      </c>
      <c r="F238" s="1651">
        <v>1165719.52</v>
      </c>
      <c r="G238" s="1652">
        <f t="shared" si="7"/>
        <v>94.404234467655016</v>
      </c>
      <c r="H238" s="1652">
        <f t="shared" si="8"/>
        <v>5.5957655323449744</v>
      </c>
    </row>
    <row r="239" spans="1:8" s="1572" customFormat="1">
      <c r="A239" s="1649">
        <v>24</v>
      </c>
      <c r="B239" s="1649">
        <v>15</v>
      </c>
      <c r="C239" s="1650" t="s">
        <v>464</v>
      </c>
      <c r="D239" s="1651">
        <v>83757057.780000001</v>
      </c>
      <c r="E239" s="1651">
        <v>82906634.890000001</v>
      </c>
      <c r="F239" s="1651">
        <v>850422.89</v>
      </c>
      <c r="G239" s="1652">
        <f t="shared" si="7"/>
        <v>98.984655248714972</v>
      </c>
      <c r="H239" s="1652">
        <f t="shared" si="8"/>
        <v>1.0153447512850302</v>
      </c>
    </row>
    <row r="240" spans="1:8" s="1572" customFormat="1">
      <c r="A240" s="1649">
        <v>24</v>
      </c>
      <c r="B240" s="1649">
        <v>16</v>
      </c>
      <c r="C240" s="1650" t="s">
        <v>463</v>
      </c>
      <c r="D240" s="1651">
        <v>52071070.020000003</v>
      </c>
      <c r="E240" s="1651">
        <v>51783081.920000002</v>
      </c>
      <c r="F240" s="1651">
        <v>287988.09999999998</v>
      </c>
      <c r="G240" s="1652">
        <f t="shared" si="7"/>
        <v>99.44693262518058</v>
      </c>
      <c r="H240" s="1652">
        <f t="shared" si="8"/>
        <v>0.55306737481942758</v>
      </c>
    </row>
    <row r="241" spans="1:8" s="1572" customFormat="1">
      <c r="A241" s="1649">
        <v>24</v>
      </c>
      <c r="B241" s="1649">
        <v>17</v>
      </c>
      <c r="C241" s="1650" t="s">
        <v>462</v>
      </c>
      <c r="D241" s="1651">
        <v>115527849.70999999</v>
      </c>
      <c r="E241" s="1651">
        <v>100155015.84</v>
      </c>
      <c r="F241" s="1651">
        <v>15372833.869999999</v>
      </c>
      <c r="G241" s="1652">
        <f t="shared" si="7"/>
        <v>86.693395654304013</v>
      </c>
      <c r="H241" s="1652">
        <f t="shared" si="8"/>
        <v>13.306604345695996</v>
      </c>
    </row>
    <row r="242" spans="1:8" s="1572" customFormat="1">
      <c r="A242" s="1649">
        <v>26</v>
      </c>
      <c r="B242" s="1649">
        <v>1</v>
      </c>
      <c r="C242" s="1650" t="s">
        <v>461</v>
      </c>
      <c r="D242" s="1651">
        <v>45504479.020000003</v>
      </c>
      <c r="E242" s="1651">
        <v>45504479.020000003</v>
      </c>
      <c r="F242" s="1651">
        <v>0</v>
      </c>
      <c r="G242" s="1652">
        <f t="shared" si="7"/>
        <v>100</v>
      </c>
      <c r="H242" s="1652">
        <f t="shared" si="8"/>
        <v>0</v>
      </c>
    </row>
    <row r="243" spans="1:8" s="1572" customFormat="1">
      <c r="A243" s="1649">
        <v>26</v>
      </c>
      <c r="B243" s="1649">
        <v>2</v>
      </c>
      <c r="C243" s="1650" t="s">
        <v>460</v>
      </c>
      <c r="D243" s="1651">
        <v>44459846.420000002</v>
      </c>
      <c r="E243" s="1651">
        <v>44299106.119999997</v>
      </c>
      <c r="F243" s="1651">
        <v>160740.29999999999</v>
      </c>
      <c r="G243" s="1652">
        <f t="shared" si="7"/>
        <v>99.638459614813925</v>
      </c>
      <c r="H243" s="1652">
        <f t="shared" si="8"/>
        <v>0.36154038518606285</v>
      </c>
    </row>
    <row r="244" spans="1:8" s="1572" customFormat="1">
      <c r="A244" s="1649">
        <v>26</v>
      </c>
      <c r="B244" s="1649">
        <v>3</v>
      </c>
      <c r="C244" s="1650" t="s">
        <v>459</v>
      </c>
      <c r="D244" s="1651">
        <v>26234205.219999999</v>
      </c>
      <c r="E244" s="1651">
        <v>25906841.32</v>
      </c>
      <c r="F244" s="1651">
        <v>327363.90000000002</v>
      </c>
      <c r="G244" s="1652">
        <f t="shared" si="7"/>
        <v>98.752148589009181</v>
      </c>
      <c r="H244" s="1652">
        <f t="shared" si="8"/>
        <v>1.2478514109908303</v>
      </c>
    </row>
    <row r="245" spans="1:8" s="1572" customFormat="1">
      <c r="A245" s="1649">
        <v>26</v>
      </c>
      <c r="B245" s="1649">
        <v>4</v>
      </c>
      <c r="C245" s="1650" t="s">
        <v>458</v>
      </c>
      <c r="D245" s="1651">
        <v>42284816.020000003</v>
      </c>
      <c r="E245" s="1651">
        <v>42191296.020000003</v>
      </c>
      <c r="F245" s="1651">
        <v>93520</v>
      </c>
      <c r="G245" s="1652">
        <f t="shared" si="7"/>
        <v>99.778833139641037</v>
      </c>
      <c r="H245" s="1652">
        <f t="shared" si="8"/>
        <v>0.22116686035896815</v>
      </c>
    </row>
    <row r="246" spans="1:8" s="1572" customFormat="1">
      <c r="A246" s="1649">
        <v>26</v>
      </c>
      <c r="B246" s="1649">
        <v>5</v>
      </c>
      <c r="C246" s="1650" t="s">
        <v>457</v>
      </c>
      <c r="D246" s="1651">
        <v>47529938.200000003</v>
      </c>
      <c r="E246" s="1651">
        <v>46894925.200000003</v>
      </c>
      <c r="F246" s="1651">
        <v>635013</v>
      </c>
      <c r="G246" s="1652">
        <f t="shared" si="7"/>
        <v>98.66397259485602</v>
      </c>
      <c r="H246" s="1652">
        <f t="shared" si="8"/>
        <v>1.3360274051439855</v>
      </c>
    </row>
    <row r="247" spans="1:8" s="1572" customFormat="1">
      <c r="A247" s="1649">
        <v>26</v>
      </c>
      <c r="B247" s="1649">
        <v>6</v>
      </c>
      <c r="C247" s="1650" t="s">
        <v>456</v>
      </c>
      <c r="D247" s="1651">
        <v>35995023.119999997</v>
      </c>
      <c r="E247" s="1651">
        <v>34676612.079999998</v>
      </c>
      <c r="F247" s="1651">
        <v>1318411.04</v>
      </c>
      <c r="G247" s="1652">
        <f t="shared" si="7"/>
        <v>96.337240746853553</v>
      </c>
      <c r="H247" s="1652">
        <f t="shared" si="8"/>
        <v>3.6627592531464392</v>
      </c>
    </row>
    <row r="248" spans="1:8" s="1572" customFormat="1">
      <c r="A248" s="1649">
        <v>26</v>
      </c>
      <c r="B248" s="1649">
        <v>7</v>
      </c>
      <c r="C248" s="1650" t="s">
        <v>455</v>
      </c>
      <c r="D248" s="1651">
        <v>78877319.900000006</v>
      </c>
      <c r="E248" s="1651">
        <v>78851981.900000006</v>
      </c>
      <c r="F248" s="1651">
        <v>25338</v>
      </c>
      <c r="G248" s="1652">
        <f t="shared" si="7"/>
        <v>99.967876697595543</v>
      </c>
      <c r="H248" s="1652">
        <f t="shared" si="8"/>
        <v>3.2123302404446927E-2</v>
      </c>
    </row>
    <row r="249" spans="1:8" s="1572" customFormat="1">
      <c r="A249" s="1649">
        <v>26</v>
      </c>
      <c r="B249" s="1649">
        <v>8</v>
      </c>
      <c r="C249" s="1650" t="s">
        <v>454</v>
      </c>
      <c r="D249" s="1651">
        <v>22807691.079999998</v>
      </c>
      <c r="E249" s="1651">
        <v>21971733.690000001</v>
      </c>
      <c r="F249" s="1651">
        <v>835957.39</v>
      </c>
      <c r="G249" s="1652">
        <f t="shared" si="7"/>
        <v>96.334756608778136</v>
      </c>
      <c r="H249" s="1652">
        <f t="shared" si="8"/>
        <v>3.6652433912218707</v>
      </c>
    </row>
    <row r="250" spans="1:8" s="1572" customFormat="1">
      <c r="A250" s="1649">
        <v>26</v>
      </c>
      <c r="B250" s="1649">
        <v>9</v>
      </c>
      <c r="C250" s="1650" t="s">
        <v>453</v>
      </c>
      <c r="D250" s="1651">
        <v>44206630.009999998</v>
      </c>
      <c r="E250" s="1651">
        <v>44133340.009999998</v>
      </c>
      <c r="F250" s="1651">
        <v>73290</v>
      </c>
      <c r="G250" s="1652">
        <f t="shared" si="7"/>
        <v>99.834210388841171</v>
      </c>
      <c r="H250" s="1652">
        <f t="shared" si="8"/>
        <v>0.16578961115882629</v>
      </c>
    </row>
    <row r="251" spans="1:8" s="1572" customFormat="1">
      <c r="A251" s="1649">
        <v>26</v>
      </c>
      <c r="B251" s="1649">
        <v>10</v>
      </c>
      <c r="C251" s="1650" t="s">
        <v>452</v>
      </c>
      <c r="D251" s="1651">
        <v>57428587.119999997</v>
      </c>
      <c r="E251" s="1651">
        <v>57416587.119999997</v>
      </c>
      <c r="F251" s="1651">
        <v>12000</v>
      </c>
      <c r="G251" s="1652">
        <f t="shared" si="7"/>
        <v>99.979104483321308</v>
      </c>
      <c r="H251" s="1652">
        <f t="shared" si="8"/>
        <v>2.0895516678697632E-2</v>
      </c>
    </row>
    <row r="252" spans="1:8" s="1572" customFormat="1">
      <c r="A252" s="1649">
        <v>26</v>
      </c>
      <c r="B252" s="1649">
        <v>11</v>
      </c>
      <c r="C252" s="1650" t="s">
        <v>451</v>
      </c>
      <c r="D252" s="1651">
        <v>52680015.640000001</v>
      </c>
      <c r="E252" s="1651">
        <v>48255647.93</v>
      </c>
      <c r="F252" s="1651">
        <v>4424367.71</v>
      </c>
      <c r="G252" s="1652">
        <f t="shared" si="7"/>
        <v>91.601430530630722</v>
      </c>
      <c r="H252" s="1652">
        <f t="shared" si="8"/>
        <v>8.3985694693692778</v>
      </c>
    </row>
    <row r="253" spans="1:8" s="1572" customFormat="1">
      <c r="A253" s="1649">
        <v>26</v>
      </c>
      <c r="B253" s="1649">
        <v>12</v>
      </c>
      <c r="C253" s="1650" t="s">
        <v>450</v>
      </c>
      <c r="D253" s="1651">
        <v>37354760.039999999</v>
      </c>
      <c r="E253" s="1651">
        <v>37176131.280000001</v>
      </c>
      <c r="F253" s="1651">
        <v>178628.76</v>
      </c>
      <c r="G253" s="1652">
        <f t="shared" si="7"/>
        <v>99.521804557682287</v>
      </c>
      <c r="H253" s="1652">
        <f t="shared" si="8"/>
        <v>0.47819544231771755</v>
      </c>
    </row>
    <row r="254" spans="1:8" s="1572" customFormat="1">
      <c r="A254" s="1649">
        <v>26</v>
      </c>
      <c r="B254" s="1649">
        <v>13</v>
      </c>
      <c r="C254" s="1650" t="s">
        <v>449</v>
      </c>
      <c r="D254" s="1651">
        <v>25606498.649999999</v>
      </c>
      <c r="E254" s="1651">
        <v>25524708.539999999</v>
      </c>
      <c r="F254" s="1651">
        <v>81790.11</v>
      </c>
      <c r="G254" s="1652">
        <f t="shared" si="7"/>
        <v>99.680588466553203</v>
      </c>
      <c r="H254" s="1652">
        <f t="shared" si="8"/>
        <v>0.3194115334468034</v>
      </c>
    </row>
    <row r="255" spans="1:8" s="1572" customFormat="1">
      <c r="A255" s="1649">
        <v>28</v>
      </c>
      <c r="B255" s="1649">
        <v>1</v>
      </c>
      <c r="C255" s="1650" t="s">
        <v>448</v>
      </c>
      <c r="D255" s="1651">
        <v>33425985.140000001</v>
      </c>
      <c r="E255" s="1651">
        <v>33341995.140000001</v>
      </c>
      <c r="F255" s="1651">
        <v>83990</v>
      </c>
      <c r="G255" s="1652">
        <f t="shared" si="7"/>
        <v>99.748728422967275</v>
      </c>
      <c r="H255" s="1652">
        <f t="shared" si="8"/>
        <v>0.25127157703271807</v>
      </c>
    </row>
    <row r="256" spans="1:8" s="1572" customFormat="1">
      <c r="A256" s="1649">
        <v>28</v>
      </c>
      <c r="B256" s="1649">
        <v>2</v>
      </c>
      <c r="C256" s="1650" t="s">
        <v>447</v>
      </c>
      <c r="D256" s="1651">
        <v>22085154.16</v>
      </c>
      <c r="E256" s="1651">
        <v>21362155.890000001</v>
      </c>
      <c r="F256" s="1651">
        <v>722998.27</v>
      </c>
      <c r="G256" s="1652">
        <f t="shared" si="7"/>
        <v>96.726315493375765</v>
      </c>
      <c r="H256" s="1652">
        <f t="shared" si="8"/>
        <v>3.2736845066242455</v>
      </c>
    </row>
    <row r="257" spans="1:8" s="1572" customFormat="1">
      <c r="A257" s="1649">
        <v>28</v>
      </c>
      <c r="B257" s="1649">
        <v>3</v>
      </c>
      <c r="C257" s="1650" t="s">
        <v>446</v>
      </c>
      <c r="D257" s="1651">
        <v>37661103.32</v>
      </c>
      <c r="E257" s="1651">
        <v>35801080.780000001</v>
      </c>
      <c r="F257" s="1651">
        <v>1860022.54</v>
      </c>
      <c r="G257" s="1652">
        <f t="shared" si="7"/>
        <v>95.061157597546455</v>
      </c>
      <c r="H257" s="1652">
        <f t="shared" si="8"/>
        <v>4.9388424024535453</v>
      </c>
    </row>
    <row r="258" spans="1:8" s="1572" customFormat="1">
      <c r="A258" s="1649">
        <v>28</v>
      </c>
      <c r="B258" s="1649">
        <v>4</v>
      </c>
      <c r="C258" s="1650" t="s">
        <v>445</v>
      </c>
      <c r="D258" s="1651">
        <v>21478882.379999999</v>
      </c>
      <c r="E258" s="1651">
        <v>20932745.48</v>
      </c>
      <c r="F258" s="1651">
        <v>546136.9</v>
      </c>
      <c r="G258" s="1652">
        <f t="shared" si="7"/>
        <v>97.457330924682879</v>
      </c>
      <c r="H258" s="1652">
        <f t="shared" si="8"/>
        <v>2.5426690753171304</v>
      </c>
    </row>
    <row r="259" spans="1:8" s="1572" customFormat="1">
      <c r="A259" s="1649">
        <v>28</v>
      </c>
      <c r="B259" s="1649">
        <v>5</v>
      </c>
      <c r="C259" s="1650" t="s">
        <v>444</v>
      </c>
      <c r="D259" s="1651">
        <v>78533935.329999998</v>
      </c>
      <c r="E259" s="1651">
        <v>71604740.079999998</v>
      </c>
      <c r="F259" s="1651">
        <v>6929195.25</v>
      </c>
      <c r="G259" s="1652">
        <f t="shared" si="7"/>
        <v>91.176813920143587</v>
      </c>
      <c r="H259" s="1652">
        <f t="shared" si="8"/>
        <v>8.8231860798564163</v>
      </c>
    </row>
    <row r="260" spans="1:8" s="1572" customFormat="1">
      <c r="A260" s="1649">
        <v>28</v>
      </c>
      <c r="B260" s="1649">
        <v>6</v>
      </c>
      <c r="C260" s="1650" t="s">
        <v>443</v>
      </c>
      <c r="D260" s="1651">
        <v>43380276.25</v>
      </c>
      <c r="E260" s="1651">
        <v>42379946.670000002</v>
      </c>
      <c r="F260" s="1651">
        <v>1000329.58</v>
      </c>
      <c r="G260" s="1652">
        <f t="shared" si="7"/>
        <v>97.694045159521096</v>
      </c>
      <c r="H260" s="1652">
        <f t="shared" si="8"/>
        <v>2.3059548404789147</v>
      </c>
    </row>
    <row r="261" spans="1:8" s="1572" customFormat="1">
      <c r="A261" s="1649">
        <v>28</v>
      </c>
      <c r="B261" s="1649">
        <v>7</v>
      </c>
      <c r="C261" s="1650" t="s">
        <v>442</v>
      </c>
      <c r="D261" s="1651">
        <v>65388281.409999996</v>
      </c>
      <c r="E261" s="1651">
        <v>58144439.130000003</v>
      </c>
      <c r="F261" s="1651">
        <v>7243842.2800000003</v>
      </c>
      <c r="G261" s="1652">
        <f t="shared" si="7"/>
        <v>88.921803534521132</v>
      </c>
      <c r="H261" s="1652">
        <f t="shared" si="8"/>
        <v>11.078196465478877</v>
      </c>
    </row>
    <row r="262" spans="1:8" s="1572" customFormat="1">
      <c r="A262" s="1649">
        <v>28</v>
      </c>
      <c r="B262" s="1649">
        <v>8</v>
      </c>
      <c r="C262" s="1650" t="s">
        <v>441</v>
      </c>
      <c r="D262" s="1651">
        <v>35290288.369999997</v>
      </c>
      <c r="E262" s="1651">
        <v>32090742.84</v>
      </c>
      <c r="F262" s="1651">
        <v>3199545.53</v>
      </c>
      <c r="G262" s="1652">
        <f t="shared" si="7"/>
        <v>90.93363733258721</v>
      </c>
      <c r="H262" s="1652">
        <f t="shared" si="8"/>
        <v>9.0663626674127968</v>
      </c>
    </row>
    <row r="263" spans="1:8" s="1572" customFormat="1">
      <c r="A263" s="1649">
        <v>28</v>
      </c>
      <c r="B263" s="1649">
        <v>9</v>
      </c>
      <c r="C263" s="1650" t="s">
        <v>440</v>
      </c>
      <c r="D263" s="1651">
        <v>27545639.329999998</v>
      </c>
      <c r="E263" s="1651">
        <v>27524959.329999998</v>
      </c>
      <c r="F263" s="1651">
        <v>20680</v>
      </c>
      <c r="G263" s="1652">
        <f t="shared" si="7"/>
        <v>99.924924596041322</v>
      </c>
      <c r="H263" s="1652">
        <f t="shared" si="8"/>
        <v>7.5075403958685324E-2</v>
      </c>
    </row>
    <row r="264" spans="1:8" s="1572" customFormat="1">
      <c r="A264" s="1649">
        <v>28</v>
      </c>
      <c r="B264" s="1649">
        <v>10</v>
      </c>
      <c r="C264" s="1650" t="s">
        <v>439</v>
      </c>
      <c r="D264" s="1651">
        <v>27402186.079999998</v>
      </c>
      <c r="E264" s="1651">
        <v>27132046.699999999</v>
      </c>
      <c r="F264" s="1651">
        <v>270139.38</v>
      </c>
      <c r="G264" s="1652">
        <f t="shared" si="7"/>
        <v>99.014168507536823</v>
      </c>
      <c r="H264" s="1652">
        <f t="shared" si="8"/>
        <v>0.9858314924631737</v>
      </c>
    </row>
    <row r="265" spans="1:8" s="1572" customFormat="1">
      <c r="A265" s="1649">
        <v>28</v>
      </c>
      <c r="B265" s="1649">
        <v>11</v>
      </c>
      <c r="C265" s="1650" t="s">
        <v>438</v>
      </c>
      <c r="D265" s="1651">
        <v>26003281.460000001</v>
      </c>
      <c r="E265" s="1651">
        <v>24779836.440000001</v>
      </c>
      <c r="F265" s="1651">
        <v>1223445.02</v>
      </c>
      <c r="G265" s="1652">
        <f t="shared" si="7"/>
        <v>95.295036044270091</v>
      </c>
      <c r="H265" s="1652">
        <f t="shared" si="8"/>
        <v>4.7049639557299159</v>
      </c>
    </row>
    <row r="266" spans="1:8" s="1572" customFormat="1">
      <c r="A266" s="1649">
        <v>28</v>
      </c>
      <c r="B266" s="1649">
        <v>12</v>
      </c>
      <c r="C266" s="1650" t="s">
        <v>437</v>
      </c>
      <c r="D266" s="1651">
        <v>18148412.390000001</v>
      </c>
      <c r="E266" s="1651">
        <v>17591981.469999999</v>
      </c>
      <c r="F266" s="1651">
        <v>556430.92000000004</v>
      </c>
      <c r="G266" s="1652">
        <f t="shared" si="7"/>
        <v>96.933996715290633</v>
      </c>
      <c r="H266" s="1652">
        <f t="shared" si="8"/>
        <v>3.0660032847093577</v>
      </c>
    </row>
    <row r="267" spans="1:8" s="1572" customFormat="1">
      <c r="A267" s="1649">
        <v>28</v>
      </c>
      <c r="B267" s="1649">
        <v>13</v>
      </c>
      <c r="C267" s="1650" t="s">
        <v>436</v>
      </c>
      <c r="D267" s="1651">
        <v>31079797.329999998</v>
      </c>
      <c r="E267" s="1651">
        <v>27104903.390000001</v>
      </c>
      <c r="F267" s="1651">
        <v>3974893.94</v>
      </c>
      <c r="G267" s="1652">
        <f t="shared" ref="G267:G322" si="9">E267/D267*100</f>
        <v>87.210682560779745</v>
      </c>
      <c r="H267" s="1652">
        <f t="shared" ref="H267:H322" si="10">F267/D267*100</f>
        <v>12.789317439220252</v>
      </c>
    </row>
    <row r="268" spans="1:8" s="1572" customFormat="1">
      <c r="A268" s="1649">
        <v>28</v>
      </c>
      <c r="B268" s="1649">
        <v>14</v>
      </c>
      <c r="C268" s="1650" t="s">
        <v>435</v>
      </c>
      <c r="D268" s="1651">
        <v>39565313.159999996</v>
      </c>
      <c r="E268" s="1651">
        <v>39003057.189999998</v>
      </c>
      <c r="F268" s="1651">
        <v>562255.97</v>
      </c>
      <c r="G268" s="1652">
        <f t="shared" si="9"/>
        <v>98.578916922188213</v>
      </c>
      <c r="H268" s="1652">
        <f t="shared" si="10"/>
        <v>1.4210830778117871</v>
      </c>
    </row>
    <row r="269" spans="1:8" s="1572" customFormat="1">
      <c r="A269" s="1649">
        <v>28</v>
      </c>
      <c r="B269" s="1649">
        <v>15</v>
      </c>
      <c r="C269" s="1650" t="s">
        <v>434</v>
      </c>
      <c r="D269" s="1651">
        <v>79516669.420000002</v>
      </c>
      <c r="E269" s="1651">
        <v>78042676.230000004</v>
      </c>
      <c r="F269" s="1651">
        <v>1473993.19</v>
      </c>
      <c r="G269" s="1652">
        <f t="shared" si="9"/>
        <v>98.14630919434704</v>
      </c>
      <c r="H269" s="1652">
        <f t="shared" si="10"/>
        <v>1.8536908056529613</v>
      </c>
    </row>
    <row r="270" spans="1:8" s="1572" customFormat="1">
      <c r="A270" s="1649">
        <v>28</v>
      </c>
      <c r="B270" s="1649">
        <v>16</v>
      </c>
      <c r="C270" s="1650" t="s">
        <v>433</v>
      </c>
      <c r="D270" s="1651">
        <v>36441307.899999999</v>
      </c>
      <c r="E270" s="1651">
        <v>36257002.18</v>
      </c>
      <c r="F270" s="1651">
        <v>184305.72</v>
      </c>
      <c r="G270" s="1652">
        <f t="shared" si="9"/>
        <v>99.494239557741011</v>
      </c>
      <c r="H270" s="1652">
        <f t="shared" si="10"/>
        <v>0.50576044225898931</v>
      </c>
    </row>
    <row r="271" spans="1:8" s="1572" customFormat="1">
      <c r="A271" s="1649">
        <v>28</v>
      </c>
      <c r="B271" s="1649">
        <v>17</v>
      </c>
      <c r="C271" s="1650" t="s">
        <v>432</v>
      </c>
      <c r="D271" s="1651">
        <v>37341008.100000001</v>
      </c>
      <c r="E271" s="1651">
        <v>36415982.68</v>
      </c>
      <c r="F271" s="1651">
        <v>925025.42</v>
      </c>
      <c r="G271" s="1652">
        <f t="shared" si="9"/>
        <v>97.522762595153395</v>
      </c>
      <c r="H271" s="1652">
        <f t="shared" si="10"/>
        <v>2.4772374048466035</v>
      </c>
    </row>
    <row r="272" spans="1:8" s="1572" customFormat="1">
      <c r="A272" s="1649">
        <v>28</v>
      </c>
      <c r="B272" s="1649">
        <v>18</v>
      </c>
      <c r="C272" s="1650" t="s">
        <v>431</v>
      </c>
      <c r="D272" s="1651">
        <v>17708734.850000001</v>
      </c>
      <c r="E272" s="1651">
        <v>16354670.6</v>
      </c>
      <c r="F272" s="1651">
        <v>1354064.25</v>
      </c>
      <c r="G272" s="1652">
        <f t="shared" si="9"/>
        <v>92.353692900879352</v>
      </c>
      <c r="H272" s="1652">
        <f t="shared" si="10"/>
        <v>7.6463070991206346</v>
      </c>
    </row>
    <row r="273" spans="1:8" s="1572" customFormat="1">
      <c r="A273" s="1649">
        <v>28</v>
      </c>
      <c r="B273" s="1649">
        <v>19</v>
      </c>
      <c r="C273" s="1650" t="s">
        <v>430</v>
      </c>
      <c r="D273" s="1651">
        <v>18067797.559999999</v>
      </c>
      <c r="E273" s="1651">
        <v>15747492.27</v>
      </c>
      <c r="F273" s="1651">
        <v>2320305.29</v>
      </c>
      <c r="G273" s="1652">
        <f t="shared" si="9"/>
        <v>87.157785655419971</v>
      </c>
      <c r="H273" s="1652">
        <f t="shared" si="10"/>
        <v>12.842214344580027</v>
      </c>
    </row>
    <row r="274" spans="1:8" s="1572" customFormat="1">
      <c r="A274" s="1649">
        <v>30</v>
      </c>
      <c r="B274" s="1649">
        <v>1</v>
      </c>
      <c r="C274" s="1650" t="s">
        <v>429</v>
      </c>
      <c r="D274" s="1651">
        <v>28095868.719999999</v>
      </c>
      <c r="E274" s="1651">
        <v>26950471.16</v>
      </c>
      <c r="F274" s="1651">
        <v>1145397.56</v>
      </c>
      <c r="G274" s="1652">
        <f t="shared" si="9"/>
        <v>95.923252733649591</v>
      </c>
      <c r="H274" s="1652">
        <f t="shared" si="10"/>
        <v>4.0767472663504103</v>
      </c>
    </row>
    <row r="275" spans="1:8" s="1572" customFormat="1">
      <c r="A275" s="1649">
        <v>30</v>
      </c>
      <c r="B275" s="1649">
        <v>2</v>
      </c>
      <c r="C275" s="1650" t="s">
        <v>428</v>
      </c>
      <c r="D275" s="1651">
        <v>53104827.380000003</v>
      </c>
      <c r="E275" s="1651">
        <v>50795437.909999996</v>
      </c>
      <c r="F275" s="1651">
        <v>2309389.4700000002</v>
      </c>
      <c r="G275" s="1652">
        <f t="shared" si="9"/>
        <v>95.65126263668121</v>
      </c>
      <c r="H275" s="1652">
        <f t="shared" si="10"/>
        <v>4.3487373633187767</v>
      </c>
    </row>
    <row r="276" spans="1:8" s="1572" customFormat="1">
      <c r="A276" s="1649">
        <v>30</v>
      </c>
      <c r="B276" s="1649">
        <v>3</v>
      </c>
      <c r="C276" s="1650" t="s">
        <v>427</v>
      </c>
      <c r="D276" s="1651">
        <v>89701597.019999996</v>
      </c>
      <c r="E276" s="1651">
        <v>89027199.310000002</v>
      </c>
      <c r="F276" s="1651">
        <v>674397.71</v>
      </c>
      <c r="G276" s="1652">
        <f t="shared" si="9"/>
        <v>99.248176473547474</v>
      </c>
      <c r="H276" s="1652">
        <f t="shared" si="10"/>
        <v>0.75182352645252826</v>
      </c>
    </row>
    <row r="277" spans="1:8" s="1572" customFormat="1">
      <c r="A277" s="1649">
        <v>30</v>
      </c>
      <c r="B277" s="1649">
        <v>4</v>
      </c>
      <c r="C277" s="1650" t="s">
        <v>426</v>
      </c>
      <c r="D277" s="1651">
        <v>33540597.43</v>
      </c>
      <c r="E277" s="1651">
        <v>31536096.870000001</v>
      </c>
      <c r="F277" s="1651">
        <v>2004500.56</v>
      </c>
      <c r="G277" s="1652">
        <f t="shared" si="9"/>
        <v>94.023658749122049</v>
      </c>
      <c r="H277" s="1652">
        <f t="shared" si="10"/>
        <v>5.976341250877951</v>
      </c>
    </row>
    <row r="278" spans="1:8" s="1572" customFormat="1">
      <c r="A278" s="1649">
        <v>30</v>
      </c>
      <c r="B278" s="1649">
        <v>5</v>
      </c>
      <c r="C278" s="1650" t="s">
        <v>425</v>
      </c>
      <c r="D278" s="1651">
        <v>20312717.52</v>
      </c>
      <c r="E278" s="1651">
        <v>19833484.82</v>
      </c>
      <c r="F278" s="1651">
        <v>479232.7</v>
      </c>
      <c r="G278" s="1652">
        <f t="shared" si="9"/>
        <v>97.640725818551147</v>
      </c>
      <c r="H278" s="1652">
        <f t="shared" si="10"/>
        <v>2.359274181448864</v>
      </c>
    </row>
    <row r="279" spans="1:8" s="1572" customFormat="1">
      <c r="A279" s="1649">
        <v>30</v>
      </c>
      <c r="B279" s="1649">
        <v>6</v>
      </c>
      <c r="C279" s="1650" t="s">
        <v>424</v>
      </c>
      <c r="D279" s="1651">
        <v>43417873.170000002</v>
      </c>
      <c r="E279" s="1651">
        <v>43417873.170000002</v>
      </c>
      <c r="F279" s="1651">
        <v>0</v>
      </c>
      <c r="G279" s="1652">
        <f t="shared" si="9"/>
        <v>100</v>
      </c>
      <c r="H279" s="1652">
        <f t="shared" si="10"/>
        <v>0</v>
      </c>
    </row>
    <row r="280" spans="1:8" s="1572" customFormat="1">
      <c r="A280" s="1649">
        <v>30</v>
      </c>
      <c r="B280" s="1649">
        <v>7</v>
      </c>
      <c r="C280" s="1650" t="s">
        <v>423</v>
      </c>
      <c r="D280" s="1651">
        <v>20916338.699999999</v>
      </c>
      <c r="E280" s="1651">
        <v>17766694.27</v>
      </c>
      <c r="F280" s="1651">
        <v>3149644.43</v>
      </c>
      <c r="G280" s="1652">
        <f t="shared" si="9"/>
        <v>84.941702870780162</v>
      </c>
      <c r="H280" s="1652">
        <f t="shared" si="10"/>
        <v>15.05829712921985</v>
      </c>
    </row>
    <row r="281" spans="1:8" s="1572" customFormat="1">
      <c r="A281" s="1649">
        <v>30</v>
      </c>
      <c r="B281" s="1649">
        <v>8</v>
      </c>
      <c r="C281" s="1650" t="s">
        <v>422</v>
      </c>
      <c r="D281" s="1651">
        <v>30929394.84</v>
      </c>
      <c r="E281" s="1651">
        <v>26182066.239999998</v>
      </c>
      <c r="F281" s="1651">
        <v>4747328.5999999996</v>
      </c>
      <c r="G281" s="1652">
        <f t="shared" si="9"/>
        <v>84.651078287957858</v>
      </c>
      <c r="H281" s="1652">
        <f t="shared" si="10"/>
        <v>15.348921712042134</v>
      </c>
    </row>
    <row r="282" spans="1:8" s="1572" customFormat="1">
      <c r="A282" s="1649">
        <v>30</v>
      </c>
      <c r="B282" s="1649">
        <v>9</v>
      </c>
      <c r="C282" s="1650" t="s">
        <v>421</v>
      </c>
      <c r="D282" s="1651">
        <v>47738224.030000001</v>
      </c>
      <c r="E282" s="1651">
        <v>45551632.740000002</v>
      </c>
      <c r="F282" s="1651">
        <v>2186591.29</v>
      </c>
      <c r="G282" s="1652">
        <f t="shared" si="9"/>
        <v>95.419621625165846</v>
      </c>
      <c r="H282" s="1652">
        <f t="shared" si="10"/>
        <v>4.5803783748341509</v>
      </c>
    </row>
    <row r="283" spans="1:8" s="1572" customFormat="1">
      <c r="A283" s="1649">
        <v>30</v>
      </c>
      <c r="B283" s="1649">
        <v>10</v>
      </c>
      <c r="C283" s="1650" t="s">
        <v>420</v>
      </c>
      <c r="D283" s="1651">
        <v>32458586.620000001</v>
      </c>
      <c r="E283" s="1651">
        <v>32135722.829999998</v>
      </c>
      <c r="F283" s="1651">
        <v>322863.78999999998</v>
      </c>
      <c r="G283" s="1652">
        <f t="shared" si="9"/>
        <v>99.005305456519594</v>
      </c>
      <c r="H283" s="1652">
        <f t="shared" si="10"/>
        <v>0.99469454348040232</v>
      </c>
    </row>
    <row r="284" spans="1:8" s="1572" customFormat="1">
      <c r="A284" s="1649">
        <v>30</v>
      </c>
      <c r="B284" s="1649">
        <v>11</v>
      </c>
      <c r="C284" s="1650" t="s">
        <v>419</v>
      </c>
      <c r="D284" s="1651">
        <v>32261251.780000001</v>
      </c>
      <c r="E284" s="1651">
        <v>32019900.940000001</v>
      </c>
      <c r="F284" s="1651">
        <v>241350.84</v>
      </c>
      <c r="G284" s="1652">
        <f t="shared" si="9"/>
        <v>99.251886313507455</v>
      </c>
      <c r="H284" s="1652">
        <f t="shared" si="10"/>
        <v>0.74811368649254562</v>
      </c>
    </row>
    <row r="285" spans="1:8" s="1572" customFormat="1">
      <c r="A285" s="1649">
        <v>30</v>
      </c>
      <c r="B285" s="1649">
        <v>12</v>
      </c>
      <c r="C285" s="1650" t="s">
        <v>418</v>
      </c>
      <c r="D285" s="1651">
        <v>52190685.310000002</v>
      </c>
      <c r="E285" s="1651">
        <v>51937952.710000001</v>
      </c>
      <c r="F285" s="1651">
        <v>252732.6</v>
      </c>
      <c r="G285" s="1652">
        <f t="shared" si="9"/>
        <v>99.515751520604042</v>
      </c>
      <c r="H285" s="1652">
        <f t="shared" si="10"/>
        <v>0.48424847939594912</v>
      </c>
    </row>
    <row r="286" spans="1:8" s="1572" customFormat="1">
      <c r="A286" s="1649">
        <v>30</v>
      </c>
      <c r="B286" s="1649">
        <v>13</v>
      </c>
      <c r="C286" s="1650" t="s">
        <v>417</v>
      </c>
      <c r="D286" s="1651">
        <v>14547588.34</v>
      </c>
      <c r="E286" s="1651">
        <v>13381314.220000001</v>
      </c>
      <c r="F286" s="1651">
        <v>1166274.1200000001</v>
      </c>
      <c r="G286" s="1652">
        <f t="shared" si="9"/>
        <v>91.983041499784434</v>
      </c>
      <c r="H286" s="1652">
        <f t="shared" si="10"/>
        <v>8.0169585002155763</v>
      </c>
    </row>
    <row r="287" spans="1:8" s="1572" customFormat="1">
      <c r="A287" s="1649">
        <v>30</v>
      </c>
      <c r="B287" s="1649">
        <v>14</v>
      </c>
      <c r="C287" s="1650" t="s">
        <v>416</v>
      </c>
      <c r="D287" s="1651">
        <v>16167904.16</v>
      </c>
      <c r="E287" s="1651">
        <v>15320782.25</v>
      </c>
      <c r="F287" s="1651">
        <v>847121.91</v>
      </c>
      <c r="G287" s="1652">
        <f t="shared" si="9"/>
        <v>94.760471724617148</v>
      </c>
      <c r="H287" s="1652">
        <f t="shared" si="10"/>
        <v>5.2395282753828498</v>
      </c>
    </row>
    <row r="288" spans="1:8" s="1572" customFormat="1">
      <c r="A288" s="1649">
        <v>30</v>
      </c>
      <c r="B288" s="1649">
        <v>15</v>
      </c>
      <c r="C288" s="1650" t="s">
        <v>415</v>
      </c>
      <c r="D288" s="1651">
        <v>41254988.579999998</v>
      </c>
      <c r="E288" s="1651">
        <v>37307576.899999999</v>
      </c>
      <c r="F288" s="1651">
        <v>3947411.68</v>
      </c>
      <c r="G288" s="1652">
        <f t="shared" si="9"/>
        <v>90.431674287473527</v>
      </c>
      <c r="H288" s="1652">
        <f t="shared" si="10"/>
        <v>9.5683257125264731</v>
      </c>
    </row>
    <row r="289" spans="1:8" s="1572" customFormat="1">
      <c r="A289" s="1649">
        <v>30</v>
      </c>
      <c r="B289" s="1649">
        <v>16</v>
      </c>
      <c r="C289" s="1650" t="s">
        <v>414</v>
      </c>
      <c r="D289" s="1651">
        <v>26534836.73</v>
      </c>
      <c r="E289" s="1651">
        <v>25510669.379999999</v>
      </c>
      <c r="F289" s="1651">
        <v>1024167.35</v>
      </c>
      <c r="G289" s="1652">
        <f t="shared" si="9"/>
        <v>96.140291495209809</v>
      </c>
      <c r="H289" s="1652">
        <f t="shared" si="10"/>
        <v>3.8597085047901851</v>
      </c>
    </row>
    <row r="290" spans="1:8" s="1572" customFormat="1">
      <c r="A290" s="1649">
        <v>30</v>
      </c>
      <c r="B290" s="1649">
        <v>17</v>
      </c>
      <c r="C290" s="1650" t="s">
        <v>413</v>
      </c>
      <c r="D290" s="1651">
        <v>101335036.09999999</v>
      </c>
      <c r="E290" s="1651">
        <v>96764860.680000007</v>
      </c>
      <c r="F290" s="1651">
        <v>4570175.42</v>
      </c>
      <c r="G290" s="1652">
        <f t="shared" si="9"/>
        <v>95.490034250848822</v>
      </c>
      <c r="H290" s="1652">
        <f t="shared" si="10"/>
        <v>4.5099657491511964</v>
      </c>
    </row>
    <row r="291" spans="1:8" s="1572" customFormat="1">
      <c r="A291" s="1649">
        <v>30</v>
      </c>
      <c r="B291" s="1649">
        <v>18</v>
      </c>
      <c r="C291" s="1650" t="s">
        <v>412</v>
      </c>
      <c r="D291" s="1651">
        <v>29483023.539999999</v>
      </c>
      <c r="E291" s="1651">
        <v>29453023.539999999</v>
      </c>
      <c r="F291" s="1651">
        <v>30000</v>
      </c>
      <c r="G291" s="1652">
        <f t="shared" si="9"/>
        <v>99.898246528347741</v>
      </c>
      <c r="H291" s="1652">
        <f t="shared" si="10"/>
        <v>0.10175347165224968</v>
      </c>
    </row>
    <row r="292" spans="1:8" s="1572" customFormat="1">
      <c r="A292" s="1649">
        <v>30</v>
      </c>
      <c r="B292" s="1649">
        <v>19</v>
      </c>
      <c r="C292" s="1650" t="s">
        <v>411</v>
      </c>
      <c r="D292" s="1651">
        <v>95599452.090000004</v>
      </c>
      <c r="E292" s="1651">
        <v>92304869.480000004</v>
      </c>
      <c r="F292" s="1651">
        <v>3294582.61</v>
      </c>
      <c r="G292" s="1652">
        <f t="shared" si="9"/>
        <v>96.553764129423683</v>
      </c>
      <c r="H292" s="1652">
        <f t="shared" si="10"/>
        <v>3.4462358705763161</v>
      </c>
    </row>
    <row r="293" spans="1:8" s="1572" customFormat="1">
      <c r="A293" s="1649">
        <v>30</v>
      </c>
      <c r="B293" s="1649">
        <v>20</v>
      </c>
      <c r="C293" s="1650" t="s">
        <v>410</v>
      </c>
      <c r="D293" s="1651">
        <v>27402015.550000001</v>
      </c>
      <c r="E293" s="1651">
        <v>27103155.690000001</v>
      </c>
      <c r="F293" s="1651">
        <v>298859.86</v>
      </c>
      <c r="G293" s="1652">
        <f t="shared" si="9"/>
        <v>98.909350812334679</v>
      </c>
      <c r="H293" s="1652">
        <f t="shared" si="10"/>
        <v>1.090649187665321</v>
      </c>
    </row>
    <row r="294" spans="1:8" s="1572" customFormat="1">
      <c r="A294" s="1649">
        <v>30</v>
      </c>
      <c r="B294" s="1649">
        <v>21</v>
      </c>
      <c r="C294" s="1650" t="s">
        <v>409</v>
      </c>
      <c r="D294" s="1651">
        <v>103487821.16</v>
      </c>
      <c r="E294" s="1651">
        <v>94053300.049999997</v>
      </c>
      <c r="F294" s="1651">
        <v>9434521.1099999994</v>
      </c>
      <c r="G294" s="1652">
        <f t="shared" si="9"/>
        <v>90.883447922424111</v>
      </c>
      <c r="H294" s="1652">
        <f t="shared" si="10"/>
        <v>9.1165520775758893</v>
      </c>
    </row>
    <row r="295" spans="1:8" s="1572" customFormat="1">
      <c r="A295" s="1649">
        <v>30</v>
      </c>
      <c r="B295" s="1649">
        <v>22</v>
      </c>
      <c r="C295" s="1650" t="s">
        <v>408</v>
      </c>
      <c r="D295" s="1651">
        <v>26209623.82</v>
      </c>
      <c r="E295" s="1651">
        <v>24375402.350000001</v>
      </c>
      <c r="F295" s="1651">
        <v>1834221.47</v>
      </c>
      <c r="G295" s="1652">
        <f t="shared" si="9"/>
        <v>93.001725310531384</v>
      </c>
      <c r="H295" s="1652">
        <f t="shared" si="10"/>
        <v>6.9982746894686256</v>
      </c>
    </row>
    <row r="296" spans="1:8" s="1572" customFormat="1">
      <c r="A296" s="1649">
        <v>30</v>
      </c>
      <c r="B296" s="1649">
        <v>23</v>
      </c>
      <c r="C296" s="1650" t="s">
        <v>407</v>
      </c>
      <c r="D296" s="1651">
        <v>32537592.469999999</v>
      </c>
      <c r="E296" s="1651">
        <v>32029682.100000001</v>
      </c>
      <c r="F296" s="1651">
        <v>507910.37</v>
      </c>
      <c r="G296" s="1652">
        <f t="shared" si="9"/>
        <v>98.43900445164067</v>
      </c>
      <c r="H296" s="1652">
        <f t="shared" si="10"/>
        <v>1.5609955483593283</v>
      </c>
    </row>
    <row r="297" spans="1:8" s="1572" customFormat="1">
      <c r="A297" s="1649">
        <v>30</v>
      </c>
      <c r="B297" s="1649">
        <v>24</v>
      </c>
      <c r="C297" s="1650" t="s">
        <v>406</v>
      </c>
      <c r="D297" s="1651">
        <v>40545404.409999996</v>
      </c>
      <c r="E297" s="1651">
        <v>39223833.619999997</v>
      </c>
      <c r="F297" s="1651">
        <v>1321570.79</v>
      </c>
      <c r="G297" s="1652">
        <f t="shared" si="9"/>
        <v>96.740516442662354</v>
      </c>
      <c r="H297" s="1652">
        <f t="shared" si="10"/>
        <v>3.2594835573376399</v>
      </c>
    </row>
    <row r="298" spans="1:8" s="1572" customFormat="1">
      <c r="A298" s="1649">
        <v>30</v>
      </c>
      <c r="B298" s="1649">
        <v>25</v>
      </c>
      <c r="C298" s="1650" t="s">
        <v>405</v>
      </c>
      <c r="D298" s="1651">
        <v>25026246.789999999</v>
      </c>
      <c r="E298" s="1651">
        <v>24649098.59</v>
      </c>
      <c r="F298" s="1651">
        <v>377148.2</v>
      </c>
      <c r="G298" s="1652">
        <f t="shared" si="9"/>
        <v>98.492989367663782</v>
      </c>
      <c r="H298" s="1652">
        <f t="shared" si="10"/>
        <v>1.5070106323362122</v>
      </c>
    </row>
    <row r="299" spans="1:8" s="1572" customFormat="1">
      <c r="A299" s="1649">
        <v>30</v>
      </c>
      <c r="B299" s="1649">
        <v>26</v>
      </c>
      <c r="C299" s="1650" t="s">
        <v>404</v>
      </c>
      <c r="D299" s="1651">
        <v>32972905.48</v>
      </c>
      <c r="E299" s="1651">
        <v>31841511.219999999</v>
      </c>
      <c r="F299" s="1651">
        <v>1131394.26</v>
      </c>
      <c r="G299" s="1652">
        <f t="shared" si="9"/>
        <v>96.568715302670981</v>
      </c>
      <c r="H299" s="1652">
        <f t="shared" si="10"/>
        <v>3.4312846973290143</v>
      </c>
    </row>
    <row r="300" spans="1:8" s="1572" customFormat="1">
      <c r="A300" s="1649">
        <v>30</v>
      </c>
      <c r="B300" s="1649">
        <v>27</v>
      </c>
      <c r="C300" s="1650" t="s">
        <v>403</v>
      </c>
      <c r="D300" s="1651">
        <v>45435703.759999998</v>
      </c>
      <c r="E300" s="1651">
        <v>45361153.759999998</v>
      </c>
      <c r="F300" s="1651">
        <v>74550</v>
      </c>
      <c r="G300" s="1652">
        <f t="shared" si="9"/>
        <v>99.835921986828268</v>
      </c>
      <c r="H300" s="1652">
        <f t="shared" si="10"/>
        <v>0.16407801317172777</v>
      </c>
    </row>
    <row r="301" spans="1:8" s="1572" customFormat="1">
      <c r="A301" s="1649">
        <v>30</v>
      </c>
      <c r="B301" s="1649">
        <v>28</v>
      </c>
      <c r="C301" s="1650" t="s">
        <v>402</v>
      </c>
      <c r="D301" s="1651">
        <v>47757875.270000003</v>
      </c>
      <c r="E301" s="1651">
        <v>47519460.920000002</v>
      </c>
      <c r="F301" s="1651">
        <v>238414.35</v>
      </c>
      <c r="G301" s="1652">
        <f t="shared" si="9"/>
        <v>99.500785265985726</v>
      </c>
      <c r="H301" s="1652">
        <f t="shared" si="10"/>
        <v>0.49921473401427557</v>
      </c>
    </row>
    <row r="302" spans="1:8" s="1572" customFormat="1">
      <c r="A302" s="1649">
        <v>30</v>
      </c>
      <c r="B302" s="1649">
        <v>29</v>
      </c>
      <c r="C302" s="1650" t="s">
        <v>401</v>
      </c>
      <c r="D302" s="1651">
        <v>41912467.810000002</v>
      </c>
      <c r="E302" s="1651">
        <v>41429600.960000001</v>
      </c>
      <c r="F302" s="1651">
        <v>482866.85</v>
      </c>
      <c r="G302" s="1652">
        <f t="shared" si="9"/>
        <v>98.847915965748044</v>
      </c>
      <c r="H302" s="1652">
        <f t="shared" si="10"/>
        <v>1.1520840342519549</v>
      </c>
    </row>
    <row r="303" spans="1:8" s="1572" customFormat="1">
      <c r="A303" s="1649">
        <v>30</v>
      </c>
      <c r="B303" s="1649">
        <v>30</v>
      </c>
      <c r="C303" s="1650" t="s">
        <v>400</v>
      </c>
      <c r="D303" s="1651">
        <v>59249598.009999998</v>
      </c>
      <c r="E303" s="1651">
        <v>47123875.670000002</v>
      </c>
      <c r="F303" s="1651">
        <v>12125722.34</v>
      </c>
      <c r="G303" s="1652">
        <f t="shared" si="9"/>
        <v>79.534506988632316</v>
      </c>
      <c r="H303" s="1652">
        <f t="shared" si="10"/>
        <v>20.465493011367691</v>
      </c>
    </row>
    <row r="304" spans="1:8" s="1572" customFormat="1">
      <c r="A304" s="1649">
        <v>30</v>
      </c>
      <c r="B304" s="1649">
        <v>31</v>
      </c>
      <c r="C304" s="1650" t="s">
        <v>399</v>
      </c>
      <c r="D304" s="1651">
        <v>40248353.68</v>
      </c>
      <c r="E304" s="1651">
        <v>38813936.130000003</v>
      </c>
      <c r="F304" s="1651">
        <v>1434417.55</v>
      </c>
      <c r="G304" s="1652">
        <f t="shared" si="9"/>
        <v>96.436083916861463</v>
      </c>
      <c r="H304" s="1652">
        <f t="shared" si="10"/>
        <v>3.5639160831385337</v>
      </c>
    </row>
    <row r="305" spans="1:8" s="1572" customFormat="1">
      <c r="A305" s="1649">
        <v>32</v>
      </c>
      <c r="B305" s="1649">
        <v>1</v>
      </c>
      <c r="C305" s="1650" t="s">
        <v>398</v>
      </c>
      <c r="D305" s="1651">
        <v>25809219.23</v>
      </c>
      <c r="E305" s="1651">
        <v>25756719.23</v>
      </c>
      <c r="F305" s="1651">
        <v>52500</v>
      </c>
      <c r="G305" s="1652">
        <f t="shared" si="9"/>
        <v>99.796584315348156</v>
      </c>
      <c r="H305" s="1652">
        <f t="shared" si="10"/>
        <v>0.20341568465184448</v>
      </c>
    </row>
    <row r="306" spans="1:8" s="1572" customFormat="1">
      <c r="A306" s="1649">
        <v>32</v>
      </c>
      <c r="B306" s="1649">
        <v>2</v>
      </c>
      <c r="C306" s="1650" t="s">
        <v>397</v>
      </c>
      <c r="D306" s="1651">
        <v>25676692.879999999</v>
      </c>
      <c r="E306" s="1651">
        <v>25399531.73</v>
      </c>
      <c r="F306" s="1651">
        <v>277161.15000000002</v>
      </c>
      <c r="G306" s="1652">
        <f t="shared" si="9"/>
        <v>98.920573022019184</v>
      </c>
      <c r="H306" s="1652">
        <f t="shared" si="10"/>
        <v>1.0794269779808188</v>
      </c>
    </row>
    <row r="307" spans="1:8" s="1572" customFormat="1">
      <c r="A307" s="1649">
        <v>32</v>
      </c>
      <c r="B307" s="1649">
        <v>3</v>
      </c>
      <c r="C307" s="1650" t="s">
        <v>396</v>
      </c>
      <c r="D307" s="1651">
        <v>50177517.82</v>
      </c>
      <c r="E307" s="1651">
        <v>48695417.369999997</v>
      </c>
      <c r="F307" s="1651">
        <v>1482100.45</v>
      </c>
      <c r="G307" s="1652">
        <f t="shared" si="9"/>
        <v>97.0462858379789</v>
      </c>
      <c r="H307" s="1652">
        <f t="shared" si="10"/>
        <v>2.9537141620210976</v>
      </c>
    </row>
    <row r="308" spans="1:8" s="1572" customFormat="1">
      <c r="A308" s="1649">
        <v>32</v>
      </c>
      <c r="B308" s="1649">
        <v>4</v>
      </c>
      <c r="C308" s="1650" t="s">
        <v>395</v>
      </c>
      <c r="D308" s="1651">
        <v>45719838.079999998</v>
      </c>
      <c r="E308" s="1651">
        <v>44638872.530000001</v>
      </c>
      <c r="F308" s="1651">
        <v>1080965.55</v>
      </c>
      <c r="G308" s="1652">
        <f t="shared" si="9"/>
        <v>97.635675025557759</v>
      </c>
      <c r="H308" s="1652">
        <f t="shared" si="10"/>
        <v>2.3643249744422543</v>
      </c>
    </row>
    <row r="309" spans="1:8" s="1572" customFormat="1">
      <c r="A309" s="1649">
        <v>32</v>
      </c>
      <c r="B309" s="1649">
        <v>5</v>
      </c>
      <c r="C309" s="1650" t="s">
        <v>394</v>
      </c>
      <c r="D309" s="1651">
        <v>27761804.390000001</v>
      </c>
      <c r="E309" s="1651">
        <v>27700333.52</v>
      </c>
      <c r="F309" s="1651">
        <v>61470.87</v>
      </c>
      <c r="G309" s="1652">
        <f t="shared" si="9"/>
        <v>99.778577540795069</v>
      </c>
      <c r="H309" s="1652">
        <f t="shared" si="10"/>
        <v>0.22142245920492923</v>
      </c>
    </row>
    <row r="310" spans="1:8" s="1572" customFormat="1">
      <c r="A310" s="1649">
        <v>32</v>
      </c>
      <c r="B310" s="1649">
        <v>6</v>
      </c>
      <c r="C310" s="1650" t="s">
        <v>393</v>
      </c>
      <c r="D310" s="1651">
        <v>35627641.630000003</v>
      </c>
      <c r="E310" s="1651">
        <v>35239337.719999999</v>
      </c>
      <c r="F310" s="1651">
        <v>388303.91</v>
      </c>
      <c r="G310" s="1652">
        <f t="shared" si="9"/>
        <v>98.91010492910921</v>
      </c>
      <c r="H310" s="1652">
        <f t="shared" si="10"/>
        <v>1.0898950708907755</v>
      </c>
    </row>
    <row r="311" spans="1:8" s="1572" customFormat="1">
      <c r="A311" s="1649">
        <v>32</v>
      </c>
      <c r="B311" s="1649">
        <v>7</v>
      </c>
      <c r="C311" s="1650" t="s">
        <v>392</v>
      </c>
      <c r="D311" s="1651">
        <v>26035050.879999999</v>
      </c>
      <c r="E311" s="1651">
        <v>25162529.870000001</v>
      </c>
      <c r="F311" s="1651">
        <v>872521.01</v>
      </c>
      <c r="G311" s="1652">
        <f t="shared" si="9"/>
        <v>96.648667928395469</v>
      </c>
      <c r="H311" s="1652">
        <f t="shared" si="10"/>
        <v>3.3513320716045403</v>
      </c>
    </row>
    <row r="312" spans="1:8" s="1572" customFormat="1">
      <c r="A312" s="1649">
        <v>32</v>
      </c>
      <c r="B312" s="1649">
        <v>8</v>
      </c>
      <c r="C312" s="1650" t="s">
        <v>391</v>
      </c>
      <c r="D312" s="1651">
        <v>65244571.090000004</v>
      </c>
      <c r="E312" s="1651">
        <v>65157610.090000004</v>
      </c>
      <c r="F312" s="1651">
        <v>86961</v>
      </c>
      <c r="G312" s="1652">
        <f t="shared" si="9"/>
        <v>99.866715347273811</v>
      </c>
      <c r="H312" s="1652">
        <f t="shared" si="10"/>
        <v>0.13328465272619205</v>
      </c>
    </row>
    <row r="313" spans="1:8" s="1572" customFormat="1">
      <c r="A313" s="1649">
        <v>32</v>
      </c>
      <c r="B313" s="1649">
        <v>9</v>
      </c>
      <c r="C313" s="1650" t="s">
        <v>390</v>
      </c>
      <c r="D313" s="1651">
        <v>10455895.1</v>
      </c>
      <c r="E313" s="1651">
        <v>10428895.1</v>
      </c>
      <c r="F313" s="1651">
        <v>27000</v>
      </c>
      <c r="G313" s="1652">
        <f t="shared" si="9"/>
        <v>99.74177246671114</v>
      </c>
      <c r="H313" s="1652">
        <f t="shared" si="10"/>
        <v>0.25822753328885256</v>
      </c>
    </row>
    <row r="314" spans="1:8" s="1572" customFormat="1">
      <c r="A314" s="1649">
        <v>32</v>
      </c>
      <c r="B314" s="1649">
        <v>10</v>
      </c>
      <c r="C314" s="1650" t="s">
        <v>389</v>
      </c>
      <c r="D314" s="1651">
        <v>38748096.590000004</v>
      </c>
      <c r="E314" s="1651">
        <v>38055566.899999999</v>
      </c>
      <c r="F314" s="1651">
        <v>692529.69</v>
      </c>
      <c r="G314" s="1652">
        <f t="shared" si="9"/>
        <v>98.212738815720996</v>
      </c>
      <c r="H314" s="1652">
        <f t="shared" si="10"/>
        <v>1.7872611842789872</v>
      </c>
    </row>
    <row r="315" spans="1:8" s="1572" customFormat="1">
      <c r="A315" s="1649">
        <v>32</v>
      </c>
      <c r="B315" s="1649">
        <v>11</v>
      </c>
      <c r="C315" s="1650" t="s">
        <v>388</v>
      </c>
      <c r="D315" s="1651">
        <v>55622335.32</v>
      </c>
      <c r="E315" s="1651">
        <v>52087962.759999998</v>
      </c>
      <c r="F315" s="1651">
        <v>3534372.56</v>
      </c>
      <c r="G315" s="1652">
        <f t="shared" si="9"/>
        <v>93.645767406804367</v>
      </c>
      <c r="H315" s="1652">
        <f t="shared" si="10"/>
        <v>6.3542325931956221</v>
      </c>
    </row>
    <row r="316" spans="1:8" s="1572" customFormat="1">
      <c r="A316" s="1649">
        <v>32</v>
      </c>
      <c r="B316" s="1649">
        <v>12</v>
      </c>
      <c r="C316" s="1650" t="s">
        <v>387</v>
      </c>
      <c r="D316" s="1651">
        <v>24967950.890000001</v>
      </c>
      <c r="E316" s="1651">
        <v>22901613.780000001</v>
      </c>
      <c r="F316" s="1651">
        <v>2066337.11</v>
      </c>
      <c r="G316" s="1652">
        <f t="shared" si="9"/>
        <v>91.724042076566263</v>
      </c>
      <c r="H316" s="1652">
        <f t="shared" si="10"/>
        <v>8.2759579234337401</v>
      </c>
    </row>
    <row r="317" spans="1:8" s="1572" customFormat="1">
      <c r="A317" s="1649">
        <v>32</v>
      </c>
      <c r="B317" s="1649">
        <v>13</v>
      </c>
      <c r="C317" s="1650" t="s">
        <v>386</v>
      </c>
      <c r="D317" s="1651">
        <v>31422107.780000001</v>
      </c>
      <c r="E317" s="1651">
        <v>30328831.809999999</v>
      </c>
      <c r="F317" s="1651">
        <v>1093275.97</v>
      </c>
      <c r="G317" s="1652">
        <f t="shared" si="9"/>
        <v>96.520679078391211</v>
      </c>
      <c r="H317" s="1652">
        <f t="shared" si="10"/>
        <v>3.479320921608779</v>
      </c>
    </row>
    <row r="318" spans="1:8" s="1572" customFormat="1">
      <c r="A318" s="1649">
        <v>32</v>
      </c>
      <c r="B318" s="1649">
        <v>14</v>
      </c>
      <c r="C318" s="1650" t="s">
        <v>385</v>
      </c>
      <c r="D318" s="1651">
        <v>87070066.980000004</v>
      </c>
      <c r="E318" s="1651">
        <v>83259018.989999995</v>
      </c>
      <c r="F318" s="1651">
        <v>3811047.99</v>
      </c>
      <c r="G318" s="1652">
        <f t="shared" si="9"/>
        <v>95.623010154712063</v>
      </c>
      <c r="H318" s="1652">
        <f t="shared" si="10"/>
        <v>4.3769898452879312</v>
      </c>
    </row>
    <row r="319" spans="1:8" s="1572" customFormat="1">
      <c r="A319" s="1649">
        <v>32</v>
      </c>
      <c r="B319" s="1649">
        <v>15</v>
      </c>
      <c r="C319" s="1650" t="s">
        <v>384</v>
      </c>
      <c r="D319" s="1651">
        <v>63465917.490000002</v>
      </c>
      <c r="E319" s="1651">
        <v>62817386.969999999</v>
      </c>
      <c r="F319" s="1651">
        <v>648530.52</v>
      </c>
      <c r="G319" s="1652">
        <f t="shared" si="9"/>
        <v>98.978143631024977</v>
      </c>
      <c r="H319" s="1652">
        <f t="shared" si="10"/>
        <v>1.021856368975026</v>
      </c>
    </row>
    <row r="320" spans="1:8" s="1572" customFormat="1">
      <c r="A320" s="1649">
        <v>32</v>
      </c>
      <c r="B320" s="1649">
        <v>16</v>
      </c>
      <c r="C320" s="1650" t="s">
        <v>383</v>
      </c>
      <c r="D320" s="1651">
        <v>35965817.100000001</v>
      </c>
      <c r="E320" s="1651">
        <v>35905817.100000001</v>
      </c>
      <c r="F320" s="1651">
        <v>60000</v>
      </c>
      <c r="G320" s="1652">
        <f t="shared" si="9"/>
        <v>99.833174928757558</v>
      </c>
      <c r="H320" s="1652">
        <f t="shared" si="10"/>
        <v>0.16682507124243814</v>
      </c>
    </row>
    <row r="321" spans="1:8" s="1572" customFormat="1">
      <c r="A321" s="1649">
        <v>32</v>
      </c>
      <c r="B321" s="1649">
        <v>17</v>
      </c>
      <c r="C321" s="1650" t="s">
        <v>382</v>
      </c>
      <c r="D321" s="1651">
        <v>37583786.950000003</v>
      </c>
      <c r="E321" s="1651">
        <v>28718074.170000002</v>
      </c>
      <c r="F321" s="1651">
        <v>8865712.7799999993</v>
      </c>
      <c r="G321" s="1652">
        <f t="shared" si="9"/>
        <v>76.410805031982008</v>
      </c>
      <c r="H321" s="1652">
        <f t="shared" si="10"/>
        <v>23.589194968017981</v>
      </c>
    </row>
    <row r="322" spans="1:8" s="1572" customFormat="1">
      <c r="A322" s="1649">
        <v>32</v>
      </c>
      <c r="B322" s="1649">
        <v>18</v>
      </c>
      <c r="C322" s="1650" t="s">
        <v>381</v>
      </c>
      <c r="D322" s="1651">
        <v>15569131.25</v>
      </c>
      <c r="E322" s="1651">
        <v>15558061.25</v>
      </c>
      <c r="F322" s="1651">
        <v>11070</v>
      </c>
      <c r="G322" s="1652">
        <f t="shared" si="9"/>
        <v>99.928897766855158</v>
      </c>
      <c r="H322" s="1652">
        <f t="shared" si="10"/>
        <v>7.1102233144832661E-2</v>
      </c>
    </row>
    <row r="323" spans="1:8">
      <c r="A323" s="1573"/>
      <c r="B323" s="1573"/>
      <c r="C323" s="1573"/>
      <c r="D323" s="1573"/>
      <c r="E323" s="1573"/>
      <c r="F323" s="1573"/>
      <c r="G323" s="1573"/>
      <c r="H323" s="1573"/>
    </row>
    <row r="324" spans="1:8">
      <c r="A324" s="2237" t="s">
        <v>1051</v>
      </c>
      <c r="B324" s="2237"/>
      <c r="C324" s="2237"/>
      <c r="D324" s="2237"/>
      <c r="E324" s="2237"/>
      <c r="F324" s="2237"/>
      <c r="G324" s="2237"/>
      <c r="H324" s="2237"/>
    </row>
  </sheetData>
  <mergeCells count="14">
    <mergeCell ref="A324:H324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  <mergeCell ref="F4:F5"/>
    <mergeCell ref="D6:F6"/>
    <mergeCell ref="G6:H6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"/>
  <sheetViews>
    <sheetView showGridLines="0" workbookViewId="0">
      <selection activeCell="J7" sqref="J7"/>
    </sheetView>
  </sheetViews>
  <sheetFormatPr defaultColWidth="9.140625" defaultRowHeight="13.5"/>
  <cols>
    <col min="1" max="1" width="5.28515625" style="865" customWidth="1"/>
    <col min="2" max="2" width="11.5703125" style="865" customWidth="1"/>
    <col min="3" max="3" width="11.5703125" style="865" bestFit="1" customWidth="1"/>
    <col min="4" max="4" width="9.140625" style="865"/>
    <col min="5" max="5" width="38.140625" style="865" customWidth="1"/>
    <col min="6" max="6" width="15.28515625" style="865" customWidth="1"/>
    <col min="7" max="7" width="20.7109375" style="865" customWidth="1"/>
    <col min="8" max="8" width="15.7109375" style="865" customWidth="1"/>
    <col min="9" max="9" width="9.140625" style="865"/>
    <col min="10" max="16384" width="9.140625" style="43"/>
  </cols>
  <sheetData>
    <row r="1" spans="1:9" ht="46.9" customHeight="1">
      <c r="A1" s="2088" t="s">
        <v>1056</v>
      </c>
      <c r="B1" s="2088"/>
      <c r="C1" s="2088"/>
      <c r="D1" s="2088"/>
      <c r="E1" s="2088"/>
      <c r="F1" s="2088"/>
      <c r="G1" s="2088"/>
      <c r="H1" s="2088"/>
    </row>
    <row r="2" spans="1:9">
      <c r="A2" s="2086" t="s">
        <v>1040</v>
      </c>
      <c r="B2" s="2247"/>
      <c r="C2" s="2247"/>
      <c r="D2" s="2247"/>
      <c r="E2" s="2247"/>
      <c r="F2" s="2247"/>
      <c r="G2" s="2247"/>
      <c r="H2" s="2087"/>
    </row>
    <row r="3" spans="1:9" s="44" customFormat="1">
      <c r="A3" s="2092" t="s">
        <v>741</v>
      </c>
      <c r="B3" s="2100" t="s">
        <v>762</v>
      </c>
      <c r="C3" s="2100"/>
      <c r="D3" s="2100"/>
      <c r="E3" s="2095"/>
      <c r="F3" s="2101" t="s">
        <v>763</v>
      </c>
      <c r="G3" s="2100" t="s">
        <v>743</v>
      </c>
      <c r="H3" s="2095" t="s">
        <v>764</v>
      </c>
      <c r="I3" s="866"/>
    </row>
    <row r="4" spans="1:9" s="44" customFormat="1" ht="58.15" customHeight="1">
      <c r="A4" s="2093"/>
      <c r="B4" s="2250"/>
      <c r="C4" s="2250"/>
      <c r="D4" s="2250"/>
      <c r="E4" s="2096"/>
      <c r="F4" s="2102"/>
      <c r="G4" s="2252"/>
      <c r="H4" s="2103"/>
      <c r="I4" s="866"/>
    </row>
    <row r="5" spans="1:9" s="44" customFormat="1">
      <c r="A5" s="2094"/>
      <c r="B5" s="2251"/>
      <c r="C5" s="2251"/>
      <c r="D5" s="2251"/>
      <c r="E5" s="2097"/>
      <c r="F5" s="2104" t="s">
        <v>748</v>
      </c>
      <c r="G5" s="2105"/>
      <c r="H5" s="2106"/>
      <c r="I5" s="866"/>
    </row>
    <row r="6" spans="1:9" s="44" customFormat="1" ht="46.9" customHeight="1">
      <c r="A6" s="870" t="s">
        <v>749</v>
      </c>
      <c r="B6" s="2248" t="s">
        <v>1054</v>
      </c>
      <c r="C6" s="2248"/>
      <c r="D6" s="2248"/>
      <c r="E6" s="2249"/>
      <c r="F6" s="873">
        <v>9648649</v>
      </c>
      <c r="G6" s="871">
        <v>132663189</v>
      </c>
      <c r="H6" s="872">
        <f>F6/G$15*100</f>
        <v>2.3948906280876927</v>
      </c>
      <c r="I6" s="866"/>
    </row>
    <row r="7" spans="1:9" s="44" customFormat="1" ht="43.9" customHeight="1">
      <c r="A7" s="867" t="s">
        <v>750</v>
      </c>
      <c r="B7" s="2243" t="s">
        <v>1042</v>
      </c>
      <c r="C7" s="2243"/>
      <c r="D7" s="2243"/>
      <c r="E7" s="2244"/>
      <c r="F7" s="874">
        <v>243235</v>
      </c>
      <c r="G7" s="868">
        <v>3735589</v>
      </c>
      <c r="H7" s="869">
        <f>F7/G$15*100</f>
        <v>6.037334573191646E-2</v>
      </c>
      <c r="I7" s="866"/>
    </row>
    <row r="8" spans="1:9" s="44" customFormat="1" ht="41.45" customHeight="1">
      <c r="A8" s="867" t="s">
        <v>751</v>
      </c>
      <c r="B8" s="2243" t="s">
        <v>1043</v>
      </c>
      <c r="C8" s="2243"/>
      <c r="D8" s="2243"/>
      <c r="E8" s="2244"/>
      <c r="F8" s="874">
        <v>0</v>
      </c>
      <c r="G8" s="868">
        <v>0</v>
      </c>
      <c r="H8" s="869">
        <f t="shared" ref="H8:H14" si="0">F8/G$15*100</f>
        <v>0</v>
      </c>
      <c r="I8" s="866"/>
    </row>
    <row r="9" spans="1:9" s="44" customFormat="1" ht="52.15" customHeight="1">
      <c r="A9" s="867" t="s">
        <v>752</v>
      </c>
      <c r="B9" s="2243" t="s">
        <v>1044</v>
      </c>
      <c r="C9" s="2243"/>
      <c r="D9" s="2243"/>
      <c r="E9" s="2244"/>
      <c r="F9" s="874">
        <v>4215858</v>
      </c>
      <c r="G9" s="868">
        <v>31837301</v>
      </c>
      <c r="H9" s="869">
        <f t="shared" si="0"/>
        <v>1.0464178781452746</v>
      </c>
      <c r="I9" s="866"/>
    </row>
    <row r="10" spans="1:9" s="44" customFormat="1" ht="36" customHeight="1">
      <c r="A10" s="867" t="s">
        <v>753</v>
      </c>
      <c r="B10" s="2243" t="s">
        <v>754</v>
      </c>
      <c r="C10" s="2243"/>
      <c r="D10" s="2243"/>
      <c r="E10" s="2244"/>
      <c r="F10" s="874">
        <v>184327</v>
      </c>
      <c r="G10" s="868">
        <v>72805620</v>
      </c>
      <c r="H10" s="869">
        <f t="shared" si="0"/>
        <v>4.575179435001938E-2</v>
      </c>
      <c r="I10" s="866"/>
    </row>
    <row r="11" spans="1:9" s="44" customFormat="1" ht="56.45" customHeight="1">
      <c r="A11" s="867" t="s">
        <v>755</v>
      </c>
      <c r="B11" s="2243" t="s">
        <v>1045</v>
      </c>
      <c r="C11" s="2243"/>
      <c r="D11" s="2243"/>
      <c r="E11" s="2244"/>
      <c r="F11" s="874">
        <v>4448822</v>
      </c>
      <c r="G11" s="868">
        <v>20571058</v>
      </c>
      <c r="H11" s="869">
        <f t="shared" si="0"/>
        <v>1.1042418595422372</v>
      </c>
      <c r="I11" s="866"/>
    </row>
    <row r="12" spans="1:9" s="44" customFormat="1" ht="51" customHeight="1">
      <c r="A12" s="867" t="s">
        <v>756</v>
      </c>
      <c r="B12" s="2243" t="s">
        <v>1055</v>
      </c>
      <c r="C12" s="2243"/>
      <c r="D12" s="2243"/>
      <c r="E12" s="2244"/>
      <c r="F12" s="874">
        <v>22198540</v>
      </c>
      <c r="G12" s="868">
        <v>140854420</v>
      </c>
      <c r="H12" s="869">
        <f t="shared" si="0"/>
        <v>5.5098983705625288</v>
      </c>
      <c r="I12" s="866"/>
    </row>
    <row r="13" spans="1:9" s="44" customFormat="1" ht="27" customHeight="1">
      <c r="A13" s="867" t="s">
        <v>758</v>
      </c>
      <c r="B13" s="2243" t="s">
        <v>757</v>
      </c>
      <c r="C13" s="2243"/>
      <c r="D13" s="2243"/>
      <c r="E13" s="2244"/>
      <c r="F13" s="874">
        <v>46760</v>
      </c>
      <c r="G13" s="868">
        <v>57816</v>
      </c>
      <c r="H13" s="869">
        <f t="shared" si="0"/>
        <v>1.1606296982031424E-2</v>
      </c>
      <c r="I13" s="866"/>
    </row>
    <row r="14" spans="1:9" s="44" customFormat="1" ht="39" customHeight="1">
      <c r="A14" s="877" t="s">
        <v>1047</v>
      </c>
      <c r="B14" s="2245" t="s">
        <v>1048</v>
      </c>
      <c r="C14" s="2245"/>
      <c r="D14" s="2245"/>
      <c r="E14" s="2246"/>
      <c r="F14" s="879">
        <v>359752</v>
      </c>
      <c r="G14" s="880">
        <v>359752</v>
      </c>
      <c r="H14" s="881">
        <f t="shared" si="0"/>
        <v>8.9294023778438175E-2</v>
      </c>
      <c r="I14" s="866"/>
    </row>
    <row r="15" spans="1:9" ht="21.6" customHeight="1">
      <c r="A15" s="2086" t="s">
        <v>759</v>
      </c>
      <c r="B15" s="2247"/>
      <c r="C15" s="2247"/>
      <c r="D15" s="2247"/>
      <c r="E15" s="2087"/>
      <c r="F15" s="882">
        <f>SUM(F6:F14)</f>
        <v>41345943</v>
      </c>
      <c r="G15" s="883">
        <f>SUM(G6:G14)</f>
        <v>402884745</v>
      </c>
      <c r="H15" s="884">
        <f>F15/G15*100</f>
        <v>10.26247419718014</v>
      </c>
    </row>
  </sheetData>
  <mergeCells count="18">
    <mergeCell ref="A1:H1"/>
    <mergeCell ref="A2:H2"/>
    <mergeCell ref="A3:A5"/>
    <mergeCell ref="B3:E5"/>
    <mergeCell ref="F3:F4"/>
    <mergeCell ref="G3:G4"/>
    <mergeCell ref="H3:H4"/>
    <mergeCell ref="F5:H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A15:E15"/>
  </mergeCells>
  <pageMargins left="0.7" right="0.7" top="0.75" bottom="0.75" header="0.3" footer="0.3"/>
  <pageSetup paperSize="9" scale="8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rgb="FF92D050"/>
  </sheetPr>
  <dimension ref="A1:I26"/>
  <sheetViews>
    <sheetView showGridLines="0" workbookViewId="0">
      <selection activeCell="O9" sqref="O9"/>
    </sheetView>
  </sheetViews>
  <sheetFormatPr defaultRowHeight="12.75"/>
  <cols>
    <col min="1" max="1" width="5.28515625" customWidth="1"/>
    <col min="2" max="2" width="16.28515625" customWidth="1"/>
    <col min="3" max="4" width="11.7109375" bestFit="1" customWidth="1"/>
    <col min="5" max="5" width="10.5703125" bestFit="1" customWidth="1"/>
    <col min="6" max="6" width="13.28515625" customWidth="1"/>
    <col min="7" max="7" width="7" bestFit="1" customWidth="1"/>
    <col min="8" max="8" width="7.42578125" bestFit="1" customWidth="1"/>
    <col min="9" max="9" width="12.140625" customWidth="1"/>
  </cols>
  <sheetData>
    <row r="1" spans="1:9" ht="23.45" customHeight="1">
      <c r="A1" s="1847" t="s">
        <v>1155</v>
      </c>
      <c r="B1" s="1797"/>
      <c r="C1" s="1797"/>
      <c r="D1" s="1797"/>
      <c r="E1" s="1797"/>
      <c r="F1" s="1797"/>
      <c r="G1" s="1797"/>
      <c r="H1" s="1797"/>
      <c r="I1" s="1797"/>
    </row>
    <row r="2" spans="1:9" ht="14.45" customHeight="1"/>
    <row r="3" spans="1:9" ht="13.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574">
        <v>2021</v>
      </c>
      <c r="E4" s="326" t="s">
        <v>24</v>
      </c>
      <c r="F4" s="330" t="s">
        <v>25</v>
      </c>
      <c r="G4" s="1856"/>
      <c r="H4" s="326" t="s">
        <v>931</v>
      </c>
      <c r="I4" s="1849"/>
    </row>
    <row r="5" spans="1:9" ht="13.5">
      <c r="A5" s="1800"/>
      <c r="B5" s="1803"/>
      <c r="C5" s="1850" t="s">
        <v>885</v>
      </c>
      <c r="D5" s="1806"/>
      <c r="E5" s="1806"/>
      <c r="F5" s="1807"/>
      <c r="G5" s="1853" t="s">
        <v>886</v>
      </c>
      <c r="H5" s="1854"/>
      <c r="I5" s="322" t="s">
        <v>885</v>
      </c>
    </row>
    <row r="6" spans="1:9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s="11" customFormat="1" ht="19.899999999999999" customHeight="1">
      <c r="A7" s="231"/>
      <c r="B7" s="76" t="s">
        <v>933</v>
      </c>
      <c r="C7" s="567">
        <v>3377803885.6199999</v>
      </c>
      <c r="D7" s="159">
        <v>3587177716.4099998</v>
      </c>
      <c r="E7" s="158">
        <v>80920625.109999999</v>
      </c>
      <c r="F7" s="332">
        <v>3506257091.2999997</v>
      </c>
      <c r="G7" s="328">
        <v>100</v>
      </c>
      <c r="H7" s="150">
        <v>106.2</v>
      </c>
      <c r="I7" s="232">
        <v>139.30000000000001</v>
      </c>
    </row>
    <row r="8" spans="1:9" s="11" customFormat="1" ht="19.899999999999999" customHeight="1">
      <c r="A8" s="233" t="s">
        <v>6</v>
      </c>
      <c r="B8" s="246" t="s">
        <v>26</v>
      </c>
      <c r="C8" s="568">
        <v>290815707.68000001</v>
      </c>
      <c r="D8" s="160">
        <v>308710728.89999998</v>
      </c>
      <c r="E8" s="155">
        <v>8440070.0999999996</v>
      </c>
      <c r="F8" s="334">
        <v>300270658.79999995</v>
      </c>
      <c r="G8" s="64">
        <v>8.6</v>
      </c>
      <c r="H8" s="157">
        <v>106.2</v>
      </c>
      <c r="I8" s="234">
        <v>157.30000000000001</v>
      </c>
    </row>
    <row r="9" spans="1:9" s="11" customFormat="1" ht="19.899999999999999" customHeight="1">
      <c r="A9" s="233" t="s">
        <v>7</v>
      </c>
      <c r="B9" s="246" t="s">
        <v>42</v>
      </c>
      <c r="C9" s="568">
        <v>195720770.34999999</v>
      </c>
      <c r="D9" s="160">
        <v>199494039.68000001</v>
      </c>
      <c r="E9" s="155">
        <v>3052599.17</v>
      </c>
      <c r="F9" s="334">
        <v>196441440.51000002</v>
      </c>
      <c r="G9" s="64">
        <v>5.5</v>
      </c>
      <c r="H9" s="157">
        <v>101.9</v>
      </c>
      <c r="I9" s="234">
        <v>151.5</v>
      </c>
    </row>
    <row r="10" spans="1:9" s="11" customFormat="1" ht="19.899999999999999" customHeight="1">
      <c r="A10" s="233" t="s">
        <v>8</v>
      </c>
      <c r="B10" s="246" t="s">
        <v>27</v>
      </c>
      <c r="C10" s="568">
        <v>209709884.25</v>
      </c>
      <c r="D10" s="160">
        <v>216648358.19</v>
      </c>
      <c r="E10" s="155">
        <v>4795112.9400000004</v>
      </c>
      <c r="F10" s="334">
        <v>211853245.25</v>
      </c>
      <c r="G10" s="64">
        <v>6</v>
      </c>
      <c r="H10" s="157">
        <v>103.3</v>
      </c>
      <c r="I10" s="234">
        <v>137.5</v>
      </c>
    </row>
    <row r="11" spans="1:9" s="11" customFormat="1" ht="19.899999999999999" customHeight="1">
      <c r="A11" s="233" t="s">
        <v>9</v>
      </c>
      <c r="B11" s="246" t="s">
        <v>28</v>
      </c>
      <c r="C11" s="568">
        <v>118257698.7</v>
      </c>
      <c r="D11" s="160">
        <v>129060405.06999999</v>
      </c>
      <c r="E11" s="155">
        <v>7841741.71</v>
      </c>
      <c r="F11" s="334">
        <v>121218663.36</v>
      </c>
      <c r="G11" s="64">
        <v>3.6</v>
      </c>
      <c r="H11" s="157">
        <v>109.1</v>
      </c>
      <c r="I11" s="234">
        <v>173.5</v>
      </c>
    </row>
    <row r="12" spans="1:9" s="11" customFormat="1" ht="19.899999999999999" customHeight="1">
      <c r="A12" s="233" t="s">
        <v>1</v>
      </c>
      <c r="B12" s="246" t="s">
        <v>29</v>
      </c>
      <c r="C12" s="568">
        <v>222380270.38</v>
      </c>
      <c r="D12" s="160">
        <v>236936363.83000001</v>
      </c>
      <c r="E12" s="155">
        <v>1016274.05</v>
      </c>
      <c r="F12" s="334">
        <v>235920089.78</v>
      </c>
      <c r="G12" s="64">
        <v>6.6</v>
      </c>
      <c r="H12" s="157">
        <v>106.5</v>
      </c>
      <c r="I12" s="234">
        <v>144</v>
      </c>
    </row>
    <row r="13" spans="1:9" s="11" customFormat="1" ht="19.899999999999999" customHeight="1">
      <c r="A13" s="233" t="s">
        <v>2</v>
      </c>
      <c r="B13" s="246" t="s">
        <v>30</v>
      </c>
      <c r="C13" s="568">
        <v>248608071.03</v>
      </c>
      <c r="D13" s="160">
        <v>268271546.05000001</v>
      </c>
      <c r="E13" s="155">
        <v>3285300.35</v>
      </c>
      <c r="F13" s="334">
        <v>264986245.70000002</v>
      </c>
      <c r="G13" s="64">
        <v>7.5</v>
      </c>
      <c r="H13" s="157">
        <v>107.9</v>
      </c>
      <c r="I13" s="234">
        <v>110</v>
      </c>
    </row>
    <row r="14" spans="1:9" s="11" customFormat="1" ht="19.899999999999999" customHeight="1">
      <c r="A14" s="233" t="s">
        <v>10</v>
      </c>
      <c r="B14" s="246" t="s">
        <v>31</v>
      </c>
      <c r="C14" s="568">
        <v>387814802.72000003</v>
      </c>
      <c r="D14" s="160">
        <v>420072897.32999998</v>
      </c>
      <c r="E14" s="155">
        <v>2950223.03</v>
      </c>
      <c r="F14" s="334">
        <v>417122674.30000001</v>
      </c>
      <c r="G14" s="64">
        <v>11.7</v>
      </c>
      <c r="H14" s="157">
        <v>108.3</v>
      </c>
      <c r="I14" s="234">
        <v>132.4</v>
      </c>
    </row>
    <row r="15" spans="1:9" s="11" customFormat="1" ht="19.899999999999999" customHeight="1">
      <c r="A15" s="233" t="s">
        <v>11</v>
      </c>
      <c r="B15" s="246" t="s">
        <v>32</v>
      </c>
      <c r="C15" s="568">
        <v>126708246.09</v>
      </c>
      <c r="D15" s="160">
        <v>127723719.76000001</v>
      </c>
      <c r="E15" s="155">
        <v>1846410.44</v>
      </c>
      <c r="F15" s="334">
        <v>125877309.32000001</v>
      </c>
      <c r="G15" s="64">
        <v>3.6</v>
      </c>
      <c r="H15" s="157">
        <v>100.8</v>
      </c>
      <c r="I15" s="234">
        <v>150.5</v>
      </c>
    </row>
    <row r="16" spans="1:9" s="11" customFormat="1" ht="19.899999999999999" customHeight="1">
      <c r="A16" s="233" t="s">
        <v>12</v>
      </c>
      <c r="B16" s="246" t="s">
        <v>33</v>
      </c>
      <c r="C16" s="568">
        <v>238310471.11000001</v>
      </c>
      <c r="D16" s="160">
        <v>254931356.88999999</v>
      </c>
      <c r="E16" s="155">
        <v>3469171.62</v>
      </c>
      <c r="F16" s="334">
        <v>251462185.26999998</v>
      </c>
      <c r="G16" s="64">
        <v>7.1</v>
      </c>
      <c r="H16" s="157">
        <v>107</v>
      </c>
      <c r="I16" s="234">
        <v>143.80000000000001</v>
      </c>
    </row>
    <row r="17" spans="1:9" s="11" customFormat="1" ht="19.899999999999999" customHeight="1">
      <c r="A17" s="233" t="s">
        <v>13</v>
      </c>
      <c r="B17" s="246" t="s">
        <v>34</v>
      </c>
      <c r="C17" s="568">
        <v>121066773.8</v>
      </c>
      <c r="D17" s="160">
        <v>125882616.52</v>
      </c>
      <c r="E17" s="155">
        <v>3142101</v>
      </c>
      <c r="F17" s="334">
        <v>122740515.52</v>
      </c>
      <c r="G17" s="64">
        <v>3.5</v>
      </c>
      <c r="H17" s="157">
        <v>104</v>
      </c>
      <c r="I17" s="234">
        <v>169.2</v>
      </c>
    </row>
    <row r="18" spans="1:9" s="11" customFormat="1" ht="19.899999999999999" customHeight="1">
      <c r="A18" s="233" t="s">
        <v>14</v>
      </c>
      <c r="B18" s="246" t="s">
        <v>35</v>
      </c>
      <c r="C18" s="568">
        <v>181359418.06</v>
      </c>
      <c r="D18" s="160">
        <v>199837931.44</v>
      </c>
      <c r="E18" s="155">
        <v>3973927.44</v>
      </c>
      <c r="F18" s="334">
        <v>195864004</v>
      </c>
      <c r="G18" s="64">
        <v>5.6</v>
      </c>
      <c r="H18" s="157">
        <v>110.2</v>
      </c>
      <c r="I18" s="234">
        <v>132.69999999999999</v>
      </c>
    </row>
    <row r="19" spans="1:9" s="11" customFormat="1" ht="19.899999999999999" customHeight="1">
      <c r="A19" s="233" t="s">
        <v>15</v>
      </c>
      <c r="B19" s="246" t="s">
        <v>36</v>
      </c>
      <c r="C19" s="568">
        <v>203949760.69</v>
      </c>
      <c r="D19" s="160">
        <v>214941141.72</v>
      </c>
      <c r="E19" s="155">
        <v>4960468.43</v>
      </c>
      <c r="F19" s="334">
        <v>209980673.28999999</v>
      </c>
      <c r="G19" s="64">
        <v>6</v>
      </c>
      <c r="H19" s="157">
        <v>105.4</v>
      </c>
      <c r="I19" s="234">
        <v>107.8</v>
      </c>
    </row>
    <row r="20" spans="1:9" s="11" customFormat="1" ht="19.899999999999999" customHeight="1">
      <c r="A20" s="233" t="s">
        <v>16</v>
      </c>
      <c r="B20" s="246" t="s">
        <v>37</v>
      </c>
      <c r="C20" s="568">
        <v>141709396.44</v>
      </c>
      <c r="D20" s="160">
        <v>153741023.59999999</v>
      </c>
      <c r="E20" s="155">
        <v>3646609.42</v>
      </c>
      <c r="F20" s="334">
        <v>150094414.18000001</v>
      </c>
      <c r="G20" s="64">
        <v>4.3</v>
      </c>
      <c r="H20" s="157">
        <v>108.5</v>
      </c>
      <c r="I20" s="234">
        <v>149.1</v>
      </c>
    </row>
    <row r="21" spans="1:9" s="11" customFormat="1" ht="19.899999999999999" customHeight="1">
      <c r="A21" s="233" t="s">
        <v>17</v>
      </c>
      <c r="B21" s="246" t="s">
        <v>43</v>
      </c>
      <c r="C21" s="568">
        <v>189475841.87</v>
      </c>
      <c r="D21" s="160">
        <v>192175181.94999999</v>
      </c>
      <c r="E21" s="155">
        <v>8190886.6900000004</v>
      </c>
      <c r="F21" s="334">
        <v>183984295.25999999</v>
      </c>
      <c r="G21" s="64">
        <v>5.4</v>
      </c>
      <c r="H21" s="157">
        <v>101.4</v>
      </c>
      <c r="I21" s="234">
        <v>170.6</v>
      </c>
    </row>
    <row r="22" spans="1:9" s="11" customFormat="1" ht="19.899999999999999" customHeight="1">
      <c r="A22" s="233" t="s">
        <v>18</v>
      </c>
      <c r="B22" s="246" t="s">
        <v>38</v>
      </c>
      <c r="C22" s="568">
        <v>314102727.43000001</v>
      </c>
      <c r="D22" s="160">
        <v>333821621.80000001</v>
      </c>
      <c r="E22" s="155">
        <v>10321204.029999999</v>
      </c>
      <c r="F22" s="334">
        <v>323500417.77000004</v>
      </c>
      <c r="G22" s="64">
        <v>9.3000000000000007</v>
      </c>
      <c r="H22" s="157">
        <v>106.3</v>
      </c>
      <c r="I22" s="234">
        <v>122.3</v>
      </c>
    </row>
    <row r="23" spans="1:9" s="11" customFormat="1" ht="19.899999999999999" customHeight="1">
      <c r="A23" s="235" t="s">
        <v>19</v>
      </c>
      <c r="B23" s="247" t="s">
        <v>39</v>
      </c>
      <c r="C23" s="569">
        <v>187814045.02000001</v>
      </c>
      <c r="D23" s="151">
        <v>204928783.68000001</v>
      </c>
      <c r="E23" s="149">
        <v>9988524.6899999995</v>
      </c>
      <c r="F23" s="336">
        <v>194940258.99000001</v>
      </c>
      <c r="G23" s="329">
        <v>5.7</v>
      </c>
      <c r="H23" s="130">
        <v>109.1</v>
      </c>
      <c r="I23" s="238">
        <v>179.4</v>
      </c>
    </row>
    <row r="24" spans="1:9" ht="6.75" customHeight="1"/>
    <row r="25" spans="1:9" s="11" customFormat="1" ht="13.5">
      <c r="A25" s="131" t="s">
        <v>934</v>
      </c>
      <c r="B25" s="132" t="s">
        <v>1159</v>
      </c>
      <c r="C25" s="131"/>
      <c r="D25" s="131"/>
      <c r="E25" s="131"/>
      <c r="F25" s="131"/>
      <c r="G25" s="653" t="s">
        <v>3</v>
      </c>
      <c r="H25" s="131"/>
      <c r="I25" s="131"/>
    </row>
    <row r="26" spans="1:9" s="11" customFormat="1" ht="13.5">
      <c r="A26" s="131"/>
      <c r="B26" s="132" t="s">
        <v>936</v>
      </c>
      <c r="C26" s="131"/>
      <c r="D26" s="131"/>
      <c r="E26" s="131"/>
      <c r="F26" s="131"/>
      <c r="G26" s="131"/>
      <c r="H26" s="131"/>
      <c r="I26" s="131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honeticPr fontId="0" type="noConversion"/>
  <printOptions horizontalCentered="1"/>
  <pageMargins left="0.55000000000000004" right="0.3" top="0.88" bottom="0.48" header="0.48" footer="0.4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rgb="FF92D050"/>
  </sheetPr>
  <dimension ref="A1:I26"/>
  <sheetViews>
    <sheetView showGridLines="0" workbookViewId="0">
      <selection activeCell="M9" sqref="M9"/>
    </sheetView>
  </sheetViews>
  <sheetFormatPr defaultColWidth="9.140625" defaultRowHeight="12.75"/>
  <cols>
    <col min="1" max="1" width="5" style="2" customWidth="1"/>
    <col min="2" max="2" width="17.28515625" style="2" customWidth="1"/>
    <col min="3" max="6" width="10.5703125" style="2" bestFit="1" customWidth="1"/>
    <col min="7" max="7" width="7.140625" style="2" bestFit="1" customWidth="1"/>
    <col min="8" max="8" width="7.42578125" style="2" bestFit="1" customWidth="1"/>
    <col min="9" max="9" width="13.140625" style="2" customWidth="1"/>
    <col min="10" max="16384" width="9.140625" style="2"/>
  </cols>
  <sheetData>
    <row r="1" spans="1:9" ht="31.5" customHeight="1">
      <c r="A1" s="1797" t="s">
        <v>952</v>
      </c>
      <c r="B1" s="1797"/>
      <c r="C1" s="1797"/>
      <c r="D1" s="1797"/>
      <c r="E1" s="1797"/>
      <c r="F1" s="1797"/>
      <c r="G1" s="1797"/>
      <c r="H1" s="1797"/>
      <c r="I1" s="1797"/>
    </row>
    <row r="2" spans="1:9" ht="9" customHeight="1"/>
    <row r="3" spans="1:9" ht="15.7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2253" t="s">
        <v>21</v>
      </c>
      <c r="F3" s="2254"/>
      <c r="G3" s="1859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5">
        <v>2020</v>
      </c>
      <c r="D4" s="576">
        <v>2021</v>
      </c>
      <c r="E4" s="319" t="s">
        <v>24</v>
      </c>
      <c r="F4" s="654" t="s">
        <v>25</v>
      </c>
      <c r="G4" s="2127"/>
      <c r="H4" s="603" t="s">
        <v>931</v>
      </c>
      <c r="I4" s="2117"/>
    </row>
    <row r="5" spans="1:9" s="3" customFormat="1" ht="15" customHeight="1">
      <c r="A5" s="1800"/>
      <c r="B5" s="180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s="4" customFormat="1" ht="12.7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4" customFormat="1" ht="19.5" customHeight="1">
      <c r="A7" s="231"/>
      <c r="B7" s="76" t="s">
        <v>933</v>
      </c>
      <c r="C7" s="567">
        <v>924773205.71000004</v>
      </c>
      <c r="D7" s="159">
        <v>871649249.52999997</v>
      </c>
      <c r="E7" s="158">
        <v>102074493.37</v>
      </c>
      <c r="F7" s="332">
        <v>769574756.15999997</v>
      </c>
      <c r="G7" s="560">
        <v>100</v>
      </c>
      <c r="H7" s="150">
        <v>94.3</v>
      </c>
      <c r="I7" s="232">
        <v>33.799999999999997</v>
      </c>
    </row>
    <row r="8" spans="1:9" s="14" customFormat="1" ht="19.5" customHeight="1">
      <c r="A8" s="233" t="s">
        <v>6</v>
      </c>
      <c r="B8" s="246" t="s">
        <v>26</v>
      </c>
      <c r="C8" s="568">
        <v>68076975.739999995</v>
      </c>
      <c r="D8" s="160">
        <v>61983790.68</v>
      </c>
      <c r="E8" s="155">
        <v>1292237.29</v>
      </c>
      <c r="F8" s="334">
        <v>60691553.390000001</v>
      </c>
      <c r="G8" s="369">
        <v>7.1</v>
      </c>
      <c r="H8" s="157">
        <v>91</v>
      </c>
      <c r="I8" s="234">
        <v>31.6</v>
      </c>
    </row>
    <row r="9" spans="1:9" s="14" customFormat="1" ht="19.5" customHeight="1">
      <c r="A9" s="233" t="s">
        <v>7</v>
      </c>
      <c r="B9" s="246" t="s">
        <v>42</v>
      </c>
      <c r="C9" s="568">
        <v>52082691.289999999</v>
      </c>
      <c r="D9" s="160">
        <v>45054315.399999999</v>
      </c>
      <c r="E9" s="155">
        <v>2387334.48</v>
      </c>
      <c r="F9" s="334">
        <v>42666980.920000002</v>
      </c>
      <c r="G9" s="369">
        <v>5.2</v>
      </c>
      <c r="H9" s="157">
        <v>86.5</v>
      </c>
      <c r="I9" s="234">
        <v>34.200000000000003</v>
      </c>
    </row>
    <row r="10" spans="1:9" s="14" customFormat="1" ht="19.5" customHeight="1">
      <c r="A10" s="233" t="s">
        <v>8</v>
      </c>
      <c r="B10" s="246" t="s">
        <v>27</v>
      </c>
      <c r="C10" s="568">
        <v>54049836.659999996</v>
      </c>
      <c r="D10" s="160">
        <v>53079346.490000002</v>
      </c>
      <c r="E10" s="155">
        <v>6920855.3700000001</v>
      </c>
      <c r="F10" s="334">
        <v>46158491.120000005</v>
      </c>
      <c r="G10" s="369">
        <v>6.1</v>
      </c>
      <c r="H10" s="157">
        <v>98.2</v>
      </c>
      <c r="I10" s="234">
        <v>33.700000000000003</v>
      </c>
    </row>
    <row r="11" spans="1:9" s="14" customFormat="1" ht="19.5" customHeight="1">
      <c r="A11" s="233" t="s">
        <v>9</v>
      </c>
      <c r="B11" s="246" t="s">
        <v>28</v>
      </c>
      <c r="C11" s="568">
        <v>30055105.690000001</v>
      </c>
      <c r="D11" s="160">
        <v>32095115.530000001</v>
      </c>
      <c r="E11" s="155">
        <v>3859656</v>
      </c>
      <c r="F11" s="334">
        <v>28235459.530000001</v>
      </c>
      <c r="G11" s="369">
        <v>3.7</v>
      </c>
      <c r="H11" s="157">
        <v>106.8</v>
      </c>
      <c r="I11" s="234">
        <v>43.2</v>
      </c>
    </row>
    <row r="12" spans="1:9" s="14" customFormat="1" ht="19.5" customHeight="1">
      <c r="A12" s="233" t="s">
        <v>1</v>
      </c>
      <c r="B12" s="246" t="s">
        <v>29</v>
      </c>
      <c r="C12" s="568">
        <v>51600048.5</v>
      </c>
      <c r="D12" s="160">
        <v>44502553.560000002</v>
      </c>
      <c r="E12" s="155">
        <v>347660</v>
      </c>
      <c r="F12" s="334">
        <v>44154893.560000002</v>
      </c>
      <c r="G12" s="369">
        <v>5.0999999999999996</v>
      </c>
      <c r="H12" s="157">
        <v>86.2</v>
      </c>
      <c r="I12" s="234">
        <v>27</v>
      </c>
    </row>
    <row r="13" spans="1:9" s="14" customFormat="1" ht="19.5" customHeight="1">
      <c r="A13" s="233" t="s">
        <v>2</v>
      </c>
      <c r="B13" s="246" t="s">
        <v>30</v>
      </c>
      <c r="C13" s="568">
        <v>82464186.620000005</v>
      </c>
      <c r="D13" s="160">
        <v>78472767.109999999</v>
      </c>
      <c r="E13" s="155">
        <v>8061690.3700000001</v>
      </c>
      <c r="F13" s="334">
        <v>70411076.739999995</v>
      </c>
      <c r="G13" s="369">
        <v>9</v>
      </c>
      <c r="H13" s="157">
        <v>95.2</v>
      </c>
      <c r="I13" s="234">
        <v>32.200000000000003</v>
      </c>
    </row>
    <row r="14" spans="1:9" s="14" customFormat="1" ht="19.5" customHeight="1">
      <c r="A14" s="233" t="s">
        <v>10</v>
      </c>
      <c r="B14" s="246" t="s">
        <v>31</v>
      </c>
      <c r="C14" s="568">
        <v>110355979.27</v>
      </c>
      <c r="D14" s="160">
        <v>118402383.62</v>
      </c>
      <c r="E14" s="155">
        <v>28355665.670000002</v>
      </c>
      <c r="F14" s="334">
        <v>90046717.950000003</v>
      </c>
      <c r="G14" s="369">
        <v>13.6</v>
      </c>
      <c r="H14" s="157">
        <v>107.3</v>
      </c>
      <c r="I14" s="234">
        <v>37.299999999999997</v>
      </c>
    </row>
    <row r="15" spans="1:9" s="14" customFormat="1" ht="19.5" customHeight="1">
      <c r="A15" s="233" t="s">
        <v>11</v>
      </c>
      <c r="B15" s="246" t="s">
        <v>32</v>
      </c>
      <c r="C15" s="568">
        <v>33016708.800000001</v>
      </c>
      <c r="D15" s="160">
        <v>32080931.140000001</v>
      </c>
      <c r="E15" s="155">
        <v>1492150.11</v>
      </c>
      <c r="F15" s="334">
        <v>30588781.030000001</v>
      </c>
      <c r="G15" s="369">
        <v>3.7</v>
      </c>
      <c r="H15" s="157">
        <v>97.2</v>
      </c>
      <c r="I15" s="234">
        <v>37.799999999999997</v>
      </c>
    </row>
    <row r="16" spans="1:9" s="14" customFormat="1" ht="19.5" customHeight="1">
      <c r="A16" s="233" t="s">
        <v>12</v>
      </c>
      <c r="B16" s="246" t="s">
        <v>33</v>
      </c>
      <c r="C16" s="568">
        <v>75681684.650000006</v>
      </c>
      <c r="D16" s="160">
        <v>58205099.240000002</v>
      </c>
      <c r="E16" s="155">
        <v>11569959.220000001</v>
      </c>
      <c r="F16" s="334">
        <v>46635140.020000003</v>
      </c>
      <c r="G16" s="369">
        <v>6.7</v>
      </c>
      <c r="H16" s="157">
        <v>76.900000000000006</v>
      </c>
      <c r="I16" s="234">
        <v>32.799999999999997</v>
      </c>
    </row>
    <row r="17" spans="1:9" s="14" customFormat="1" ht="19.5" customHeight="1">
      <c r="A17" s="233" t="s">
        <v>13</v>
      </c>
      <c r="B17" s="246" t="s">
        <v>34</v>
      </c>
      <c r="C17" s="568">
        <v>21035095.5</v>
      </c>
      <c r="D17" s="160">
        <v>19245397.109999999</v>
      </c>
      <c r="E17" s="155">
        <v>5195360</v>
      </c>
      <c r="F17" s="334">
        <v>14050037.109999999</v>
      </c>
      <c r="G17" s="369">
        <v>2.2000000000000002</v>
      </c>
      <c r="H17" s="157">
        <v>91.5</v>
      </c>
      <c r="I17" s="234">
        <v>25.9</v>
      </c>
    </row>
    <row r="18" spans="1:9" s="14" customFormat="1" ht="19.5" customHeight="1">
      <c r="A18" s="233" t="s">
        <v>14</v>
      </c>
      <c r="B18" s="246" t="s">
        <v>35</v>
      </c>
      <c r="C18" s="568">
        <v>58696018.600000001</v>
      </c>
      <c r="D18" s="160">
        <v>53173765.329999998</v>
      </c>
      <c r="E18" s="155">
        <v>2615999.96</v>
      </c>
      <c r="F18" s="334">
        <v>50557765.369999997</v>
      </c>
      <c r="G18" s="369">
        <v>6.1</v>
      </c>
      <c r="H18" s="157">
        <v>90.6</v>
      </c>
      <c r="I18" s="234">
        <v>35.299999999999997</v>
      </c>
    </row>
    <row r="19" spans="1:9" s="14" customFormat="1" ht="19.5" customHeight="1">
      <c r="A19" s="233" t="s">
        <v>15</v>
      </c>
      <c r="B19" s="246" t="s">
        <v>36</v>
      </c>
      <c r="C19" s="568">
        <v>73044043.829999998</v>
      </c>
      <c r="D19" s="160">
        <v>71548352</v>
      </c>
      <c r="E19" s="155">
        <v>8401678.8800000008</v>
      </c>
      <c r="F19" s="334">
        <v>63146673.119999997</v>
      </c>
      <c r="G19" s="369">
        <v>8.1999999999999993</v>
      </c>
      <c r="H19" s="157">
        <v>98</v>
      </c>
      <c r="I19" s="234">
        <v>35.9</v>
      </c>
    </row>
    <row r="20" spans="1:9" s="14" customFormat="1" ht="19.5" customHeight="1">
      <c r="A20" s="233" t="s">
        <v>16</v>
      </c>
      <c r="B20" s="246" t="s">
        <v>37</v>
      </c>
      <c r="C20" s="568">
        <v>44870927.009999998</v>
      </c>
      <c r="D20" s="160">
        <v>44007562.850000001</v>
      </c>
      <c r="E20" s="155">
        <v>3047172.36</v>
      </c>
      <c r="F20" s="334">
        <v>40960390.490000002</v>
      </c>
      <c r="G20" s="369">
        <v>5</v>
      </c>
      <c r="H20" s="157">
        <v>98.1</v>
      </c>
      <c r="I20" s="234">
        <v>42.7</v>
      </c>
    </row>
    <row r="21" spans="1:9" s="14" customFormat="1" ht="19.5" customHeight="1">
      <c r="A21" s="233" t="s">
        <v>17</v>
      </c>
      <c r="B21" s="246" t="s">
        <v>43</v>
      </c>
      <c r="C21" s="568">
        <v>43379926.990000002</v>
      </c>
      <c r="D21" s="160">
        <v>42266427.810000002</v>
      </c>
      <c r="E21" s="155">
        <v>3077045.11</v>
      </c>
      <c r="F21" s="334">
        <v>39189382.700000003</v>
      </c>
      <c r="G21" s="369">
        <v>4.8</v>
      </c>
      <c r="H21" s="157">
        <v>97.4</v>
      </c>
      <c r="I21" s="234">
        <v>37.5</v>
      </c>
    </row>
    <row r="22" spans="1:9" s="14" customFormat="1" ht="19.5" customHeight="1">
      <c r="A22" s="233" t="s">
        <v>18</v>
      </c>
      <c r="B22" s="246" t="s">
        <v>38</v>
      </c>
      <c r="C22" s="568">
        <v>81606224.349999994</v>
      </c>
      <c r="D22" s="160">
        <v>72833689.079999998</v>
      </c>
      <c r="E22" s="155">
        <v>12828871.01</v>
      </c>
      <c r="F22" s="334">
        <v>60004818.07</v>
      </c>
      <c r="G22" s="369">
        <v>8.4</v>
      </c>
      <c r="H22" s="157">
        <v>89.3</v>
      </c>
      <c r="I22" s="234">
        <v>26.7</v>
      </c>
    </row>
    <row r="23" spans="1:9" s="14" customFormat="1" ht="20.45" customHeight="1">
      <c r="A23" s="235" t="s">
        <v>19</v>
      </c>
      <c r="B23" s="247" t="s">
        <v>39</v>
      </c>
      <c r="C23" s="569">
        <v>44757752.210000001</v>
      </c>
      <c r="D23" s="151">
        <v>44697752.579999998</v>
      </c>
      <c r="E23" s="149">
        <v>2621157.54</v>
      </c>
      <c r="F23" s="336">
        <v>42076595.039999999</v>
      </c>
      <c r="G23" s="371">
        <v>5.0999999999999996</v>
      </c>
      <c r="H23" s="130">
        <v>99.9</v>
      </c>
      <c r="I23" s="238">
        <v>39.1</v>
      </c>
    </row>
    <row r="24" spans="1:9" ht="7.5" customHeight="1"/>
    <row r="25" spans="1:9" s="11" customFormat="1" ht="13.5">
      <c r="A25" s="133" t="s">
        <v>934</v>
      </c>
      <c r="B25" s="134" t="s">
        <v>1159</v>
      </c>
      <c r="C25" s="133"/>
      <c r="D25" s="133"/>
      <c r="E25" s="133"/>
      <c r="F25" s="133"/>
      <c r="G25" s="133"/>
      <c r="H25" s="133"/>
      <c r="I25" s="133"/>
    </row>
    <row r="26" spans="1:9" s="11" customFormat="1" ht="13.5">
      <c r="A26" s="133"/>
      <c r="B26" s="134" t="s">
        <v>936</v>
      </c>
      <c r="C26" s="133"/>
      <c r="D26" s="133"/>
      <c r="E26" s="133"/>
      <c r="F26" s="133"/>
      <c r="G26" s="133"/>
      <c r="H26" s="133"/>
      <c r="I26" s="133"/>
    </row>
  </sheetData>
  <mergeCells count="8">
    <mergeCell ref="A1:I1"/>
    <mergeCell ref="I3:I4"/>
    <mergeCell ref="C5:F5"/>
    <mergeCell ref="G5:H5"/>
    <mergeCell ref="A3:A5"/>
    <mergeCell ref="B3:B5"/>
    <mergeCell ref="E3:F3"/>
    <mergeCell ref="G3:G4"/>
  </mergeCells>
  <phoneticPr fontId="7" type="noConversion"/>
  <printOptions horizontalCentered="1"/>
  <pageMargins left="0.62" right="0.28000000000000003" top="1.03" bottom="0.98425196850393704" header="0.68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rgb="FF92D050"/>
  </sheetPr>
  <dimension ref="A1:I26"/>
  <sheetViews>
    <sheetView showGridLines="0" workbookViewId="0">
      <selection activeCell="M13" sqref="M13"/>
    </sheetView>
  </sheetViews>
  <sheetFormatPr defaultColWidth="9.140625" defaultRowHeight="12.75"/>
  <cols>
    <col min="1" max="1" width="4.28515625" style="5" customWidth="1"/>
    <col min="2" max="2" width="16.7109375" style="5" customWidth="1"/>
    <col min="3" max="4" width="9.85546875" style="5" bestFit="1" customWidth="1"/>
    <col min="5" max="5" width="9.140625" style="5"/>
    <col min="6" max="6" width="9.85546875" style="5" bestFit="1" customWidth="1"/>
    <col min="7" max="7" width="7.140625" style="5" bestFit="1" customWidth="1"/>
    <col min="8" max="8" width="7.42578125" style="5" bestFit="1" customWidth="1"/>
    <col min="9" max="9" width="12.85546875" style="5" customWidth="1"/>
    <col min="10" max="16384" width="9.140625" style="5"/>
  </cols>
  <sheetData>
    <row r="1" spans="1:9" ht="48.75" customHeight="1">
      <c r="A1" s="1847" t="s">
        <v>996</v>
      </c>
      <c r="B1" s="1847"/>
      <c r="C1" s="1847"/>
      <c r="D1" s="1847"/>
      <c r="E1" s="1847"/>
      <c r="F1" s="1847"/>
      <c r="G1" s="1847"/>
      <c r="H1" s="1847"/>
      <c r="I1" s="1847"/>
    </row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ht="13.5">
      <c r="A5" s="1800"/>
      <c r="B5" s="180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ht="12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5" customFormat="1" ht="18.75" customHeight="1">
      <c r="A7" s="231"/>
      <c r="B7" s="76" t="s">
        <v>933</v>
      </c>
      <c r="C7" s="567">
        <v>43332749.759999998</v>
      </c>
      <c r="D7" s="159">
        <v>57098858.729999997</v>
      </c>
      <c r="E7" s="158">
        <v>3913897.12</v>
      </c>
      <c r="F7" s="332">
        <v>53184961.609999999</v>
      </c>
      <c r="G7" s="560">
        <v>100</v>
      </c>
      <c r="H7" s="150">
        <v>131.80000000000001</v>
      </c>
      <c r="I7" s="232">
        <v>2.2000000000000002</v>
      </c>
    </row>
    <row r="8" spans="1:9" s="15" customFormat="1" ht="18.75" customHeight="1">
      <c r="A8" s="233" t="s">
        <v>6</v>
      </c>
      <c r="B8" s="246" t="s">
        <v>26</v>
      </c>
      <c r="C8" s="568">
        <v>3673477.81</v>
      </c>
      <c r="D8" s="160">
        <v>4858040.13</v>
      </c>
      <c r="E8" s="155">
        <v>19109.13</v>
      </c>
      <c r="F8" s="334">
        <v>4838931</v>
      </c>
      <c r="G8" s="369">
        <v>8.5</v>
      </c>
      <c r="H8" s="157">
        <v>132.19999999999999</v>
      </c>
      <c r="I8" s="234">
        <v>2.5</v>
      </c>
    </row>
    <row r="9" spans="1:9" s="15" customFormat="1" ht="18.75" customHeight="1">
      <c r="A9" s="233" t="s">
        <v>7</v>
      </c>
      <c r="B9" s="246" t="s">
        <v>42</v>
      </c>
      <c r="C9" s="568">
        <v>949326.99</v>
      </c>
      <c r="D9" s="160">
        <v>2145115.2799999998</v>
      </c>
      <c r="E9" s="155">
        <v>0</v>
      </c>
      <c r="F9" s="334">
        <v>2145115.2799999998</v>
      </c>
      <c r="G9" s="369">
        <v>3.8</v>
      </c>
      <c r="H9" s="157">
        <v>226</v>
      </c>
      <c r="I9" s="234">
        <v>1.6</v>
      </c>
    </row>
    <row r="10" spans="1:9" s="15" customFormat="1" ht="18.75" customHeight="1">
      <c r="A10" s="233" t="s">
        <v>8</v>
      </c>
      <c r="B10" s="246" t="s">
        <v>27</v>
      </c>
      <c r="C10" s="568">
        <v>4022873.27</v>
      </c>
      <c r="D10" s="160">
        <v>3475733.13</v>
      </c>
      <c r="E10" s="155">
        <v>144000</v>
      </c>
      <c r="F10" s="334">
        <v>3331733.13</v>
      </c>
      <c r="G10" s="369">
        <v>6.1</v>
      </c>
      <c r="H10" s="157">
        <v>86.4</v>
      </c>
      <c r="I10" s="234">
        <v>2.2000000000000002</v>
      </c>
    </row>
    <row r="11" spans="1:9" s="15" customFormat="1" ht="18.75" customHeight="1">
      <c r="A11" s="233" t="s">
        <v>9</v>
      </c>
      <c r="B11" s="246" t="s">
        <v>28</v>
      </c>
      <c r="C11" s="568">
        <v>872017.82</v>
      </c>
      <c r="D11" s="160">
        <v>1275219.23</v>
      </c>
      <c r="E11" s="155">
        <v>0</v>
      </c>
      <c r="F11" s="334">
        <v>1275219.23</v>
      </c>
      <c r="G11" s="369">
        <v>2.2000000000000002</v>
      </c>
      <c r="H11" s="157">
        <v>146.19999999999999</v>
      </c>
      <c r="I11" s="234">
        <v>1.7</v>
      </c>
    </row>
    <row r="12" spans="1:9" s="15" customFormat="1" ht="18.75" customHeight="1">
      <c r="A12" s="233" t="s">
        <v>1</v>
      </c>
      <c r="B12" s="246" t="s">
        <v>29</v>
      </c>
      <c r="C12" s="568">
        <v>1899682.6</v>
      </c>
      <c r="D12" s="160">
        <v>2740073.18</v>
      </c>
      <c r="E12" s="155">
        <v>0</v>
      </c>
      <c r="F12" s="334">
        <v>2740073.18</v>
      </c>
      <c r="G12" s="369">
        <v>4.8</v>
      </c>
      <c r="H12" s="157">
        <v>144.19999999999999</v>
      </c>
      <c r="I12" s="234">
        <v>1.7</v>
      </c>
    </row>
    <row r="13" spans="1:9" s="15" customFormat="1" ht="18.75" customHeight="1">
      <c r="A13" s="233" t="s">
        <v>2</v>
      </c>
      <c r="B13" s="246" t="s">
        <v>30</v>
      </c>
      <c r="C13" s="568">
        <v>2776744.06</v>
      </c>
      <c r="D13" s="160">
        <v>3667248.42</v>
      </c>
      <c r="E13" s="155">
        <v>0</v>
      </c>
      <c r="F13" s="334">
        <v>3667248.42</v>
      </c>
      <c r="G13" s="369">
        <v>6.4</v>
      </c>
      <c r="H13" s="157">
        <v>132.1</v>
      </c>
      <c r="I13" s="234">
        <v>1.5</v>
      </c>
    </row>
    <row r="14" spans="1:9" s="15" customFormat="1" ht="18.75" customHeight="1">
      <c r="A14" s="233" t="s">
        <v>10</v>
      </c>
      <c r="B14" s="246" t="s">
        <v>31</v>
      </c>
      <c r="C14" s="568">
        <v>5497424.2000000002</v>
      </c>
      <c r="D14" s="160">
        <v>9068204.6699999999</v>
      </c>
      <c r="E14" s="155">
        <v>1900025</v>
      </c>
      <c r="F14" s="334">
        <v>7168179.6699999999</v>
      </c>
      <c r="G14" s="369">
        <v>15.9</v>
      </c>
      <c r="H14" s="157">
        <v>165</v>
      </c>
      <c r="I14" s="234">
        <v>2.9</v>
      </c>
    </row>
    <row r="15" spans="1:9" s="15" customFormat="1" ht="18.75" customHeight="1">
      <c r="A15" s="233" t="s">
        <v>11</v>
      </c>
      <c r="B15" s="246" t="s">
        <v>32</v>
      </c>
      <c r="C15" s="568">
        <v>1898435.68</v>
      </c>
      <c r="D15" s="160">
        <v>2107870.5</v>
      </c>
      <c r="E15" s="155">
        <v>0</v>
      </c>
      <c r="F15" s="334">
        <v>2107870.5</v>
      </c>
      <c r="G15" s="369">
        <v>3.7</v>
      </c>
      <c r="H15" s="157">
        <v>111</v>
      </c>
      <c r="I15" s="234">
        <v>2.5</v>
      </c>
    </row>
    <row r="16" spans="1:9" s="15" customFormat="1" ht="18.75" customHeight="1">
      <c r="A16" s="233" t="s">
        <v>12</v>
      </c>
      <c r="B16" s="246" t="s">
        <v>33</v>
      </c>
      <c r="C16" s="568">
        <v>2266187.66</v>
      </c>
      <c r="D16" s="160">
        <v>3775262.69</v>
      </c>
      <c r="E16" s="155">
        <v>128677.67</v>
      </c>
      <c r="F16" s="334">
        <v>3646585.02</v>
      </c>
      <c r="G16" s="369">
        <v>6.6</v>
      </c>
      <c r="H16" s="157">
        <v>166.6</v>
      </c>
      <c r="I16" s="234">
        <v>2.1</v>
      </c>
    </row>
    <row r="17" spans="1:9" s="15" customFormat="1" ht="18.75" customHeight="1">
      <c r="A17" s="233" t="s">
        <v>13</v>
      </c>
      <c r="B17" s="246" t="s">
        <v>34</v>
      </c>
      <c r="C17" s="568">
        <v>1140037.67</v>
      </c>
      <c r="D17" s="160">
        <v>3197237.5</v>
      </c>
      <c r="E17" s="155">
        <v>1722085.32</v>
      </c>
      <c r="F17" s="334">
        <v>1475152.18</v>
      </c>
      <c r="G17" s="369">
        <v>5.6</v>
      </c>
      <c r="H17" s="157">
        <v>280.5</v>
      </c>
      <c r="I17" s="234">
        <v>4.3</v>
      </c>
    </row>
    <row r="18" spans="1:9" s="15" customFormat="1" ht="18.75" customHeight="1">
      <c r="A18" s="233" t="s">
        <v>14</v>
      </c>
      <c r="B18" s="246" t="s">
        <v>35</v>
      </c>
      <c r="C18" s="568">
        <v>4299389.5199999996</v>
      </c>
      <c r="D18" s="160">
        <v>4110039.66</v>
      </c>
      <c r="E18" s="155">
        <v>0</v>
      </c>
      <c r="F18" s="334">
        <v>4110039.66</v>
      </c>
      <c r="G18" s="369">
        <v>7.2</v>
      </c>
      <c r="H18" s="157">
        <v>95.6</v>
      </c>
      <c r="I18" s="234">
        <v>2.7</v>
      </c>
    </row>
    <row r="19" spans="1:9" s="15" customFormat="1" ht="18.75" customHeight="1">
      <c r="A19" s="233" t="s">
        <v>15</v>
      </c>
      <c r="B19" s="246" t="s">
        <v>36</v>
      </c>
      <c r="C19" s="568">
        <v>2823478.98</v>
      </c>
      <c r="D19" s="160">
        <v>3817055.18</v>
      </c>
      <c r="E19" s="155">
        <v>0</v>
      </c>
      <c r="F19" s="334">
        <v>3817055.18</v>
      </c>
      <c r="G19" s="369">
        <v>6.7</v>
      </c>
      <c r="H19" s="157">
        <v>135.19999999999999</v>
      </c>
      <c r="I19" s="234">
        <v>1.9</v>
      </c>
    </row>
    <row r="20" spans="1:9" s="15" customFormat="1" ht="18.75" customHeight="1">
      <c r="A20" s="233" t="s">
        <v>16</v>
      </c>
      <c r="B20" s="246" t="s">
        <v>37</v>
      </c>
      <c r="C20" s="568">
        <v>2305378.2599999998</v>
      </c>
      <c r="D20" s="160">
        <v>1203402.17</v>
      </c>
      <c r="E20" s="155">
        <v>0</v>
      </c>
      <c r="F20" s="334">
        <v>1203402.17</v>
      </c>
      <c r="G20" s="369">
        <v>2.1</v>
      </c>
      <c r="H20" s="157">
        <v>52.2</v>
      </c>
      <c r="I20" s="234">
        <v>1.2</v>
      </c>
    </row>
    <row r="21" spans="1:9" s="15" customFormat="1" ht="18.75" customHeight="1">
      <c r="A21" s="233" t="s">
        <v>17</v>
      </c>
      <c r="B21" s="246" t="s">
        <v>43</v>
      </c>
      <c r="C21" s="568">
        <v>3843567.49</v>
      </c>
      <c r="D21" s="160">
        <v>4518283.2300000004</v>
      </c>
      <c r="E21" s="155">
        <v>0</v>
      </c>
      <c r="F21" s="334">
        <v>4518283.2300000004</v>
      </c>
      <c r="G21" s="369">
        <v>7.9</v>
      </c>
      <c r="H21" s="157">
        <v>117.6</v>
      </c>
      <c r="I21" s="234">
        <v>4</v>
      </c>
    </row>
    <row r="22" spans="1:9" s="15" customFormat="1" ht="18.75" customHeight="1">
      <c r="A22" s="233" t="s">
        <v>18</v>
      </c>
      <c r="B22" s="246" t="s">
        <v>38</v>
      </c>
      <c r="C22" s="568">
        <v>2041533.06</v>
      </c>
      <c r="D22" s="160">
        <v>3035508.38</v>
      </c>
      <c r="E22" s="155">
        <v>0</v>
      </c>
      <c r="F22" s="334">
        <v>3035508.38</v>
      </c>
      <c r="G22" s="369">
        <v>5.3</v>
      </c>
      <c r="H22" s="157">
        <v>148.69999999999999</v>
      </c>
      <c r="I22" s="234">
        <v>1.1000000000000001</v>
      </c>
    </row>
    <row r="23" spans="1:9" s="15" customFormat="1" ht="23.25" customHeight="1">
      <c r="A23" s="235" t="s">
        <v>19</v>
      </c>
      <c r="B23" s="247" t="s">
        <v>39</v>
      </c>
      <c r="C23" s="569">
        <v>3023194.69</v>
      </c>
      <c r="D23" s="151">
        <v>4104565.38</v>
      </c>
      <c r="E23" s="149">
        <v>0</v>
      </c>
      <c r="F23" s="336">
        <v>4104565.38</v>
      </c>
      <c r="G23" s="371">
        <v>7.2</v>
      </c>
      <c r="H23" s="130">
        <v>135.80000000000001</v>
      </c>
      <c r="I23" s="238">
        <v>3.6</v>
      </c>
    </row>
    <row r="25" spans="1:9" s="11" customFormat="1" ht="13.5">
      <c r="A25" s="135" t="s">
        <v>934</v>
      </c>
      <c r="B25" s="136" t="s">
        <v>1159</v>
      </c>
      <c r="C25" s="135"/>
      <c r="D25" s="135"/>
      <c r="E25" s="135"/>
      <c r="F25" s="135"/>
      <c r="G25" s="135"/>
      <c r="H25" s="135"/>
      <c r="I25" s="135"/>
    </row>
    <row r="26" spans="1:9" s="11" customFormat="1" ht="13.5">
      <c r="A26" s="135"/>
      <c r="B26" s="136" t="s">
        <v>936</v>
      </c>
      <c r="C26" s="135"/>
      <c r="D26" s="135"/>
      <c r="E26" s="135"/>
      <c r="F26" s="135"/>
      <c r="G26" s="135"/>
      <c r="H26" s="135"/>
      <c r="I26" s="135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honeticPr fontId="7" type="noConversion"/>
  <printOptions horizontalCentered="1"/>
  <pageMargins left="0.56999999999999995" right="0.5" top="0.9" bottom="0.98425196850393704" header="0.44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8"/>
  <sheetViews>
    <sheetView showGridLines="0" workbookViewId="0">
      <selection activeCell="M11" sqref="M11"/>
    </sheetView>
  </sheetViews>
  <sheetFormatPr defaultColWidth="9.140625" defaultRowHeight="12.75"/>
  <cols>
    <col min="1" max="1" width="5.85546875" style="23" customWidth="1"/>
    <col min="2" max="2" width="25.7109375" style="23" customWidth="1"/>
    <col min="3" max="4" width="11.7109375" style="23" bestFit="1" customWidth="1"/>
    <col min="5" max="5" width="6.5703125" style="23" bestFit="1" customWidth="1"/>
    <col min="6" max="7" width="10.5703125" style="23" bestFit="1" customWidth="1"/>
    <col min="8" max="8" width="6.5703125" style="23" bestFit="1" customWidth="1"/>
    <col min="9" max="16384" width="9.140625" style="23"/>
  </cols>
  <sheetData>
    <row r="1" spans="1:9" ht="53.25" customHeight="1">
      <c r="A1" s="1847" t="s">
        <v>997</v>
      </c>
      <c r="B1" s="1797"/>
      <c r="C1" s="1797"/>
      <c r="D1" s="1797"/>
      <c r="E1" s="1797"/>
      <c r="F1" s="1797"/>
      <c r="G1" s="1797"/>
      <c r="H1" s="1797"/>
      <c r="I1" s="1797"/>
    </row>
    <row r="2" spans="1:9" ht="5.2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24.75" customHeight="1">
      <c r="A7" s="348"/>
      <c r="B7" s="76" t="s">
        <v>933</v>
      </c>
      <c r="C7" s="331">
        <v>1497681091.8599999</v>
      </c>
      <c r="D7" s="158">
        <v>1189709425.3900001</v>
      </c>
      <c r="E7" s="232">
        <v>79.400000000000006</v>
      </c>
      <c r="F7" s="159">
        <v>705618003.02999985</v>
      </c>
      <c r="G7" s="158">
        <v>576464832.61000013</v>
      </c>
      <c r="H7" s="51">
        <v>81.7</v>
      </c>
      <c r="I7" s="363">
        <v>48.5</v>
      </c>
    </row>
    <row r="8" spans="1:9" ht="20.100000000000001" customHeight="1">
      <c r="A8" s="233" t="s">
        <v>895</v>
      </c>
      <c r="B8" s="63" t="s">
        <v>99</v>
      </c>
      <c r="C8" s="333">
        <v>165105121.16</v>
      </c>
      <c r="D8" s="155">
        <v>154724430.44</v>
      </c>
      <c r="E8" s="234">
        <v>93.7</v>
      </c>
      <c r="F8" s="64">
        <v>54151769.849999994</v>
      </c>
      <c r="G8" s="157">
        <v>53525190.230000004</v>
      </c>
      <c r="H8" s="65">
        <v>98.8</v>
      </c>
      <c r="I8" s="364">
        <v>34.6</v>
      </c>
    </row>
    <row r="9" spans="1:9" ht="20.100000000000001" customHeight="1">
      <c r="A9" s="233" t="s">
        <v>899</v>
      </c>
      <c r="B9" s="63" t="s">
        <v>102</v>
      </c>
      <c r="C9" s="333">
        <v>14657540.380000001</v>
      </c>
      <c r="D9" s="155">
        <v>14748955.5</v>
      </c>
      <c r="E9" s="234">
        <v>100.6</v>
      </c>
      <c r="F9" s="64">
        <v>14657540.380000001</v>
      </c>
      <c r="G9" s="157">
        <v>14748955.5</v>
      </c>
      <c r="H9" s="65">
        <v>100.6</v>
      </c>
      <c r="I9" s="364">
        <v>100</v>
      </c>
    </row>
    <row r="10" spans="1:9" ht="20.100000000000001" customHeight="1">
      <c r="A10" s="233" t="s">
        <v>903</v>
      </c>
      <c r="B10" s="63" t="s">
        <v>104</v>
      </c>
      <c r="C10" s="333">
        <v>181357698.08000001</v>
      </c>
      <c r="D10" s="155">
        <v>156644367.13999999</v>
      </c>
      <c r="E10" s="234">
        <v>86.4</v>
      </c>
      <c r="F10" s="64">
        <v>1368679.130000025</v>
      </c>
      <c r="G10" s="157">
        <v>456397.6099999845</v>
      </c>
      <c r="H10" s="65">
        <v>33.299999999999997</v>
      </c>
      <c r="I10" s="364">
        <v>0.3</v>
      </c>
    </row>
    <row r="11" spans="1:9" ht="20.100000000000001" customHeight="1">
      <c r="A11" s="233" t="s">
        <v>904</v>
      </c>
      <c r="B11" s="63" t="s">
        <v>105</v>
      </c>
      <c r="C11" s="333">
        <v>10363172.73</v>
      </c>
      <c r="D11" s="155">
        <v>6945926.5999999996</v>
      </c>
      <c r="E11" s="234">
        <v>67</v>
      </c>
      <c r="F11" s="64">
        <v>1152683.75</v>
      </c>
      <c r="G11" s="157">
        <v>554918.65999999922</v>
      </c>
      <c r="H11" s="65">
        <v>48.1</v>
      </c>
      <c r="I11" s="364">
        <v>8</v>
      </c>
    </row>
    <row r="12" spans="1:9" ht="20.100000000000001" customHeight="1">
      <c r="A12" s="233" t="s">
        <v>905</v>
      </c>
      <c r="B12" s="63" t="s">
        <v>106</v>
      </c>
      <c r="C12" s="333">
        <v>26509408.210000001</v>
      </c>
      <c r="D12" s="155">
        <v>9518424.0700000003</v>
      </c>
      <c r="E12" s="234">
        <v>35.9</v>
      </c>
      <c r="F12" s="64">
        <v>333364.69000000134</v>
      </c>
      <c r="G12" s="157">
        <v>0</v>
      </c>
      <c r="H12" s="65">
        <v>0</v>
      </c>
      <c r="I12" s="364">
        <v>0</v>
      </c>
    </row>
    <row r="13" spans="1:9" ht="20.100000000000001" customHeight="1">
      <c r="A13" s="233" t="s">
        <v>906</v>
      </c>
      <c r="B13" s="63" t="s">
        <v>107</v>
      </c>
      <c r="C13" s="333">
        <v>177223028.52000001</v>
      </c>
      <c r="D13" s="155">
        <v>152486893.02000001</v>
      </c>
      <c r="E13" s="234">
        <v>86</v>
      </c>
      <c r="F13" s="64">
        <v>35828660.170000017</v>
      </c>
      <c r="G13" s="157">
        <v>27660113.280000016</v>
      </c>
      <c r="H13" s="65">
        <v>77.2</v>
      </c>
      <c r="I13" s="364">
        <v>18.100000000000001</v>
      </c>
    </row>
    <row r="14" spans="1:9" ht="20.100000000000001" customHeight="1">
      <c r="A14" s="233" t="s">
        <v>907</v>
      </c>
      <c r="B14" s="63" t="s">
        <v>108</v>
      </c>
      <c r="C14" s="333">
        <v>19989234.359999999</v>
      </c>
      <c r="D14" s="155">
        <v>14350153.890000001</v>
      </c>
      <c r="E14" s="234">
        <v>71.8</v>
      </c>
      <c r="F14" s="64">
        <v>683088</v>
      </c>
      <c r="G14" s="157">
        <v>574117.19000000134</v>
      </c>
      <c r="H14" s="65">
        <v>84</v>
      </c>
      <c r="I14" s="364">
        <v>4</v>
      </c>
    </row>
    <row r="15" spans="1:9" ht="20.100000000000001" customHeight="1">
      <c r="A15" s="233" t="s">
        <v>909</v>
      </c>
      <c r="B15" s="63" t="s">
        <v>109</v>
      </c>
      <c r="C15" s="333">
        <v>42181687.509999998</v>
      </c>
      <c r="D15" s="155">
        <v>29470416.649999999</v>
      </c>
      <c r="E15" s="234">
        <v>69.900000000000006</v>
      </c>
      <c r="F15" s="64">
        <v>6030148.2699999958</v>
      </c>
      <c r="G15" s="157">
        <v>3583580.9799999967</v>
      </c>
      <c r="H15" s="65">
        <v>59.4</v>
      </c>
      <c r="I15" s="364">
        <v>12.2</v>
      </c>
    </row>
    <row r="16" spans="1:9" ht="27">
      <c r="A16" s="233" t="s">
        <v>914</v>
      </c>
      <c r="B16" s="63" t="s">
        <v>112</v>
      </c>
      <c r="C16" s="333">
        <v>4323433.5199999996</v>
      </c>
      <c r="D16" s="155">
        <v>2687232.24</v>
      </c>
      <c r="E16" s="234">
        <v>62.2</v>
      </c>
      <c r="F16" s="64">
        <v>2480033.7099999995</v>
      </c>
      <c r="G16" s="157">
        <v>1902047.1700000004</v>
      </c>
      <c r="H16" s="65">
        <v>76.7</v>
      </c>
      <c r="I16" s="364">
        <v>70.8</v>
      </c>
    </row>
    <row r="17" spans="1:9" ht="20.100000000000001" customHeight="1">
      <c r="A17" s="233" t="s">
        <v>918</v>
      </c>
      <c r="B17" s="63" t="s">
        <v>114</v>
      </c>
      <c r="C17" s="333">
        <v>7414990.7199999997</v>
      </c>
      <c r="D17" s="155">
        <v>6101256.9100000001</v>
      </c>
      <c r="E17" s="234">
        <v>82.3</v>
      </c>
      <c r="F17" s="64">
        <v>1675327.38</v>
      </c>
      <c r="G17" s="157">
        <v>1730066.5600000005</v>
      </c>
      <c r="H17" s="65">
        <v>103.3</v>
      </c>
      <c r="I17" s="364">
        <v>28.4</v>
      </c>
    </row>
    <row r="18" spans="1:9" ht="20.100000000000001" customHeight="1">
      <c r="A18" s="233" t="s">
        <v>919</v>
      </c>
      <c r="B18" s="63" t="s">
        <v>115</v>
      </c>
      <c r="C18" s="333">
        <v>457860845.31999999</v>
      </c>
      <c r="D18" s="155">
        <v>341515089</v>
      </c>
      <c r="E18" s="234">
        <v>74.599999999999994</v>
      </c>
      <c r="F18" s="64">
        <v>326901502.20999998</v>
      </c>
      <c r="G18" s="157">
        <v>254417534.31</v>
      </c>
      <c r="H18" s="65">
        <v>77.8</v>
      </c>
      <c r="I18" s="364">
        <v>74.5</v>
      </c>
    </row>
    <row r="19" spans="1:9" ht="20.100000000000001" customHeight="1">
      <c r="A19" s="233" t="s">
        <v>921</v>
      </c>
      <c r="B19" s="63" t="s">
        <v>116</v>
      </c>
      <c r="C19" s="333">
        <v>33674527.490000002</v>
      </c>
      <c r="D19" s="155">
        <v>16586632.6</v>
      </c>
      <c r="E19" s="234">
        <v>49.3</v>
      </c>
      <c r="F19" s="64">
        <v>10064049.030000001</v>
      </c>
      <c r="G19" s="157">
        <v>3968424.51</v>
      </c>
      <c r="H19" s="65">
        <v>39.4</v>
      </c>
      <c r="I19" s="364">
        <v>23.9</v>
      </c>
    </row>
    <row r="20" spans="1:9" ht="20.100000000000001" customHeight="1">
      <c r="A20" s="233" t="s">
        <v>922</v>
      </c>
      <c r="B20" s="63" t="s">
        <v>117</v>
      </c>
      <c r="C20" s="333">
        <v>112730411.67</v>
      </c>
      <c r="D20" s="155">
        <v>97668673.019999996</v>
      </c>
      <c r="E20" s="234">
        <v>86.6</v>
      </c>
      <c r="F20" s="64">
        <v>89058775.460000008</v>
      </c>
      <c r="G20" s="157">
        <v>79329402.829999998</v>
      </c>
      <c r="H20" s="65">
        <v>89.1</v>
      </c>
      <c r="I20" s="364">
        <v>81.2</v>
      </c>
    </row>
    <row r="21" spans="1:9" ht="27">
      <c r="A21" s="233" t="s">
        <v>923</v>
      </c>
      <c r="B21" s="63" t="s">
        <v>118</v>
      </c>
      <c r="C21" s="333">
        <v>144716868.63999999</v>
      </c>
      <c r="D21" s="155">
        <v>120200313.34</v>
      </c>
      <c r="E21" s="234">
        <v>83.1</v>
      </c>
      <c r="F21" s="64">
        <v>134349304.73999998</v>
      </c>
      <c r="G21" s="157">
        <v>112761684.48</v>
      </c>
      <c r="H21" s="65">
        <v>83.9</v>
      </c>
      <c r="I21" s="364">
        <v>93.8</v>
      </c>
    </row>
    <row r="22" spans="1:9" ht="20.100000000000001" customHeight="1">
      <c r="A22" s="233" t="s">
        <v>924</v>
      </c>
      <c r="B22" s="63" t="s">
        <v>119</v>
      </c>
      <c r="C22" s="333">
        <v>20097538.52</v>
      </c>
      <c r="D22" s="155">
        <v>13869190.57</v>
      </c>
      <c r="E22" s="234">
        <v>69</v>
      </c>
      <c r="F22" s="64">
        <v>3709353.0299999993</v>
      </c>
      <c r="G22" s="157">
        <v>2987876.26</v>
      </c>
      <c r="H22" s="65">
        <v>80.5</v>
      </c>
      <c r="I22" s="364">
        <v>21.5</v>
      </c>
    </row>
    <row r="23" spans="1:9" ht="20.100000000000001" customHeight="1">
      <c r="A23" s="233" t="s">
        <v>925</v>
      </c>
      <c r="B23" s="63" t="s">
        <v>120</v>
      </c>
      <c r="C23" s="333">
        <v>20375514.420000002</v>
      </c>
      <c r="D23" s="155">
        <v>20251427.350000001</v>
      </c>
      <c r="E23" s="234">
        <v>99.4</v>
      </c>
      <c r="F23" s="64">
        <v>14580554.700000003</v>
      </c>
      <c r="G23" s="157">
        <v>14691996.930000002</v>
      </c>
      <c r="H23" s="65">
        <v>100.8</v>
      </c>
      <c r="I23" s="364">
        <v>72.5</v>
      </c>
    </row>
    <row r="24" spans="1:9" ht="27">
      <c r="A24" s="233" t="s">
        <v>926</v>
      </c>
      <c r="B24" s="63" t="s">
        <v>121</v>
      </c>
      <c r="C24" s="333">
        <v>33262081.120000001</v>
      </c>
      <c r="D24" s="155">
        <v>23533422.48</v>
      </c>
      <c r="E24" s="234">
        <v>70.8</v>
      </c>
      <c r="F24" s="64">
        <v>4756393.2300000004</v>
      </c>
      <c r="G24" s="157">
        <v>2915879.3000000007</v>
      </c>
      <c r="H24" s="65">
        <v>61.3</v>
      </c>
      <c r="I24" s="364">
        <v>12.4</v>
      </c>
    </row>
    <row r="25" spans="1:9" ht="27">
      <c r="A25" s="233" t="s">
        <v>927</v>
      </c>
      <c r="B25" s="63" t="s">
        <v>122</v>
      </c>
      <c r="C25" s="333">
        <v>23340714.23</v>
      </c>
      <c r="D25" s="155">
        <v>5883587.6500000004</v>
      </c>
      <c r="E25" s="234">
        <v>25.2</v>
      </c>
      <c r="F25" s="64">
        <v>3755473.1099999994</v>
      </c>
      <c r="G25" s="157">
        <v>516501.02000000048</v>
      </c>
      <c r="H25" s="65">
        <v>13.8</v>
      </c>
      <c r="I25" s="364">
        <v>8.8000000000000007</v>
      </c>
    </row>
    <row r="26" spans="1:9" ht="20.100000000000001" customHeight="1">
      <c r="A26" s="235" t="s">
        <v>929</v>
      </c>
      <c r="B26" s="295" t="s">
        <v>124</v>
      </c>
      <c r="C26" s="335">
        <v>2497275.2599999998</v>
      </c>
      <c r="D26" s="149">
        <v>2523032.92</v>
      </c>
      <c r="E26" s="238">
        <v>101</v>
      </c>
      <c r="F26" s="329">
        <v>81302.189999999944</v>
      </c>
      <c r="G26" s="130">
        <v>140145.79000000004</v>
      </c>
      <c r="H26" s="377">
        <v>172.4</v>
      </c>
      <c r="I26" s="365">
        <v>5.6</v>
      </c>
    </row>
    <row r="28" spans="1:9" ht="13.5">
      <c r="A28" s="138" t="s">
        <v>1158</v>
      </c>
      <c r="B28" s="137"/>
      <c r="C28" s="137"/>
      <c r="D28" s="137"/>
      <c r="E28" s="137"/>
      <c r="F28" s="137"/>
      <c r="G28" s="137"/>
      <c r="H28" s="137"/>
      <c r="I28" s="137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63" right="0.7" top="0.75" bottom="0.75" header="0.3" footer="0.3"/>
  <pageSetup paperSize="9" scale="91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showGridLines="0" workbookViewId="0">
      <selection activeCell="M10" sqref="M10"/>
    </sheetView>
  </sheetViews>
  <sheetFormatPr defaultColWidth="9.140625" defaultRowHeight="12.75"/>
  <cols>
    <col min="1" max="1" width="5.5703125" style="21" customWidth="1"/>
    <col min="2" max="2" width="25.7109375" style="21" customWidth="1"/>
    <col min="3" max="4" width="11.7109375" style="21" bestFit="1" customWidth="1"/>
    <col min="5" max="5" width="6.5703125" style="21" bestFit="1" customWidth="1"/>
    <col min="6" max="7" width="11.7109375" style="21" bestFit="1" customWidth="1"/>
    <col min="8" max="8" width="6.5703125" style="21" bestFit="1" customWidth="1"/>
    <col min="9" max="16384" width="9.140625" style="21"/>
  </cols>
  <sheetData>
    <row r="1" spans="1:9" ht="36.75" customHeight="1">
      <c r="A1" s="1797" t="s">
        <v>953</v>
      </c>
      <c r="B1" s="1797"/>
      <c r="C1" s="1797"/>
      <c r="D1" s="1797"/>
      <c r="E1" s="1797"/>
      <c r="F1" s="1797"/>
      <c r="G1" s="1797"/>
      <c r="H1" s="1797"/>
      <c r="I1" s="1797"/>
    </row>
    <row r="2" spans="1:9" ht="15.7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00"/>
      <c r="B5" s="180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21" customHeight="1">
      <c r="A7" s="348"/>
      <c r="B7" s="76" t="s">
        <v>933</v>
      </c>
      <c r="C7" s="331">
        <v>3681428808.25</v>
      </c>
      <c r="D7" s="158">
        <v>3587177716.4099998</v>
      </c>
      <c r="E7" s="232">
        <v>97.4</v>
      </c>
      <c r="F7" s="159">
        <v>3534038312.5</v>
      </c>
      <c r="G7" s="158">
        <v>3506257091.2999997</v>
      </c>
      <c r="H7" s="51">
        <v>99.2</v>
      </c>
      <c r="I7" s="363">
        <v>97.7</v>
      </c>
    </row>
    <row r="8" spans="1:9" ht="20.100000000000001" customHeight="1">
      <c r="A8" s="233" t="s">
        <v>895</v>
      </c>
      <c r="B8" s="63" t="s">
        <v>99</v>
      </c>
      <c r="C8" s="333">
        <v>10348334.27</v>
      </c>
      <c r="D8" s="155">
        <v>9163357.1799999997</v>
      </c>
      <c r="E8" s="234">
        <v>88.5</v>
      </c>
      <c r="F8" s="64">
        <v>6667184.2699999996</v>
      </c>
      <c r="G8" s="157">
        <v>6528051.0199999996</v>
      </c>
      <c r="H8" s="65">
        <v>97.9</v>
      </c>
      <c r="I8" s="364">
        <v>71.2</v>
      </c>
    </row>
    <row r="9" spans="1:9" ht="20.100000000000001" customHeight="1">
      <c r="A9" s="233" t="s">
        <v>896</v>
      </c>
      <c r="B9" s="63" t="s">
        <v>100</v>
      </c>
      <c r="C9" s="333">
        <v>9267814.0700000003</v>
      </c>
      <c r="D9" s="155">
        <v>6982326.8099999996</v>
      </c>
      <c r="E9" s="234">
        <v>75.3</v>
      </c>
      <c r="F9" s="64">
        <v>9267814.0700000003</v>
      </c>
      <c r="G9" s="157">
        <v>6982326.8099999996</v>
      </c>
      <c r="H9" s="65">
        <v>75.3</v>
      </c>
      <c r="I9" s="364">
        <v>100</v>
      </c>
    </row>
    <row r="10" spans="1:9" ht="20.100000000000001" customHeight="1">
      <c r="A10" s="233" t="s">
        <v>898</v>
      </c>
      <c r="B10" s="63" t="s">
        <v>126</v>
      </c>
      <c r="C10" s="333">
        <v>188053</v>
      </c>
      <c r="D10" s="155">
        <v>188052.41</v>
      </c>
      <c r="E10" s="234">
        <v>100</v>
      </c>
      <c r="F10" s="64">
        <v>188053</v>
      </c>
      <c r="G10" s="157">
        <v>188052.41</v>
      </c>
      <c r="H10" s="65">
        <v>100</v>
      </c>
      <c r="I10" s="364">
        <v>100</v>
      </c>
    </row>
    <row r="11" spans="1:9" ht="20.100000000000001" customHeight="1">
      <c r="A11" s="233" t="s">
        <v>903</v>
      </c>
      <c r="B11" s="63" t="s">
        <v>104</v>
      </c>
      <c r="C11" s="333">
        <v>1230364</v>
      </c>
      <c r="D11" s="155">
        <v>1218165.07</v>
      </c>
      <c r="E11" s="234">
        <v>99</v>
      </c>
      <c r="F11" s="64">
        <v>1230364</v>
      </c>
      <c r="G11" s="157">
        <v>1218165.07</v>
      </c>
      <c r="H11" s="65">
        <v>99</v>
      </c>
      <c r="I11" s="364">
        <v>100</v>
      </c>
    </row>
    <row r="12" spans="1:9" ht="20.100000000000001" customHeight="1">
      <c r="A12" s="233" t="s">
        <v>905</v>
      </c>
      <c r="B12" s="63" t="s">
        <v>106</v>
      </c>
      <c r="C12" s="333">
        <v>176100378.47</v>
      </c>
      <c r="D12" s="155">
        <v>110033241.23999999</v>
      </c>
      <c r="E12" s="234">
        <v>62.5</v>
      </c>
      <c r="F12" s="64">
        <v>115953115.47</v>
      </c>
      <c r="G12" s="157">
        <v>109886681.66</v>
      </c>
      <c r="H12" s="65">
        <v>94.8</v>
      </c>
      <c r="I12" s="364">
        <v>99.9</v>
      </c>
    </row>
    <row r="13" spans="1:9" ht="20.100000000000001" customHeight="1">
      <c r="A13" s="233" t="s">
        <v>906</v>
      </c>
      <c r="B13" s="63" t="s">
        <v>107</v>
      </c>
      <c r="C13" s="333">
        <v>273100959.25999999</v>
      </c>
      <c r="D13" s="155">
        <v>270654507.80000001</v>
      </c>
      <c r="E13" s="234">
        <v>99.1</v>
      </c>
      <c r="F13" s="64">
        <v>270630500.56999999</v>
      </c>
      <c r="G13" s="157">
        <v>268563148.50999999</v>
      </c>
      <c r="H13" s="65">
        <v>99.2</v>
      </c>
      <c r="I13" s="364">
        <v>99.2</v>
      </c>
    </row>
    <row r="14" spans="1:9" ht="20.100000000000001" customHeight="1">
      <c r="A14" s="233" t="s">
        <v>909</v>
      </c>
      <c r="B14" s="63" t="s">
        <v>109</v>
      </c>
      <c r="C14" s="333">
        <v>30249474.34</v>
      </c>
      <c r="D14" s="155">
        <v>29278908.940000001</v>
      </c>
      <c r="E14" s="234">
        <v>96.8</v>
      </c>
      <c r="F14" s="64">
        <v>30249474.34</v>
      </c>
      <c r="G14" s="157">
        <v>29278908.940000001</v>
      </c>
      <c r="H14" s="65">
        <v>96.8</v>
      </c>
      <c r="I14" s="364">
        <v>100</v>
      </c>
    </row>
    <row r="15" spans="1:9" ht="20.100000000000001" customHeight="1">
      <c r="A15" s="233" t="s">
        <v>911</v>
      </c>
      <c r="B15" s="63" t="s">
        <v>111</v>
      </c>
      <c r="C15" s="333">
        <v>653284.88</v>
      </c>
      <c r="D15" s="155">
        <v>377735.12</v>
      </c>
      <c r="E15" s="234">
        <v>57.8</v>
      </c>
      <c r="F15" s="64">
        <v>653284.88</v>
      </c>
      <c r="G15" s="157">
        <v>377735.12</v>
      </c>
      <c r="H15" s="65">
        <v>57.8</v>
      </c>
      <c r="I15" s="364">
        <v>100</v>
      </c>
    </row>
    <row r="16" spans="1:9" ht="27">
      <c r="A16" s="233" t="s">
        <v>914</v>
      </c>
      <c r="B16" s="63" t="s">
        <v>112</v>
      </c>
      <c r="C16" s="333">
        <v>1784111104.3599999</v>
      </c>
      <c r="D16" s="155">
        <v>1781082294.9400001</v>
      </c>
      <c r="E16" s="234">
        <v>99.8</v>
      </c>
      <c r="F16" s="64">
        <v>1731090611.3599999</v>
      </c>
      <c r="G16" s="157">
        <v>1730601715.8400002</v>
      </c>
      <c r="H16" s="65">
        <v>100</v>
      </c>
      <c r="I16" s="364">
        <v>97.2</v>
      </c>
    </row>
    <row r="17" spans="1:9" ht="20.100000000000001" customHeight="1">
      <c r="A17" s="233" t="s">
        <v>915</v>
      </c>
      <c r="B17" s="63" t="s">
        <v>113</v>
      </c>
      <c r="C17" s="333">
        <v>69347897</v>
      </c>
      <c r="D17" s="155">
        <v>68759493.219999999</v>
      </c>
      <c r="E17" s="234">
        <v>99.2</v>
      </c>
      <c r="F17" s="64">
        <v>69347897</v>
      </c>
      <c r="G17" s="157">
        <v>68759493.219999999</v>
      </c>
      <c r="H17" s="65">
        <v>99.2</v>
      </c>
      <c r="I17" s="364">
        <v>100</v>
      </c>
    </row>
    <row r="18" spans="1:9" ht="20.100000000000001" customHeight="1">
      <c r="A18" s="233" t="s">
        <v>918</v>
      </c>
      <c r="B18" s="63" t="s">
        <v>114</v>
      </c>
      <c r="C18" s="333">
        <v>2183239.2200000002</v>
      </c>
      <c r="D18" s="155">
        <v>2183233.4900000002</v>
      </c>
      <c r="E18" s="234">
        <v>100</v>
      </c>
      <c r="F18" s="64">
        <v>2183239.2200000002</v>
      </c>
      <c r="G18" s="157">
        <v>2183233.4900000002</v>
      </c>
      <c r="H18" s="65">
        <v>100</v>
      </c>
      <c r="I18" s="364">
        <v>100</v>
      </c>
    </row>
    <row r="19" spans="1:9" ht="20.100000000000001" customHeight="1">
      <c r="A19" s="233" t="s">
        <v>919</v>
      </c>
      <c r="B19" s="63" t="s">
        <v>115</v>
      </c>
      <c r="C19" s="333">
        <v>8216775.6900000004</v>
      </c>
      <c r="D19" s="155">
        <v>7476255.3200000003</v>
      </c>
      <c r="E19" s="234">
        <v>91</v>
      </c>
      <c r="F19" s="64">
        <v>8216775.6900000004</v>
      </c>
      <c r="G19" s="157">
        <v>7476255.3200000003</v>
      </c>
      <c r="H19" s="65">
        <v>91</v>
      </c>
      <c r="I19" s="364">
        <v>100</v>
      </c>
    </row>
    <row r="20" spans="1:9" ht="20.100000000000001" customHeight="1">
      <c r="A20" s="233" t="s">
        <v>921</v>
      </c>
      <c r="B20" s="63" t="s">
        <v>116</v>
      </c>
      <c r="C20" s="333">
        <v>738355007.24000001</v>
      </c>
      <c r="D20" s="155">
        <v>727506654.53999996</v>
      </c>
      <c r="E20" s="234">
        <v>98.5</v>
      </c>
      <c r="F20" s="64">
        <v>722469328.24000001</v>
      </c>
      <c r="G20" s="157">
        <v>713470853.26999998</v>
      </c>
      <c r="H20" s="65">
        <v>98.8</v>
      </c>
      <c r="I20" s="364">
        <v>98.1</v>
      </c>
    </row>
    <row r="21" spans="1:9" ht="20.100000000000001" customHeight="1">
      <c r="A21" s="233" t="s">
        <v>922</v>
      </c>
      <c r="B21" s="63" t="s">
        <v>117</v>
      </c>
      <c r="C21" s="333">
        <v>208807016.81</v>
      </c>
      <c r="D21" s="155">
        <v>206826378.52000001</v>
      </c>
      <c r="E21" s="234">
        <v>99.1</v>
      </c>
      <c r="F21" s="64">
        <v>196863258.81</v>
      </c>
      <c r="G21" s="157">
        <v>195537052.87</v>
      </c>
      <c r="H21" s="65">
        <v>99.3</v>
      </c>
      <c r="I21" s="364">
        <v>94.5</v>
      </c>
    </row>
    <row r="22" spans="1:9" ht="27">
      <c r="A22" s="233" t="s">
        <v>923</v>
      </c>
      <c r="B22" s="63" t="s">
        <v>118</v>
      </c>
      <c r="C22" s="333">
        <v>125426807.65000001</v>
      </c>
      <c r="D22" s="155">
        <v>124374622.64</v>
      </c>
      <c r="E22" s="234">
        <v>99.2</v>
      </c>
      <c r="F22" s="64">
        <v>125185113.59</v>
      </c>
      <c r="G22" s="157">
        <v>124132928.58</v>
      </c>
      <c r="H22" s="65">
        <v>99.2</v>
      </c>
      <c r="I22" s="364">
        <v>99.8</v>
      </c>
    </row>
    <row r="23" spans="1:9" ht="20.100000000000001" customHeight="1">
      <c r="A23" s="233" t="s">
        <v>925</v>
      </c>
      <c r="B23" s="63" t="s">
        <v>120</v>
      </c>
      <c r="C23" s="333">
        <v>243792297.99000001</v>
      </c>
      <c r="D23" s="155">
        <v>241051611.15000001</v>
      </c>
      <c r="E23" s="234">
        <v>98.9</v>
      </c>
      <c r="F23" s="64">
        <v>243792297.99000001</v>
      </c>
      <c r="G23" s="157">
        <v>241051611.15000001</v>
      </c>
      <c r="H23" s="65">
        <v>98.9</v>
      </c>
      <c r="I23" s="364">
        <v>100</v>
      </c>
    </row>
    <row r="24" spans="1:9" ht="27">
      <c r="A24" s="235" t="s">
        <v>926</v>
      </c>
      <c r="B24" s="295" t="s">
        <v>121</v>
      </c>
      <c r="C24" s="335">
        <v>50000</v>
      </c>
      <c r="D24" s="149">
        <v>20878.02</v>
      </c>
      <c r="E24" s="238">
        <v>41.8</v>
      </c>
      <c r="F24" s="329">
        <v>50000</v>
      </c>
      <c r="G24" s="130">
        <v>20878.02</v>
      </c>
      <c r="H24" s="377">
        <v>41.8</v>
      </c>
      <c r="I24" s="365">
        <v>100</v>
      </c>
    </row>
    <row r="26" spans="1:9" ht="13.5">
      <c r="A26" s="140" t="s">
        <v>1158</v>
      </c>
      <c r="B26" s="139"/>
      <c r="C26" s="139"/>
      <c r="D26" s="139"/>
      <c r="E26" s="139"/>
      <c r="F26" s="139"/>
      <c r="G26" s="139"/>
      <c r="H26" s="139"/>
      <c r="I26" s="139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75" bottom="0.75" header="0.3" footer="0.3"/>
  <pageSetup paperSize="9" scale="88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showGridLines="0" workbookViewId="0">
      <selection activeCell="L12" sqref="L12"/>
    </sheetView>
  </sheetViews>
  <sheetFormatPr defaultColWidth="9.140625" defaultRowHeight="12.75"/>
  <cols>
    <col min="1" max="1" width="6.28515625" style="29" customWidth="1"/>
    <col min="2" max="2" width="25.7109375" style="29" customWidth="1"/>
    <col min="3" max="4" width="10.5703125" style="29" bestFit="1" customWidth="1"/>
    <col min="5" max="5" width="6.5703125" style="29" bestFit="1" customWidth="1"/>
    <col min="6" max="7" width="10.5703125" style="29" bestFit="1" customWidth="1"/>
    <col min="8" max="8" width="6.5703125" style="29" bestFit="1" customWidth="1"/>
    <col min="9" max="9" width="10.42578125" style="29" customWidth="1"/>
    <col min="10" max="16384" width="9.140625" style="29"/>
  </cols>
  <sheetData>
    <row r="1" spans="1:9" ht="42.75" customHeight="1">
      <c r="A1" s="1797" t="s">
        <v>954</v>
      </c>
      <c r="B1" s="1797"/>
      <c r="C1" s="1797"/>
      <c r="D1" s="1797"/>
      <c r="E1" s="1797"/>
      <c r="F1" s="1797"/>
      <c r="G1" s="1797"/>
      <c r="H1" s="1797"/>
      <c r="I1" s="1797"/>
    </row>
    <row r="2" spans="1:9" ht="6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24.75" customHeight="1">
      <c r="A7" s="348"/>
      <c r="B7" s="76" t="s">
        <v>933</v>
      </c>
      <c r="C7" s="331">
        <v>913744980.82000005</v>
      </c>
      <c r="D7" s="158">
        <v>871649249.52999997</v>
      </c>
      <c r="E7" s="232">
        <v>95.4</v>
      </c>
      <c r="F7" s="159">
        <v>773196699.69000006</v>
      </c>
      <c r="G7" s="158">
        <v>769574756.15999997</v>
      </c>
      <c r="H7" s="51">
        <v>99.5</v>
      </c>
      <c r="I7" s="363">
        <v>88.3</v>
      </c>
    </row>
    <row r="8" spans="1:9" ht="21" customHeight="1">
      <c r="A8" s="233" t="s">
        <v>895</v>
      </c>
      <c r="B8" s="63" t="s">
        <v>99</v>
      </c>
      <c r="C8" s="333">
        <v>39628</v>
      </c>
      <c r="D8" s="155">
        <v>29054.54</v>
      </c>
      <c r="E8" s="234">
        <v>73.3</v>
      </c>
      <c r="F8" s="64">
        <v>39628</v>
      </c>
      <c r="G8" s="157">
        <v>29054.54</v>
      </c>
      <c r="H8" s="65">
        <v>73.3</v>
      </c>
      <c r="I8" s="364">
        <v>100</v>
      </c>
    </row>
    <row r="9" spans="1:9" ht="20.100000000000001" customHeight="1">
      <c r="A9" s="233" t="s">
        <v>903</v>
      </c>
      <c r="B9" s="63" t="s">
        <v>104</v>
      </c>
      <c r="C9" s="333">
        <v>59583084.479999997</v>
      </c>
      <c r="D9" s="155">
        <v>46188067.850000001</v>
      </c>
      <c r="E9" s="234">
        <v>77.5</v>
      </c>
      <c r="F9" s="64">
        <v>22820529</v>
      </c>
      <c r="G9" s="157">
        <v>21903181.32</v>
      </c>
      <c r="H9" s="65">
        <v>96</v>
      </c>
      <c r="I9" s="364">
        <v>47.4</v>
      </c>
    </row>
    <row r="10" spans="1:9" ht="20.100000000000001" customHeight="1">
      <c r="A10" s="233" t="s">
        <v>905</v>
      </c>
      <c r="B10" s="63" t="s">
        <v>106</v>
      </c>
      <c r="C10" s="333">
        <v>138787</v>
      </c>
      <c r="D10" s="155">
        <v>138787</v>
      </c>
      <c r="E10" s="234">
        <v>100</v>
      </c>
      <c r="F10" s="64">
        <v>0</v>
      </c>
      <c r="G10" s="157">
        <v>0</v>
      </c>
      <c r="H10" s="84" t="s">
        <v>913</v>
      </c>
      <c r="I10" s="364">
        <v>0</v>
      </c>
    </row>
    <row r="11" spans="1:9" ht="20.100000000000001" customHeight="1">
      <c r="A11" s="233" t="s">
        <v>909</v>
      </c>
      <c r="B11" s="63" t="s">
        <v>109</v>
      </c>
      <c r="C11" s="333">
        <v>30000</v>
      </c>
      <c r="D11" s="155">
        <v>0</v>
      </c>
      <c r="E11" s="234">
        <v>0</v>
      </c>
      <c r="F11" s="64">
        <v>30000</v>
      </c>
      <c r="G11" s="157">
        <v>0</v>
      </c>
      <c r="H11" s="65">
        <v>0</v>
      </c>
      <c r="I11" s="656" t="s">
        <v>913</v>
      </c>
    </row>
    <row r="12" spans="1:9" ht="20.100000000000001" customHeight="1">
      <c r="A12" s="233" t="s">
        <v>911</v>
      </c>
      <c r="B12" s="63" t="s">
        <v>111</v>
      </c>
      <c r="C12" s="333">
        <v>3751258</v>
      </c>
      <c r="D12" s="155">
        <v>3701972.52</v>
      </c>
      <c r="E12" s="234">
        <v>98.7</v>
      </c>
      <c r="F12" s="64">
        <v>1695392</v>
      </c>
      <c r="G12" s="157">
        <v>1658496.16</v>
      </c>
      <c r="H12" s="65">
        <v>97.8</v>
      </c>
      <c r="I12" s="364">
        <v>44.8</v>
      </c>
    </row>
    <row r="13" spans="1:9" ht="27">
      <c r="A13" s="233" t="s">
        <v>914</v>
      </c>
      <c r="B13" s="63" t="s">
        <v>112</v>
      </c>
      <c r="C13" s="333">
        <v>100000</v>
      </c>
      <c r="D13" s="155">
        <v>100000</v>
      </c>
      <c r="E13" s="234">
        <v>100</v>
      </c>
      <c r="F13" s="64">
        <v>0</v>
      </c>
      <c r="G13" s="157">
        <v>0</v>
      </c>
      <c r="H13" s="84" t="s">
        <v>913</v>
      </c>
      <c r="I13" s="364">
        <v>0</v>
      </c>
    </row>
    <row r="14" spans="1:9" ht="20.100000000000001" customHeight="1">
      <c r="A14" s="233" t="s">
        <v>919</v>
      </c>
      <c r="B14" s="63" t="s">
        <v>115</v>
      </c>
      <c r="C14" s="333">
        <v>26363162.690000001</v>
      </c>
      <c r="D14" s="155">
        <v>25286759.989999998</v>
      </c>
      <c r="E14" s="234">
        <v>95.9</v>
      </c>
      <c r="F14" s="64">
        <v>23899928.690000001</v>
      </c>
      <c r="G14" s="157">
        <v>23267594.419999998</v>
      </c>
      <c r="H14" s="65">
        <v>97.4</v>
      </c>
      <c r="I14" s="364">
        <v>92</v>
      </c>
    </row>
    <row r="15" spans="1:9" ht="20.100000000000001" customHeight="1">
      <c r="A15" s="233" t="s">
        <v>921</v>
      </c>
      <c r="B15" s="63" t="s">
        <v>116</v>
      </c>
      <c r="C15" s="333">
        <v>92455779.870000005</v>
      </c>
      <c r="D15" s="155">
        <v>67765466.879999995</v>
      </c>
      <c r="E15" s="234">
        <v>73.3</v>
      </c>
      <c r="F15" s="64">
        <v>912247.73000000417</v>
      </c>
      <c r="G15" s="157">
        <v>884919.68999999762</v>
      </c>
      <c r="H15" s="65">
        <v>97</v>
      </c>
      <c r="I15" s="364">
        <v>1.3</v>
      </c>
    </row>
    <row r="16" spans="1:9" ht="20.100000000000001" customHeight="1">
      <c r="A16" s="233" t="s">
        <v>922</v>
      </c>
      <c r="B16" s="63" t="s">
        <v>117</v>
      </c>
      <c r="C16" s="333">
        <v>726301611.87</v>
      </c>
      <c r="D16" s="155">
        <v>723529280.08000004</v>
      </c>
      <c r="E16" s="234">
        <v>99.6</v>
      </c>
      <c r="F16" s="64">
        <v>723105706.36000001</v>
      </c>
      <c r="G16" s="157">
        <v>721209892.7700001</v>
      </c>
      <c r="H16" s="65">
        <v>99.7</v>
      </c>
      <c r="I16" s="364">
        <v>99.7</v>
      </c>
    </row>
    <row r="17" spans="1:9" ht="27">
      <c r="A17" s="233" t="s">
        <v>923</v>
      </c>
      <c r="B17" s="63" t="s">
        <v>118</v>
      </c>
      <c r="C17" s="333">
        <v>101250</v>
      </c>
      <c r="D17" s="155">
        <v>99599.35</v>
      </c>
      <c r="E17" s="234">
        <v>98.4</v>
      </c>
      <c r="F17" s="64">
        <v>101250</v>
      </c>
      <c r="G17" s="157">
        <v>99599.35</v>
      </c>
      <c r="H17" s="65">
        <v>98.4</v>
      </c>
      <c r="I17" s="364">
        <v>100</v>
      </c>
    </row>
    <row r="18" spans="1:9" ht="20.100000000000001" customHeight="1">
      <c r="A18" s="233" t="s">
        <v>924</v>
      </c>
      <c r="B18" s="63" t="s">
        <v>119</v>
      </c>
      <c r="C18" s="333">
        <v>2715655</v>
      </c>
      <c r="D18" s="155">
        <v>2645655</v>
      </c>
      <c r="E18" s="234">
        <v>97.4</v>
      </c>
      <c r="F18" s="64">
        <v>205000</v>
      </c>
      <c r="G18" s="157">
        <v>135000</v>
      </c>
      <c r="H18" s="65">
        <v>65.900000000000006</v>
      </c>
      <c r="I18" s="364">
        <v>5.0999999999999996</v>
      </c>
    </row>
    <row r="19" spans="1:9" ht="20.100000000000001" customHeight="1">
      <c r="A19" s="233" t="s">
        <v>925</v>
      </c>
      <c r="B19" s="63" t="s">
        <v>120</v>
      </c>
      <c r="C19" s="333">
        <v>1331255.9099999999</v>
      </c>
      <c r="D19" s="155">
        <v>1331255.2</v>
      </c>
      <c r="E19" s="234">
        <v>100</v>
      </c>
      <c r="F19" s="64">
        <v>307017.90999999992</v>
      </c>
      <c r="G19" s="157">
        <v>307017.90999999992</v>
      </c>
      <c r="H19" s="65">
        <v>100</v>
      </c>
      <c r="I19" s="364">
        <v>23.1</v>
      </c>
    </row>
    <row r="20" spans="1:9" ht="27">
      <c r="A20" s="233" t="s">
        <v>927</v>
      </c>
      <c r="B20" s="63" t="s">
        <v>122</v>
      </c>
      <c r="C20" s="333">
        <v>180000</v>
      </c>
      <c r="D20" s="155">
        <v>180000</v>
      </c>
      <c r="E20" s="234">
        <v>100</v>
      </c>
      <c r="F20" s="64">
        <v>80000</v>
      </c>
      <c r="G20" s="157">
        <v>80000</v>
      </c>
      <c r="H20" s="65">
        <v>100</v>
      </c>
      <c r="I20" s="364">
        <v>44.4</v>
      </c>
    </row>
    <row r="21" spans="1:9" ht="20.100000000000001" customHeight="1">
      <c r="A21" s="235" t="s">
        <v>929</v>
      </c>
      <c r="B21" s="295" t="s">
        <v>124</v>
      </c>
      <c r="C21" s="335">
        <v>653508</v>
      </c>
      <c r="D21" s="149">
        <v>653351.12</v>
      </c>
      <c r="E21" s="238">
        <v>100</v>
      </c>
      <c r="F21" s="329">
        <v>0</v>
      </c>
      <c r="G21" s="130">
        <v>0</v>
      </c>
      <c r="H21" s="384" t="s">
        <v>913</v>
      </c>
      <c r="I21" s="365">
        <v>0</v>
      </c>
    </row>
    <row r="23" spans="1:9" ht="13.5">
      <c r="A23" s="142" t="s">
        <v>1158</v>
      </c>
      <c r="B23" s="141"/>
      <c r="C23" s="141"/>
      <c r="D23" s="141"/>
      <c r="E23" s="141"/>
      <c r="F23" s="141"/>
      <c r="G23" s="141"/>
      <c r="H23" s="141"/>
      <c r="I23" s="141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86" bottom="0.75" header="0.3" footer="0.3"/>
  <pageSetup paperSize="9" scale="91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rgb="FF92D050"/>
  </sheetPr>
  <dimension ref="A2:M326"/>
  <sheetViews>
    <sheetView showGridLines="0" workbookViewId="0">
      <selection activeCell="H21" sqref="H21"/>
    </sheetView>
  </sheetViews>
  <sheetFormatPr defaultColWidth="8.85546875" defaultRowHeight="12.75"/>
  <cols>
    <col min="1" max="1" width="4.7109375" style="12" customWidth="1"/>
    <col min="2" max="2" width="5" style="12" customWidth="1"/>
    <col min="3" max="3" width="17.42578125" style="12" customWidth="1"/>
    <col min="4" max="4" width="12.5703125" style="12" customWidth="1"/>
    <col min="5" max="5" width="14.140625" style="12" customWidth="1"/>
    <col min="6" max="6" width="11.7109375" style="12" bestFit="1" customWidth="1"/>
    <col min="7" max="7" width="12.28515625" style="12" customWidth="1"/>
    <col min="8" max="8" width="14.7109375" style="12" customWidth="1"/>
    <col min="9" max="9" width="11.7109375" style="12" bestFit="1" customWidth="1"/>
    <col min="10" max="10" width="15.85546875" style="12" customWidth="1"/>
    <col min="11" max="16384" width="8.85546875" style="12"/>
  </cols>
  <sheetData>
    <row r="2" spans="1:13">
      <c r="A2" s="1889" t="s">
        <v>1067</v>
      </c>
      <c r="B2" s="1889"/>
      <c r="C2" s="1889"/>
      <c r="D2" s="1889"/>
      <c r="E2" s="1889"/>
      <c r="F2" s="1889"/>
      <c r="G2" s="1889"/>
      <c r="H2" s="1889"/>
      <c r="I2" s="1889"/>
      <c r="J2" s="1889"/>
      <c r="K2" s="1889"/>
      <c r="L2" s="1889"/>
      <c r="M2" s="1889"/>
    </row>
    <row r="3" spans="1:13" ht="13.5">
      <c r="A3" s="181"/>
      <c r="B3" s="181"/>
      <c r="C3" s="179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 ht="13.5">
      <c r="A4" s="1899" t="s">
        <v>41</v>
      </c>
      <c r="B4" s="1894" t="s">
        <v>67</v>
      </c>
      <c r="C4" s="2261" t="s">
        <v>40</v>
      </c>
      <c r="D4" s="2160" t="s">
        <v>983</v>
      </c>
      <c r="E4" s="2160" t="s">
        <v>984</v>
      </c>
      <c r="F4" s="2129" t="s">
        <v>21</v>
      </c>
      <c r="G4" s="2129"/>
      <c r="H4" s="2129"/>
      <c r="I4" s="2129"/>
      <c r="J4" s="2258"/>
      <c r="K4" s="1899" t="s">
        <v>979</v>
      </c>
      <c r="L4" s="2129"/>
      <c r="M4" s="2130"/>
    </row>
    <row r="5" spans="1:13" s="1" customFormat="1" ht="13.5">
      <c r="A5" s="1900"/>
      <c r="B5" s="2260"/>
      <c r="C5" s="2139"/>
      <c r="D5" s="2161"/>
      <c r="E5" s="2161"/>
      <c r="F5" s="2131" t="s">
        <v>739</v>
      </c>
      <c r="G5" s="2136" t="s">
        <v>734</v>
      </c>
      <c r="H5" s="2136"/>
      <c r="I5" s="2136" t="s">
        <v>740</v>
      </c>
      <c r="J5" s="1015" t="s">
        <v>734</v>
      </c>
      <c r="K5" s="1900"/>
      <c r="L5" s="2136"/>
      <c r="M5" s="2167"/>
    </row>
    <row r="6" spans="1:13" s="1" customFormat="1" ht="11.45" customHeight="1">
      <c r="A6" s="1900"/>
      <c r="B6" s="2260"/>
      <c r="C6" s="2139"/>
      <c r="D6" s="2161"/>
      <c r="E6" s="2161"/>
      <c r="F6" s="2131"/>
      <c r="G6" s="2131" t="s">
        <v>1162</v>
      </c>
      <c r="H6" s="2131" t="s">
        <v>980</v>
      </c>
      <c r="I6" s="2136"/>
      <c r="J6" s="1903" t="s">
        <v>981</v>
      </c>
      <c r="K6" s="1900"/>
      <c r="L6" s="2136"/>
      <c r="M6" s="2167"/>
    </row>
    <row r="7" spans="1:13" ht="38.25" customHeight="1">
      <c r="A7" s="1900"/>
      <c r="B7" s="2260"/>
      <c r="C7" s="2139"/>
      <c r="D7" s="2262"/>
      <c r="E7" s="2262"/>
      <c r="F7" s="2132"/>
      <c r="G7" s="2132"/>
      <c r="H7" s="2132"/>
      <c r="I7" s="2137"/>
      <c r="J7" s="2259"/>
      <c r="K7" s="1011" t="s">
        <v>883</v>
      </c>
      <c r="L7" s="1012" t="s">
        <v>1068</v>
      </c>
      <c r="M7" s="1013" t="s">
        <v>1069</v>
      </c>
    </row>
    <row r="8" spans="1:13" s="19" customFormat="1" ht="13.5">
      <c r="A8" s="2128"/>
      <c r="B8" s="2260"/>
      <c r="C8" s="2140"/>
      <c r="D8" s="1062"/>
      <c r="E8" s="2263" t="s">
        <v>885</v>
      </c>
      <c r="F8" s="2256"/>
      <c r="G8" s="2256"/>
      <c r="H8" s="2256"/>
      <c r="I8" s="2256"/>
      <c r="J8" s="2264"/>
      <c r="K8" s="2255" t="s">
        <v>5</v>
      </c>
      <c r="L8" s="2256"/>
      <c r="M8" s="2257"/>
    </row>
    <row r="9" spans="1:13" s="1" customFormat="1">
      <c r="A9" s="398" t="s">
        <v>887</v>
      </c>
      <c r="B9" s="402" t="s">
        <v>888</v>
      </c>
      <c r="C9" s="402" t="s">
        <v>889</v>
      </c>
      <c r="D9" s="402" t="s">
        <v>890</v>
      </c>
      <c r="E9" s="402" t="s">
        <v>891</v>
      </c>
      <c r="F9" s="402" t="s">
        <v>892</v>
      </c>
      <c r="G9" s="402" t="s">
        <v>893</v>
      </c>
      <c r="H9" s="402" t="s">
        <v>894</v>
      </c>
      <c r="I9" s="402" t="s">
        <v>932</v>
      </c>
      <c r="J9" s="402" t="s">
        <v>966</v>
      </c>
      <c r="K9" s="398" t="s">
        <v>967</v>
      </c>
      <c r="L9" s="400" t="s">
        <v>969</v>
      </c>
      <c r="M9" s="402" t="s">
        <v>1070</v>
      </c>
    </row>
    <row r="10" spans="1:13" s="1" customFormat="1" ht="13.5">
      <c r="A10" s="1010"/>
      <c r="B10" s="1061"/>
      <c r="C10" s="1567" t="s">
        <v>933</v>
      </c>
      <c r="D10" s="1063">
        <v>34172719054.970001</v>
      </c>
      <c r="E10" s="1063">
        <v>3648487761.6199999</v>
      </c>
      <c r="F10" s="1063">
        <v>3465091234.98</v>
      </c>
      <c r="G10" s="1063">
        <v>2410390597.6900001</v>
      </c>
      <c r="H10" s="1064">
        <v>6325199.04</v>
      </c>
      <c r="I10" s="1064">
        <v>3465091234.98</v>
      </c>
      <c r="J10" s="1064">
        <v>2410390597.6900001</v>
      </c>
      <c r="K10" s="1065">
        <v>10.7</v>
      </c>
      <c r="L10" s="1066">
        <v>95</v>
      </c>
      <c r="M10" s="1067">
        <v>66.099999999999994</v>
      </c>
    </row>
    <row r="11" spans="1:13" s="1" customFormat="1" ht="13.5">
      <c r="A11" s="1058">
        <v>2</v>
      </c>
      <c r="B11" s="1059">
        <v>1</v>
      </c>
      <c r="C11" s="1060" t="s">
        <v>683</v>
      </c>
      <c r="D11" s="185">
        <v>114046177.02</v>
      </c>
      <c r="E11" s="185">
        <v>16499388.119999999</v>
      </c>
      <c r="F11" s="185">
        <v>13680774.560000001</v>
      </c>
      <c r="G11" s="185">
        <v>9581673.8800000008</v>
      </c>
      <c r="H11" s="186">
        <v>157527.17000000001</v>
      </c>
      <c r="I11" s="186">
        <v>2818613.56</v>
      </c>
      <c r="J11" s="186">
        <v>9581673.8800000008</v>
      </c>
      <c r="K11" s="195">
        <v>14.5</v>
      </c>
      <c r="L11" s="187">
        <v>82.9</v>
      </c>
      <c r="M11" s="390">
        <v>58.1</v>
      </c>
    </row>
    <row r="12" spans="1:13" s="1" customFormat="1" ht="13.5">
      <c r="A12" s="1058">
        <v>2</v>
      </c>
      <c r="B12" s="1059">
        <v>2</v>
      </c>
      <c r="C12" s="1060" t="s">
        <v>682</v>
      </c>
      <c r="D12" s="185">
        <v>105843190.52</v>
      </c>
      <c r="E12" s="185">
        <v>11618806.68</v>
      </c>
      <c r="F12" s="185">
        <v>11596309.98</v>
      </c>
      <c r="G12" s="185">
        <v>8249894.7400000002</v>
      </c>
      <c r="H12" s="186">
        <v>0</v>
      </c>
      <c r="I12" s="186">
        <v>22496.7</v>
      </c>
      <c r="J12" s="186">
        <v>8249894.7400000002</v>
      </c>
      <c r="K12" s="195">
        <v>11</v>
      </c>
      <c r="L12" s="187">
        <v>99.8</v>
      </c>
      <c r="M12" s="390">
        <v>71</v>
      </c>
    </row>
    <row r="13" spans="1:13" s="1" customFormat="1" ht="13.5">
      <c r="A13" s="1058">
        <v>2</v>
      </c>
      <c r="B13" s="1059">
        <v>3</v>
      </c>
      <c r="C13" s="1060" t="s">
        <v>681</v>
      </c>
      <c r="D13" s="185">
        <v>135753981.72</v>
      </c>
      <c r="E13" s="185">
        <v>9116602.8300000001</v>
      </c>
      <c r="F13" s="185">
        <v>9021793.7100000009</v>
      </c>
      <c r="G13" s="185">
        <v>6239298.8499999996</v>
      </c>
      <c r="H13" s="186">
        <v>0</v>
      </c>
      <c r="I13" s="186">
        <v>94809.12</v>
      </c>
      <c r="J13" s="186">
        <v>6239298.8499999996</v>
      </c>
      <c r="K13" s="195">
        <v>6.7</v>
      </c>
      <c r="L13" s="187">
        <v>99</v>
      </c>
      <c r="M13" s="390">
        <v>68.400000000000006</v>
      </c>
    </row>
    <row r="14" spans="1:13" s="1" customFormat="1" ht="13.5">
      <c r="A14" s="1058">
        <v>2</v>
      </c>
      <c r="B14" s="1059">
        <v>4</v>
      </c>
      <c r="C14" s="1060" t="s">
        <v>680</v>
      </c>
      <c r="D14" s="185">
        <v>49790749.859999999</v>
      </c>
      <c r="E14" s="185">
        <v>6627937.9400000004</v>
      </c>
      <c r="F14" s="185">
        <v>6424365.2400000002</v>
      </c>
      <c r="G14" s="185">
        <v>4344206.75</v>
      </c>
      <c r="H14" s="186">
        <v>0</v>
      </c>
      <c r="I14" s="186">
        <v>203572.7</v>
      </c>
      <c r="J14" s="186">
        <v>4344206.75</v>
      </c>
      <c r="K14" s="195">
        <v>13.3</v>
      </c>
      <c r="L14" s="187">
        <v>96.9</v>
      </c>
      <c r="M14" s="390">
        <v>65.5</v>
      </c>
    </row>
    <row r="15" spans="1:13" s="1" customFormat="1" ht="13.5">
      <c r="A15" s="1058">
        <v>2</v>
      </c>
      <c r="B15" s="1059">
        <v>5</v>
      </c>
      <c r="C15" s="1060" t="s">
        <v>679</v>
      </c>
      <c r="D15" s="185">
        <v>68371270.769999996</v>
      </c>
      <c r="E15" s="185">
        <v>8278317.25</v>
      </c>
      <c r="F15" s="185">
        <v>7825580.2199999997</v>
      </c>
      <c r="G15" s="185">
        <v>5497280.6699999999</v>
      </c>
      <c r="H15" s="186">
        <v>601.47</v>
      </c>
      <c r="I15" s="186">
        <v>452737.03</v>
      </c>
      <c r="J15" s="186">
        <v>5497280.6699999999</v>
      </c>
      <c r="K15" s="195">
        <v>12.1</v>
      </c>
      <c r="L15" s="187">
        <v>94.5</v>
      </c>
      <c r="M15" s="390">
        <v>66.400000000000006</v>
      </c>
    </row>
    <row r="16" spans="1:13" s="1" customFormat="1" ht="13.5">
      <c r="A16" s="1058">
        <v>2</v>
      </c>
      <c r="B16" s="1059">
        <v>6</v>
      </c>
      <c r="C16" s="1060" t="s">
        <v>773</v>
      </c>
      <c r="D16" s="185">
        <v>82577803.170000002</v>
      </c>
      <c r="E16" s="185">
        <v>11923831.99</v>
      </c>
      <c r="F16" s="185">
        <v>11835771.369999999</v>
      </c>
      <c r="G16" s="185">
        <v>9027114.8699999992</v>
      </c>
      <c r="H16" s="186">
        <v>0</v>
      </c>
      <c r="I16" s="186">
        <v>88060.62</v>
      </c>
      <c r="J16" s="186">
        <v>9027114.8699999992</v>
      </c>
      <c r="K16" s="195">
        <v>14.4</v>
      </c>
      <c r="L16" s="187">
        <v>99.3</v>
      </c>
      <c r="M16" s="390">
        <v>75.7</v>
      </c>
    </row>
    <row r="17" spans="1:13" s="1" customFormat="1" ht="13.5">
      <c r="A17" s="1058">
        <v>2</v>
      </c>
      <c r="B17" s="1059">
        <v>7</v>
      </c>
      <c r="C17" s="1060" t="s">
        <v>678</v>
      </c>
      <c r="D17" s="185">
        <v>60518801.119999997</v>
      </c>
      <c r="E17" s="185">
        <v>5869267.71</v>
      </c>
      <c r="F17" s="185">
        <v>5839427.9100000001</v>
      </c>
      <c r="G17" s="185">
        <v>4178179.64</v>
      </c>
      <c r="H17" s="186">
        <v>60702.26</v>
      </c>
      <c r="I17" s="186">
        <v>29839.8</v>
      </c>
      <c r="J17" s="186">
        <v>4178179.64</v>
      </c>
      <c r="K17" s="195">
        <v>9.6999999999999993</v>
      </c>
      <c r="L17" s="187">
        <v>99.5</v>
      </c>
      <c r="M17" s="390">
        <v>71.2</v>
      </c>
    </row>
    <row r="18" spans="1:13" s="1" customFormat="1" ht="13.5">
      <c r="A18" s="1058">
        <v>2</v>
      </c>
      <c r="B18" s="1059">
        <v>8</v>
      </c>
      <c r="C18" s="1060" t="s">
        <v>677</v>
      </c>
      <c r="D18" s="185">
        <v>222035630.77000001</v>
      </c>
      <c r="E18" s="185">
        <v>18143185.620000001</v>
      </c>
      <c r="F18" s="185">
        <v>15470263.74</v>
      </c>
      <c r="G18" s="185">
        <v>10331401.15</v>
      </c>
      <c r="H18" s="186">
        <v>12147.84</v>
      </c>
      <c r="I18" s="186">
        <v>2672921.88</v>
      </c>
      <c r="J18" s="186">
        <v>10331401.15</v>
      </c>
      <c r="K18" s="195">
        <v>8.1999999999999993</v>
      </c>
      <c r="L18" s="187">
        <v>85.3</v>
      </c>
      <c r="M18" s="390">
        <v>56.9</v>
      </c>
    </row>
    <row r="19" spans="1:13" s="1" customFormat="1" ht="13.5">
      <c r="A19" s="1058">
        <v>2</v>
      </c>
      <c r="B19" s="1059">
        <v>9</v>
      </c>
      <c r="C19" s="1060" t="s">
        <v>676</v>
      </c>
      <c r="D19" s="185">
        <v>93414113.849999994</v>
      </c>
      <c r="E19" s="185">
        <v>9761945.8100000005</v>
      </c>
      <c r="F19" s="185">
        <v>9695982.3000000007</v>
      </c>
      <c r="G19" s="185">
        <v>6917722.2199999997</v>
      </c>
      <c r="H19" s="186">
        <v>0</v>
      </c>
      <c r="I19" s="186">
        <v>65963.509999999995</v>
      </c>
      <c r="J19" s="186">
        <v>6917722.2199999997</v>
      </c>
      <c r="K19" s="195">
        <v>10.5</v>
      </c>
      <c r="L19" s="187">
        <v>99.3</v>
      </c>
      <c r="M19" s="390">
        <v>70.900000000000006</v>
      </c>
    </row>
    <row r="20" spans="1:13" s="1" customFormat="1" ht="13.5">
      <c r="A20" s="1058">
        <v>2</v>
      </c>
      <c r="B20" s="1059">
        <v>10</v>
      </c>
      <c r="C20" s="1060" t="s">
        <v>675</v>
      </c>
      <c r="D20" s="185">
        <v>71578973.280000001</v>
      </c>
      <c r="E20" s="185">
        <v>8183596.5099999998</v>
      </c>
      <c r="F20" s="185">
        <v>7598352.4199999999</v>
      </c>
      <c r="G20" s="185">
        <v>5251122.62</v>
      </c>
      <c r="H20" s="186">
        <v>0</v>
      </c>
      <c r="I20" s="186">
        <v>585244.09</v>
      </c>
      <c r="J20" s="186">
        <v>5251122.62</v>
      </c>
      <c r="K20" s="195">
        <v>11.4</v>
      </c>
      <c r="L20" s="187">
        <v>92.8</v>
      </c>
      <c r="M20" s="390">
        <v>64.2</v>
      </c>
    </row>
    <row r="21" spans="1:13" s="1" customFormat="1" ht="13.5">
      <c r="A21" s="1058">
        <v>2</v>
      </c>
      <c r="B21" s="1059">
        <v>11</v>
      </c>
      <c r="C21" s="1060" t="s">
        <v>674</v>
      </c>
      <c r="D21" s="185">
        <v>152378931.80000001</v>
      </c>
      <c r="E21" s="185">
        <v>15565291.939999999</v>
      </c>
      <c r="F21" s="185">
        <v>15510310.939999999</v>
      </c>
      <c r="G21" s="185">
        <v>11334116.08</v>
      </c>
      <c r="H21" s="186">
        <v>0</v>
      </c>
      <c r="I21" s="186">
        <v>54981</v>
      </c>
      <c r="J21" s="186">
        <v>11334116.08</v>
      </c>
      <c r="K21" s="195">
        <v>10.199999999999999</v>
      </c>
      <c r="L21" s="187">
        <v>99.6</v>
      </c>
      <c r="M21" s="390">
        <v>72.8</v>
      </c>
    </row>
    <row r="22" spans="1:13" s="1" customFormat="1" ht="13.5">
      <c r="A22" s="1058">
        <v>2</v>
      </c>
      <c r="B22" s="1059">
        <v>12</v>
      </c>
      <c r="C22" s="1060" t="s">
        <v>673</v>
      </c>
      <c r="D22" s="185">
        <v>75732724.439999998</v>
      </c>
      <c r="E22" s="185">
        <v>6141716.3799999999</v>
      </c>
      <c r="F22" s="185">
        <v>6082016.3799999999</v>
      </c>
      <c r="G22" s="185">
        <v>4141942.81</v>
      </c>
      <c r="H22" s="186">
        <v>204737.99</v>
      </c>
      <c r="I22" s="186">
        <v>59700</v>
      </c>
      <c r="J22" s="186">
        <v>4141942.81</v>
      </c>
      <c r="K22" s="195">
        <v>8.1</v>
      </c>
      <c r="L22" s="187">
        <v>99</v>
      </c>
      <c r="M22" s="390">
        <v>67.400000000000006</v>
      </c>
    </row>
    <row r="23" spans="1:13" s="1" customFormat="1" ht="13.5">
      <c r="A23" s="1058">
        <v>2</v>
      </c>
      <c r="B23" s="1059">
        <v>13</v>
      </c>
      <c r="C23" s="1060" t="s">
        <v>672</v>
      </c>
      <c r="D23" s="185">
        <v>64697142.359999999</v>
      </c>
      <c r="E23" s="185">
        <v>5627336.9400000004</v>
      </c>
      <c r="F23" s="185">
        <v>5590528.2699999996</v>
      </c>
      <c r="G23" s="185">
        <v>3648725.03</v>
      </c>
      <c r="H23" s="186">
        <v>0</v>
      </c>
      <c r="I23" s="186">
        <v>36808.67</v>
      </c>
      <c r="J23" s="186">
        <v>3648725.03</v>
      </c>
      <c r="K23" s="195">
        <v>8.6999999999999993</v>
      </c>
      <c r="L23" s="187">
        <v>99.3</v>
      </c>
      <c r="M23" s="390">
        <v>64.8</v>
      </c>
    </row>
    <row r="24" spans="1:13" s="1" customFormat="1" ht="13.5">
      <c r="A24" s="1058">
        <v>2</v>
      </c>
      <c r="B24" s="1059">
        <v>14</v>
      </c>
      <c r="C24" s="1060" t="s">
        <v>671</v>
      </c>
      <c r="D24" s="185">
        <v>135739456.77000001</v>
      </c>
      <c r="E24" s="185">
        <v>10299584.779999999</v>
      </c>
      <c r="F24" s="185">
        <v>10094297.779999999</v>
      </c>
      <c r="G24" s="185">
        <v>6664879.7000000002</v>
      </c>
      <c r="H24" s="186">
        <v>0</v>
      </c>
      <c r="I24" s="186">
        <v>205287</v>
      </c>
      <c r="J24" s="186">
        <v>6664879.7000000002</v>
      </c>
      <c r="K24" s="195">
        <v>7.6</v>
      </c>
      <c r="L24" s="187">
        <v>98</v>
      </c>
      <c r="M24" s="390">
        <v>64.7</v>
      </c>
    </row>
    <row r="25" spans="1:13" s="1" customFormat="1" ht="13.5">
      <c r="A25" s="1058">
        <v>2</v>
      </c>
      <c r="B25" s="1059">
        <v>15</v>
      </c>
      <c r="C25" s="1060" t="s">
        <v>670</v>
      </c>
      <c r="D25" s="185">
        <v>102011150.23</v>
      </c>
      <c r="E25" s="185">
        <v>10787520.6</v>
      </c>
      <c r="F25" s="185">
        <v>10560691.560000001</v>
      </c>
      <c r="G25" s="185">
        <v>7150016.9000000004</v>
      </c>
      <c r="H25" s="186">
        <v>12000</v>
      </c>
      <c r="I25" s="186">
        <v>226829.04</v>
      </c>
      <c r="J25" s="186">
        <v>7150016.9000000004</v>
      </c>
      <c r="K25" s="195">
        <v>10.6</v>
      </c>
      <c r="L25" s="187">
        <v>97.9</v>
      </c>
      <c r="M25" s="390">
        <v>66.3</v>
      </c>
    </row>
    <row r="26" spans="1:13" s="1" customFormat="1" ht="13.5">
      <c r="A26" s="1058">
        <v>2</v>
      </c>
      <c r="B26" s="1059">
        <v>16</v>
      </c>
      <c r="C26" s="1060" t="s">
        <v>669</v>
      </c>
      <c r="D26" s="185">
        <v>64240876.07</v>
      </c>
      <c r="E26" s="185">
        <v>10023467.99</v>
      </c>
      <c r="F26" s="185">
        <v>9978468.4399999995</v>
      </c>
      <c r="G26" s="185">
        <v>7971957.4800000004</v>
      </c>
      <c r="H26" s="186">
        <v>11998.77</v>
      </c>
      <c r="I26" s="186">
        <v>44999.55</v>
      </c>
      <c r="J26" s="186">
        <v>7971957.4800000004</v>
      </c>
      <c r="K26" s="195">
        <v>15.6</v>
      </c>
      <c r="L26" s="187">
        <v>99.6</v>
      </c>
      <c r="M26" s="390">
        <v>79.5</v>
      </c>
    </row>
    <row r="27" spans="1:13" s="1" customFormat="1" ht="13.5">
      <c r="A27" s="1058">
        <v>2</v>
      </c>
      <c r="B27" s="1059">
        <v>17</v>
      </c>
      <c r="C27" s="1060" t="s">
        <v>668</v>
      </c>
      <c r="D27" s="185">
        <v>62355817.25</v>
      </c>
      <c r="E27" s="185">
        <v>4274158.4400000004</v>
      </c>
      <c r="F27" s="185">
        <v>4257565.74</v>
      </c>
      <c r="G27" s="185">
        <v>2640564.34</v>
      </c>
      <c r="H27" s="186">
        <v>0</v>
      </c>
      <c r="I27" s="186">
        <v>16592.7</v>
      </c>
      <c r="J27" s="186">
        <v>2640564.34</v>
      </c>
      <c r="K27" s="195">
        <v>6.9</v>
      </c>
      <c r="L27" s="187">
        <v>99.6</v>
      </c>
      <c r="M27" s="390">
        <v>61.8</v>
      </c>
    </row>
    <row r="28" spans="1:13" s="1" customFormat="1" ht="13.5">
      <c r="A28" s="1058">
        <v>2</v>
      </c>
      <c r="B28" s="1059">
        <v>18</v>
      </c>
      <c r="C28" s="1060" t="s">
        <v>405</v>
      </c>
      <c r="D28" s="185">
        <v>63094220.710000001</v>
      </c>
      <c r="E28" s="185">
        <v>7780711.8499999996</v>
      </c>
      <c r="F28" s="185">
        <v>7590464.6500000004</v>
      </c>
      <c r="G28" s="185">
        <v>5087013.8099999996</v>
      </c>
      <c r="H28" s="186">
        <v>12000</v>
      </c>
      <c r="I28" s="186">
        <v>190247.2</v>
      </c>
      <c r="J28" s="186">
        <v>5087013.8099999996</v>
      </c>
      <c r="K28" s="195">
        <v>12.3</v>
      </c>
      <c r="L28" s="187">
        <v>97.6</v>
      </c>
      <c r="M28" s="390">
        <v>65.400000000000006</v>
      </c>
    </row>
    <row r="29" spans="1:13" s="1" customFormat="1" ht="13.5">
      <c r="A29" s="1058">
        <v>2</v>
      </c>
      <c r="B29" s="1059">
        <v>19</v>
      </c>
      <c r="C29" s="1060" t="s">
        <v>626</v>
      </c>
      <c r="D29" s="185">
        <v>181347993.56</v>
      </c>
      <c r="E29" s="185">
        <v>15512158.77</v>
      </c>
      <c r="F29" s="185">
        <v>15321290.27</v>
      </c>
      <c r="G29" s="185">
        <v>10116016.92</v>
      </c>
      <c r="H29" s="186">
        <v>0</v>
      </c>
      <c r="I29" s="186">
        <v>190868.5</v>
      </c>
      <c r="J29" s="186">
        <v>10116016.92</v>
      </c>
      <c r="K29" s="195">
        <v>8.6</v>
      </c>
      <c r="L29" s="187">
        <v>98.8</v>
      </c>
      <c r="M29" s="390">
        <v>65.2</v>
      </c>
    </row>
    <row r="30" spans="1:13" s="1" customFormat="1" ht="13.5">
      <c r="A30" s="1058">
        <v>2</v>
      </c>
      <c r="B30" s="1059">
        <v>20</v>
      </c>
      <c r="C30" s="1060" t="s">
        <v>667</v>
      </c>
      <c r="D30" s="185">
        <v>101001281.17</v>
      </c>
      <c r="E30" s="185">
        <v>11515125.41</v>
      </c>
      <c r="F30" s="185">
        <v>11394627.41</v>
      </c>
      <c r="G30" s="185">
        <v>7146621.1600000001</v>
      </c>
      <c r="H30" s="186">
        <v>12000</v>
      </c>
      <c r="I30" s="186">
        <v>120498</v>
      </c>
      <c r="J30" s="186">
        <v>7146621.1600000001</v>
      </c>
      <c r="K30" s="195">
        <v>11.4</v>
      </c>
      <c r="L30" s="187">
        <v>99</v>
      </c>
      <c r="M30" s="390">
        <v>62.1</v>
      </c>
    </row>
    <row r="31" spans="1:13" s="1" customFormat="1" ht="13.5">
      <c r="A31" s="1058">
        <v>2</v>
      </c>
      <c r="B31" s="1059">
        <v>21</v>
      </c>
      <c r="C31" s="1060" t="s">
        <v>666</v>
      </c>
      <c r="D31" s="185">
        <v>62172370.810000002</v>
      </c>
      <c r="E31" s="185">
        <v>9461751.8200000003</v>
      </c>
      <c r="F31" s="185">
        <v>9352792.3599999994</v>
      </c>
      <c r="G31" s="185">
        <v>6275328.3099999996</v>
      </c>
      <c r="H31" s="186">
        <v>0</v>
      </c>
      <c r="I31" s="186">
        <v>108959.46</v>
      </c>
      <c r="J31" s="186">
        <v>6275328.3099999996</v>
      </c>
      <c r="K31" s="195">
        <v>15.2</v>
      </c>
      <c r="L31" s="187">
        <v>98.8</v>
      </c>
      <c r="M31" s="390">
        <v>66.3</v>
      </c>
    </row>
    <row r="32" spans="1:13" s="1" customFormat="1" ht="13.5">
      <c r="A32" s="1058">
        <v>2</v>
      </c>
      <c r="B32" s="1059">
        <v>22</v>
      </c>
      <c r="C32" s="1060" t="s">
        <v>665</v>
      </c>
      <c r="D32" s="185">
        <v>74629038.280000001</v>
      </c>
      <c r="E32" s="185">
        <v>7734454.8499999996</v>
      </c>
      <c r="F32" s="185">
        <v>7617354.8499999996</v>
      </c>
      <c r="G32" s="185">
        <v>5626018.2999999998</v>
      </c>
      <c r="H32" s="186">
        <v>0</v>
      </c>
      <c r="I32" s="186">
        <v>117100</v>
      </c>
      <c r="J32" s="186">
        <v>5626018.2999999998</v>
      </c>
      <c r="K32" s="195">
        <v>10.4</v>
      </c>
      <c r="L32" s="187">
        <v>98.5</v>
      </c>
      <c r="M32" s="390">
        <v>72.7</v>
      </c>
    </row>
    <row r="33" spans="1:13" s="1" customFormat="1" ht="13.5">
      <c r="A33" s="1058">
        <v>2</v>
      </c>
      <c r="B33" s="1059">
        <v>23</v>
      </c>
      <c r="C33" s="1060" t="s">
        <v>664</v>
      </c>
      <c r="D33" s="185">
        <v>183557810</v>
      </c>
      <c r="E33" s="185">
        <v>47693511.229999997</v>
      </c>
      <c r="F33" s="185">
        <v>30939338.579999998</v>
      </c>
      <c r="G33" s="185">
        <v>20540480.210000001</v>
      </c>
      <c r="H33" s="186">
        <v>0</v>
      </c>
      <c r="I33" s="186">
        <v>16754172.65</v>
      </c>
      <c r="J33" s="186">
        <v>20540480.210000001</v>
      </c>
      <c r="K33" s="195">
        <v>26</v>
      </c>
      <c r="L33" s="187">
        <v>64.900000000000006</v>
      </c>
      <c r="M33" s="390">
        <v>43.1</v>
      </c>
    </row>
    <row r="34" spans="1:13" s="1" customFormat="1" ht="13.5">
      <c r="A34" s="1058">
        <v>2</v>
      </c>
      <c r="B34" s="1059">
        <v>24</v>
      </c>
      <c r="C34" s="1060" t="s">
        <v>663</v>
      </c>
      <c r="D34" s="185">
        <v>108499847.2</v>
      </c>
      <c r="E34" s="185">
        <v>9427164.1699999999</v>
      </c>
      <c r="F34" s="185">
        <v>8931694.1699999999</v>
      </c>
      <c r="G34" s="185">
        <v>6108126.5099999998</v>
      </c>
      <c r="H34" s="186">
        <v>0</v>
      </c>
      <c r="I34" s="186">
        <v>495470</v>
      </c>
      <c r="J34" s="186">
        <v>6108126.5099999998</v>
      </c>
      <c r="K34" s="195">
        <v>8.6999999999999993</v>
      </c>
      <c r="L34" s="187">
        <v>94.7</v>
      </c>
      <c r="M34" s="390">
        <v>64.8</v>
      </c>
    </row>
    <row r="35" spans="1:13" s="1" customFormat="1" ht="13.5">
      <c r="A35" s="1058">
        <v>2</v>
      </c>
      <c r="B35" s="1059">
        <v>25</v>
      </c>
      <c r="C35" s="1060" t="s">
        <v>662</v>
      </c>
      <c r="D35" s="185">
        <v>119566287.37</v>
      </c>
      <c r="E35" s="185">
        <v>13011017.550000001</v>
      </c>
      <c r="F35" s="185">
        <v>12730565.630000001</v>
      </c>
      <c r="G35" s="185">
        <v>9056404.9499999993</v>
      </c>
      <c r="H35" s="186">
        <v>12000</v>
      </c>
      <c r="I35" s="186">
        <v>280451.92</v>
      </c>
      <c r="J35" s="186">
        <v>9056404.9499999993</v>
      </c>
      <c r="K35" s="195">
        <v>10.9</v>
      </c>
      <c r="L35" s="187">
        <v>97.8</v>
      </c>
      <c r="M35" s="390">
        <v>69.599999999999994</v>
      </c>
    </row>
    <row r="36" spans="1:13" s="1" customFormat="1" ht="13.5">
      <c r="A36" s="1058">
        <v>2</v>
      </c>
      <c r="B36" s="1059">
        <v>26</v>
      </c>
      <c r="C36" s="1060" t="s">
        <v>661</v>
      </c>
      <c r="D36" s="185">
        <v>67887177.370000005</v>
      </c>
      <c r="E36" s="185">
        <v>6786917.6600000001</v>
      </c>
      <c r="F36" s="185">
        <v>6407678.04</v>
      </c>
      <c r="G36" s="185">
        <v>4532353.93</v>
      </c>
      <c r="H36" s="186">
        <v>140138.81</v>
      </c>
      <c r="I36" s="186">
        <v>379239.62</v>
      </c>
      <c r="J36" s="186">
        <v>4532353.93</v>
      </c>
      <c r="K36" s="195">
        <v>10</v>
      </c>
      <c r="L36" s="187">
        <v>94.4</v>
      </c>
      <c r="M36" s="390">
        <v>66.8</v>
      </c>
    </row>
    <row r="37" spans="1:13" s="1" customFormat="1" ht="13.5">
      <c r="A37" s="1058">
        <v>4</v>
      </c>
      <c r="B37" s="1059">
        <v>1</v>
      </c>
      <c r="C37" s="1060" t="s">
        <v>660</v>
      </c>
      <c r="D37" s="185">
        <v>74043196.799999997</v>
      </c>
      <c r="E37" s="185">
        <v>6918641.7400000002</v>
      </c>
      <c r="F37" s="185">
        <v>6768642.7400000002</v>
      </c>
      <c r="G37" s="185">
        <v>4607603.6399999997</v>
      </c>
      <c r="H37" s="186">
        <v>0</v>
      </c>
      <c r="I37" s="186">
        <v>149999</v>
      </c>
      <c r="J37" s="186">
        <v>4607603.6399999997</v>
      </c>
      <c r="K37" s="195">
        <v>9.3000000000000007</v>
      </c>
      <c r="L37" s="187">
        <v>97.8</v>
      </c>
      <c r="M37" s="390">
        <v>66.599999999999994</v>
      </c>
    </row>
    <row r="38" spans="1:13" s="1" customFormat="1" ht="13.5">
      <c r="A38" s="1058">
        <v>4</v>
      </c>
      <c r="B38" s="1059">
        <v>2</v>
      </c>
      <c r="C38" s="1060" t="s">
        <v>659</v>
      </c>
      <c r="D38" s="185">
        <v>102994761.83</v>
      </c>
      <c r="E38" s="185">
        <v>10073454.82</v>
      </c>
      <c r="F38" s="185">
        <v>10061228.619999999</v>
      </c>
      <c r="G38" s="185">
        <v>7120390.6200000001</v>
      </c>
      <c r="H38" s="186">
        <v>0</v>
      </c>
      <c r="I38" s="186">
        <v>12226.2</v>
      </c>
      <c r="J38" s="186">
        <v>7120390.6200000001</v>
      </c>
      <c r="K38" s="195">
        <v>9.8000000000000007</v>
      </c>
      <c r="L38" s="187">
        <v>99.9</v>
      </c>
      <c r="M38" s="390">
        <v>70.7</v>
      </c>
    </row>
    <row r="39" spans="1:13" s="1" customFormat="1" ht="13.5">
      <c r="A39" s="1058">
        <v>4</v>
      </c>
      <c r="B39" s="1059">
        <v>3</v>
      </c>
      <c r="C39" s="1060" t="s">
        <v>658</v>
      </c>
      <c r="D39" s="185">
        <v>99213652.409999996</v>
      </c>
      <c r="E39" s="185">
        <v>17021825.16</v>
      </c>
      <c r="F39" s="185">
        <v>16841782.670000002</v>
      </c>
      <c r="G39" s="185">
        <v>11459888.35</v>
      </c>
      <c r="H39" s="186">
        <v>114637.43</v>
      </c>
      <c r="I39" s="186">
        <v>180042.49</v>
      </c>
      <c r="J39" s="186">
        <v>11459888.35</v>
      </c>
      <c r="K39" s="195">
        <v>17.2</v>
      </c>
      <c r="L39" s="187">
        <v>98.9</v>
      </c>
      <c r="M39" s="390">
        <v>67.3</v>
      </c>
    </row>
    <row r="40" spans="1:13" s="1" customFormat="1" ht="13.5">
      <c r="A40" s="1058">
        <v>4</v>
      </c>
      <c r="B40" s="1059">
        <v>4</v>
      </c>
      <c r="C40" s="1060" t="s">
        <v>657</v>
      </c>
      <c r="D40" s="185">
        <v>89203418.459999993</v>
      </c>
      <c r="E40" s="185">
        <v>16661251.24</v>
      </c>
      <c r="F40" s="185">
        <v>6232989.7199999997</v>
      </c>
      <c r="G40" s="185">
        <v>4549805.2699999996</v>
      </c>
      <c r="H40" s="186">
        <v>0</v>
      </c>
      <c r="I40" s="186">
        <v>10428261.52</v>
      </c>
      <c r="J40" s="186">
        <v>4549805.2699999996</v>
      </c>
      <c r="K40" s="195">
        <v>18.7</v>
      </c>
      <c r="L40" s="187">
        <v>37.4</v>
      </c>
      <c r="M40" s="390">
        <v>27.3</v>
      </c>
    </row>
    <row r="41" spans="1:13" s="1" customFormat="1" ht="13.5">
      <c r="A41" s="1058">
        <v>4</v>
      </c>
      <c r="B41" s="1059">
        <v>5</v>
      </c>
      <c r="C41" s="1060" t="s">
        <v>656</v>
      </c>
      <c r="D41" s="185">
        <v>61425965.659999996</v>
      </c>
      <c r="E41" s="185">
        <v>6337622.71</v>
      </c>
      <c r="F41" s="185">
        <v>6337622.71</v>
      </c>
      <c r="G41" s="185">
        <v>4320165.34</v>
      </c>
      <c r="H41" s="186">
        <v>0</v>
      </c>
      <c r="I41" s="186">
        <v>0</v>
      </c>
      <c r="J41" s="186">
        <v>4320165.34</v>
      </c>
      <c r="K41" s="195">
        <v>10.3</v>
      </c>
      <c r="L41" s="187">
        <v>100</v>
      </c>
      <c r="M41" s="390">
        <v>68.2</v>
      </c>
    </row>
    <row r="42" spans="1:13" s="1" customFormat="1" ht="13.5">
      <c r="A42" s="1058">
        <v>4</v>
      </c>
      <c r="B42" s="1059">
        <v>6</v>
      </c>
      <c r="C42" s="1060" t="s">
        <v>655</v>
      </c>
      <c r="D42" s="185">
        <v>36006476.880000003</v>
      </c>
      <c r="E42" s="185">
        <v>7102454.6500000004</v>
      </c>
      <c r="F42" s="185">
        <v>6917603.6200000001</v>
      </c>
      <c r="G42" s="185">
        <v>4674155.83</v>
      </c>
      <c r="H42" s="186">
        <v>84001.52</v>
      </c>
      <c r="I42" s="186">
        <v>184851.03</v>
      </c>
      <c r="J42" s="186">
        <v>4674155.83</v>
      </c>
      <c r="K42" s="195">
        <v>19.7</v>
      </c>
      <c r="L42" s="187">
        <v>97.4</v>
      </c>
      <c r="M42" s="390">
        <v>65.8</v>
      </c>
    </row>
    <row r="43" spans="1:13" s="1" customFormat="1" ht="13.5">
      <c r="A43" s="1058">
        <v>4</v>
      </c>
      <c r="B43" s="1059">
        <v>7</v>
      </c>
      <c r="C43" s="1060" t="s">
        <v>654</v>
      </c>
      <c r="D43" s="185">
        <v>213446856.09</v>
      </c>
      <c r="E43" s="185">
        <v>23196900.41</v>
      </c>
      <c r="F43" s="185">
        <v>22924290.760000002</v>
      </c>
      <c r="G43" s="185">
        <v>14851526.119999999</v>
      </c>
      <c r="H43" s="186">
        <v>799.25</v>
      </c>
      <c r="I43" s="186">
        <v>272609.65000000002</v>
      </c>
      <c r="J43" s="186">
        <v>14851526.119999999</v>
      </c>
      <c r="K43" s="195">
        <v>10.9</v>
      </c>
      <c r="L43" s="187">
        <v>98.8</v>
      </c>
      <c r="M43" s="390">
        <v>64</v>
      </c>
    </row>
    <row r="44" spans="1:13" s="1" customFormat="1" ht="13.5">
      <c r="A44" s="1058">
        <v>4</v>
      </c>
      <c r="B44" s="1059">
        <v>8</v>
      </c>
      <c r="C44" s="1060" t="s">
        <v>653</v>
      </c>
      <c r="D44" s="185">
        <v>90399060.890000001</v>
      </c>
      <c r="E44" s="185">
        <v>12074429.73</v>
      </c>
      <c r="F44" s="185">
        <v>11793575.18</v>
      </c>
      <c r="G44" s="185">
        <v>8442896.0299999993</v>
      </c>
      <c r="H44" s="186">
        <v>0</v>
      </c>
      <c r="I44" s="186">
        <v>280854.55</v>
      </c>
      <c r="J44" s="186">
        <v>8442896.0299999993</v>
      </c>
      <c r="K44" s="195">
        <v>13.4</v>
      </c>
      <c r="L44" s="187">
        <v>97.7</v>
      </c>
      <c r="M44" s="390">
        <v>69.900000000000006</v>
      </c>
    </row>
    <row r="45" spans="1:13" s="1" customFormat="1" ht="13.5">
      <c r="A45" s="1058">
        <v>4</v>
      </c>
      <c r="B45" s="1059">
        <v>9</v>
      </c>
      <c r="C45" s="1060" t="s">
        <v>652</v>
      </c>
      <c r="D45" s="185">
        <v>72853423.700000003</v>
      </c>
      <c r="E45" s="185">
        <v>7205565.2800000003</v>
      </c>
      <c r="F45" s="185">
        <v>7143256.29</v>
      </c>
      <c r="G45" s="185">
        <v>5081524.2</v>
      </c>
      <c r="H45" s="186">
        <v>0</v>
      </c>
      <c r="I45" s="186">
        <v>62308.99</v>
      </c>
      <c r="J45" s="186">
        <v>5081524.2</v>
      </c>
      <c r="K45" s="195">
        <v>9.9</v>
      </c>
      <c r="L45" s="187">
        <v>99.1</v>
      </c>
      <c r="M45" s="390">
        <v>70.5</v>
      </c>
    </row>
    <row r="46" spans="1:13" s="1" customFormat="1" ht="13.5">
      <c r="A46" s="1058">
        <v>4</v>
      </c>
      <c r="B46" s="1059">
        <v>10</v>
      </c>
      <c r="C46" s="1060" t="s">
        <v>651</v>
      </c>
      <c r="D46" s="185">
        <v>112446883.14</v>
      </c>
      <c r="E46" s="185">
        <v>9316717.4800000004</v>
      </c>
      <c r="F46" s="185">
        <v>9177655.7100000009</v>
      </c>
      <c r="G46" s="185">
        <v>6067774.3899999997</v>
      </c>
      <c r="H46" s="186">
        <v>51173.62</v>
      </c>
      <c r="I46" s="186">
        <v>139061.76999999999</v>
      </c>
      <c r="J46" s="186">
        <v>6067774.3899999997</v>
      </c>
      <c r="K46" s="195">
        <v>8.3000000000000007</v>
      </c>
      <c r="L46" s="187">
        <v>98.5</v>
      </c>
      <c r="M46" s="390">
        <v>65.099999999999994</v>
      </c>
    </row>
    <row r="47" spans="1:13" s="1" customFormat="1" ht="13.5">
      <c r="A47" s="1058">
        <v>4</v>
      </c>
      <c r="B47" s="1059">
        <v>11</v>
      </c>
      <c r="C47" s="1060" t="s">
        <v>650</v>
      </c>
      <c r="D47" s="185">
        <v>68670051.299999997</v>
      </c>
      <c r="E47" s="185">
        <v>7381794.9699999997</v>
      </c>
      <c r="F47" s="185">
        <v>7049150.2400000002</v>
      </c>
      <c r="G47" s="185">
        <v>4422241.8600000003</v>
      </c>
      <c r="H47" s="186">
        <v>0</v>
      </c>
      <c r="I47" s="186">
        <v>332644.73</v>
      </c>
      <c r="J47" s="186">
        <v>4422241.8600000003</v>
      </c>
      <c r="K47" s="195">
        <v>10.7</v>
      </c>
      <c r="L47" s="187">
        <v>95.5</v>
      </c>
      <c r="M47" s="390">
        <v>59.9</v>
      </c>
    </row>
    <row r="48" spans="1:13" s="1" customFormat="1" ht="13.5">
      <c r="A48" s="1058">
        <v>4</v>
      </c>
      <c r="B48" s="1059">
        <v>12</v>
      </c>
      <c r="C48" s="1060" t="s">
        <v>649</v>
      </c>
      <c r="D48" s="185">
        <v>73280491.299999997</v>
      </c>
      <c r="E48" s="185">
        <v>6129784.8899999997</v>
      </c>
      <c r="F48" s="185">
        <v>6060289.8899999997</v>
      </c>
      <c r="G48" s="185">
        <v>4167321.49</v>
      </c>
      <c r="H48" s="186">
        <v>0</v>
      </c>
      <c r="I48" s="186">
        <v>69495</v>
      </c>
      <c r="J48" s="186">
        <v>4167321.49</v>
      </c>
      <c r="K48" s="195">
        <v>8.4</v>
      </c>
      <c r="L48" s="187">
        <v>98.9</v>
      </c>
      <c r="M48" s="390">
        <v>68</v>
      </c>
    </row>
    <row r="49" spans="1:13" s="1" customFormat="1" ht="13.5">
      <c r="A49" s="1058">
        <v>4</v>
      </c>
      <c r="B49" s="1059">
        <v>13</v>
      </c>
      <c r="C49" s="1060" t="s">
        <v>648</v>
      </c>
      <c r="D49" s="185">
        <v>59844878.119999997</v>
      </c>
      <c r="E49" s="185">
        <v>4511915.42</v>
      </c>
      <c r="F49" s="185">
        <v>4511915.42</v>
      </c>
      <c r="G49" s="185">
        <v>2949061.86</v>
      </c>
      <c r="H49" s="186">
        <v>0</v>
      </c>
      <c r="I49" s="186">
        <v>0</v>
      </c>
      <c r="J49" s="186">
        <v>2949061.86</v>
      </c>
      <c r="K49" s="195">
        <v>7.5</v>
      </c>
      <c r="L49" s="187">
        <v>100</v>
      </c>
      <c r="M49" s="390">
        <v>65.400000000000006</v>
      </c>
    </row>
    <row r="50" spans="1:13" s="1" customFormat="1" ht="13.5">
      <c r="A50" s="1058">
        <v>4</v>
      </c>
      <c r="B50" s="1059">
        <v>14</v>
      </c>
      <c r="C50" s="1060" t="s">
        <v>647</v>
      </c>
      <c r="D50" s="185">
        <v>145012120.91</v>
      </c>
      <c r="E50" s="185">
        <v>11784446.35</v>
      </c>
      <c r="F50" s="185">
        <v>11526577.880000001</v>
      </c>
      <c r="G50" s="185">
        <v>7639000.2999999998</v>
      </c>
      <c r="H50" s="186">
        <v>102278.88</v>
      </c>
      <c r="I50" s="186">
        <v>257868.47</v>
      </c>
      <c r="J50" s="186">
        <v>7639000.2999999998</v>
      </c>
      <c r="K50" s="195">
        <v>8.1</v>
      </c>
      <c r="L50" s="187">
        <v>97.8</v>
      </c>
      <c r="M50" s="390">
        <v>64.8</v>
      </c>
    </row>
    <row r="51" spans="1:13" s="1" customFormat="1" ht="13.5">
      <c r="A51" s="1058">
        <v>4</v>
      </c>
      <c r="B51" s="1059">
        <v>15</v>
      </c>
      <c r="C51" s="1060" t="s">
        <v>646</v>
      </c>
      <c r="D51" s="185">
        <v>127009367.23999999</v>
      </c>
      <c r="E51" s="185">
        <v>15672695.58</v>
      </c>
      <c r="F51" s="185">
        <v>15467481.4</v>
      </c>
      <c r="G51" s="185">
        <v>10204550.619999999</v>
      </c>
      <c r="H51" s="186">
        <v>3892.4</v>
      </c>
      <c r="I51" s="186">
        <v>205214.18</v>
      </c>
      <c r="J51" s="186">
        <v>10204550.619999999</v>
      </c>
      <c r="K51" s="195">
        <v>12.3</v>
      </c>
      <c r="L51" s="187">
        <v>98.7</v>
      </c>
      <c r="M51" s="390">
        <v>65.099999999999994</v>
      </c>
    </row>
    <row r="52" spans="1:13" s="1" customFormat="1" ht="13.5">
      <c r="A52" s="1058">
        <v>4</v>
      </c>
      <c r="B52" s="1059">
        <v>16</v>
      </c>
      <c r="C52" s="1060" t="s">
        <v>645</v>
      </c>
      <c r="D52" s="185">
        <v>77947290.150000006</v>
      </c>
      <c r="E52" s="185">
        <v>7817861.3600000003</v>
      </c>
      <c r="F52" s="185">
        <v>7716129.8600000003</v>
      </c>
      <c r="G52" s="185">
        <v>5356112.25</v>
      </c>
      <c r="H52" s="186">
        <v>0</v>
      </c>
      <c r="I52" s="186">
        <v>101731.5</v>
      </c>
      <c r="J52" s="186">
        <v>5356112.25</v>
      </c>
      <c r="K52" s="195">
        <v>10</v>
      </c>
      <c r="L52" s="187">
        <v>98.7</v>
      </c>
      <c r="M52" s="390">
        <v>68.5</v>
      </c>
    </row>
    <row r="53" spans="1:13" s="1" customFormat="1" ht="13.5">
      <c r="A53" s="1058">
        <v>4</v>
      </c>
      <c r="B53" s="1059">
        <v>17</v>
      </c>
      <c r="C53" s="1060" t="s">
        <v>644</v>
      </c>
      <c r="D53" s="185">
        <v>55310480.630000003</v>
      </c>
      <c r="E53" s="185">
        <v>5319000.92</v>
      </c>
      <c r="F53" s="185">
        <v>5221087.88</v>
      </c>
      <c r="G53" s="185">
        <v>3736739.58</v>
      </c>
      <c r="H53" s="186">
        <v>0</v>
      </c>
      <c r="I53" s="186">
        <v>97913.04</v>
      </c>
      <c r="J53" s="186">
        <v>3736739.58</v>
      </c>
      <c r="K53" s="195">
        <v>9.6</v>
      </c>
      <c r="L53" s="187">
        <v>98.2</v>
      </c>
      <c r="M53" s="390">
        <v>70.3</v>
      </c>
    </row>
    <row r="54" spans="1:13" s="1" customFormat="1" ht="13.5">
      <c r="A54" s="1058">
        <v>4</v>
      </c>
      <c r="B54" s="1059">
        <v>18</v>
      </c>
      <c r="C54" s="1060" t="s">
        <v>643</v>
      </c>
      <c r="D54" s="185">
        <v>113505722.19</v>
      </c>
      <c r="E54" s="185">
        <v>13976075.23</v>
      </c>
      <c r="F54" s="185">
        <v>13898339.23</v>
      </c>
      <c r="G54" s="185">
        <v>9400016.5700000003</v>
      </c>
      <c r="H54" s="186">
        <v>0</v>
      </c>
      <c r="I54" s="186">
        <v>77736</v>
      </c>
      <c r="J54" s="186">
        <v>9400016.5700000003</v>
      </c>
      <c r="K54" s="195">
        <v>12.3</v>
      </c>
      <c r="L54" s="187">
        <v>99.4</v>
      </c>
      <c r="M54" s="390">
        <v>67.3</v>
      </c>
    </row>
    <row r="55" spans="1:13" s="1" customFormat="1" ht="13.5">
      <c r="A55" s="1058">
        <v>4</v>
      </c>
      <c r="B55" s="1059">
        <v>19</v>
      </c>
      <c r="C55" s="1060" t="s">
        <v>642</v>
      </c>
      <c r="D55" s="185">
        <v>98843999.109999999</v>
      </c>
      <c r="E55" s="185">
        <v>10631495.529999999</v>
      </c>
      <c r="F55" s="185">
        <v>10582222.529999999</v>
      </c>
      <c r="G55" s="185">
        <v>7673803.0999999996</v>
      </c>
      <c r="H55" s="186">
        <v>0</v>
      </c>
      <c r="I55" s="186">
        <v>49273</v>
      </c>
      <c r="J55" s="186">
        <v>7673803.0999999996</v>
      </c>
      <c r="K55" s="195">
        <v>10.8</v>
      </c>
      <c r="L55" s="187">
        <v>99.5</v>
      </c>
      <c r="M55" s="390">
        <v>72.2</v>
      </c>
    </row>
    <row r="56" spans="1:13" s="1" customFormat="1" ht="13.5">
      <c r="A56" s="1058">
        <v>6</v>
      </c>
      <c r="B56" s="1059">
        <v>1</v>
      </c>
      <c r="C56" s="1060" t="s">
        <v>641</v>
      </c>
      <c r="D56" s="185">
        <v>146948804.87</v>
      </c>
      <c r="E56" s="185">
        <v>17505696.449999999</v>
      </c>
      <c r="F56" s="185">
        <v>13209696.91</v>
      </c>
      <c r="G56" s="185">
        <v>8122444.8099999996</v>
      </c>
      <c r="H56" s="186">
        <v>0</v>
      </c>
      <c r="I56" s="186">
        <v>4295999.54</v>
      </c>
      <c r="J56" s="186">
        <v>8122444.8099999996</v>
      </c>
      <c r="K56" s="195">
        <v>11.9</v>
      </c>
      <c r="L56" s="187">
        <v>75.5</v>
      </c>
      <c r="M56" s="390">
        <v>46.4</v>
      </c>
    </row>
    <row r="57" spans="1:13" s="1" customFormat="1" ht="13.5">
      <c r="A57" s="1058">
        <v>6</v>
      </c>
      <c r="B57" s="1059">
        <v>2</v>
      </c>
      <c r="C57" s="1060" t="s">
        <v>640</v>
      </c>
      <c r="D57" s="185">
        <v>143130010.81</v>
      </c>
      <c r="E57" s="185">
        <v>13325449.810000001</v>
      </c>
      <c r="F57" s="185">
        <v>13300234.810000001</v>
      </c>
      <c r="G57" s="185">
        <v>10097272.029999999</v>
      </c>
      <c r="H57" s="186">
        <v>0</v>
      </c>
      <c r="I57" s="186">
        <v>25215</v>
      </c>
      <c r="J57" s="186">
        <v>10097272.029999999</v>
      </c>
      <c r="K57" s="195">
        <v>9.3000000000000007</v>
      </c>
      <c r="L57" s="187">
        <v>99.8</v>
      </c>
      <c r="M57" s="390">
        <v>75.8</v>
      </c>
    </row>
    <row r="58" spans="1:13" s="1" customFormat="1" ht="13.5">
      <c r="A58" s="1058">
        <v>6</v>
      </c>
      <c r="B58" s="1059">
        <v>3</v>
      </c>
      <c r="C58" s="1060" t="s">
        <v>639</v>
      </c>
      <c r="D58" s="185">
        <v>128814047.54000001</v>
      </c>
      <c r="E58" s="185">
        <v>11844570.810000001</v>
      </c>
      <c r="F58" s="185">
        <v>11844570.810000001</v>
      </c>
      <c r="G58" s="185">
        <v>8449605.1400000006</v>
      </c>
      <c r="H58" s="186">
        <v>0</v>
      </c>
      <c r="I58" s="186">
        <v>0</v>
      </c>
      <c r="J58" s="186">
        <v>8449605.1400000006</v>
      </c>
      <c r="K58" s="195">
        <v>9.1999999999999993</v>
      </c>
      <c r="L58" s="187">
        <v>100</v>
      </c>
      <c r="M58" s="390">
        <v>71.3</v>
      </c>
    </row>
    <row r="59" spans="1:13" s="1" customFormat="1" ht="13.5">
      <c r="A59" s="1058">
        <v>6</v>
      </c>
      <c r="B59" s="1059">
        <v>4</v>
      </c>
      <c r="C59" s="1060" t="s">
        <v>638</v>
      </c>
      <c r="D59" s="185">
        <v>89282824.150000006</v>
      </c>
      <c r="E59" s="185">
        <v>7398567.2599999998</v>
      </c>
      <c r="F59" s="185">
        <v>7114855.3700000001</v>
      </c>
      <c r="G59" s="185">
        <v>4634020.03</v>
      </c>
      <c r="H59" s="186">
        <v>0</v>
      </c>
      <c r="I59" s="186">
        <v>283711.89</v>
      </c>
      <c r="J59" s="186">
        <v>4634020.03</v>
      </c>
      <c r="K59" s="195">
        <v>8.3000000000000007</v>
      </c>
      <c r="L59" s="187">
        <v>96.2</v>
      </c>
      <c r="M59" s="390">
        <v>62.6</v>
      </c>
    </row>
    <row r="60" spans="1:13" s="1" customFormat="1" ht="13.5">
      <c r="A60" s="1058">
        <v>6</v>
      </c>
      <c r="B60" s="1059">
        <v>5</v>
      </c>
      <c r="C60" s="1060" t="s">
        <v>637</v>
      </c>
      <c r="D60" s="185">
        <v>78976319.299999997</v>
      </c>
      <c r="E60" s="185">
        <v>6250606.2999999998</v>
      </c>
      <c r="F60" s="185">
        <v>6066797.6799999997</v>
      </c>
      <c r="G60" s="185">
        <v>4147434.71</v>
      </c>
      <c r="H60" s="186">
        <v>0</v>
      </c>
      <c r="I60" s="186">
        <v>183808.62</v>
      </c>
      <c r="J60" s="186">
        <v>4147434.71</v>
      </c>
      <c r="K60" s="195">
        <v>7.9</v>
      </c>
      <c r="L60" s="187">
        <v>97.1</v>
      </c>
      <c r="M60" s="390">
        <v>66.400000000000006</v>
      </c>
    </row>
    <row r="61" spans="1:13" s="1" customFormat="1" ht="13.5">
      <c r="A61" s="1058">
        <v>6</v>
      </c>
      <c r="B61" s="1059">
        <v>6</v>
      </c>
      <c r="C61" s="1060" t="s">
        <v>636</v>
      </c>
      <c r="D61" s="185">
        <v>121319278.42</v>
      </c>
      <c r="E61" s="185">
        <v>7536214.9199999999</v>
      </c>
      <c r="F61" s="185">
        <v>7382421.9400000004</v>
      </c>
      <c r="G61" s="185">
        <v>4815015.2300000004</v>
      </c>
      <c r="H61" s="186">
        <v>0</v>
      </c>
      <c r="I61" s="186">
        <v>153792.98000000001</v>
      </c>
      <c r="J61" s="186">
        <v>4815015.2300000004</v>
      </c>
      <c r="K61" s="195">
        <v>6.2</v>
      </c>
      <c r="L61" s="187">
        <v>98</v>
      </c>
      <c r="M61" s="390">
        <v>63.9</v>
      </c>
    </row>
    <row r="62" spans="1:13" s="1" customFormat="1" ht="13.5">
      <c r="A62" s="1058">
        <v>6</v>
      </c>
      <c r="B62" s="1059">
        <v>7</v>
      </c>
      <c r="C62" s="1060" t="s">
        <v>635</v>
      </c>
      <c r="D62" s="185">
        <v>131003551.48999999</v>
      </c>
      <c r="E62" s="185">
        <v>11813801.630000001</v>
      </c>
      <c r="F62" s="185">
        <v>11746752.029999999</v>
      </c>
      <c r="G62" s="185">
        <v>8324371.1699999999</v>
      </c>
      <c r="H62" s="186">
        <v>0</v>
      </c>
      <c r="I62" s="186">
        <v>67049.600000000006</v>
      </c>
      <c r="J62" s="186">
        <v>8324371.1699999999</v>
      </c>
      <c r="K62" s="195">
        <v>9</v>
      </c>
      <c r="L62" s="187">
        <v>99.4</v>
      </c>
      <c r="M62" s="390">
        <v>70.5</v>
      </c>
    </row>
    <row r="63" spans="1:13" s="1" customFormat="1" ht="13.5">
      <c r="A63" s="1058">
        <v>6</v>
      </c>
      <c r="B63" s="1059">
        <v>8</v>
      </c>
      <c r="C63" s="1060" t="s">
        <v>634</v>
      </c>
      <c r="D63" s="185">
        <v>116212374.36</v>
      </c>
      <c r="E63" s="185">
        <v>10828939.119999999</v>
      </c>
      <c r="F63" s="185">
        <v>10414098.43</v>
      </c>
      <c r="G63" s="185">
        <v>6839169.0999999996</v>
      </c>
      <c r="H63" s="186">
        <v>0</v>
      </c>
      <c r="I63" s="186">
        <v>414840.69</v>
      </c>
      <c r="J63" s="186">
        <v>6839169.0999999996</v>
      </c>
      <c r="K63" s="195">
        <v>9.3000000000000007</v>
      </c>
      <c r="L63" s="187">
        <v>96.2</v>
      </c>
      <c r="M63" s="390">
        <v>63.2</v>
      </c>
    </row>
    <row r="64" spans="1:13" s="1" customFormat="1" ht="13.5">
      <c r="A64" s="1058">
        <v>6</v>
      </c>
      <c r="B64" s="1059">
        <v>9</v>
      </c>
      <c r="C64" s="1060" t="s">
        <v>633</v>
      </c>
      <c r="D64" s="185">
        <v>176683861.13</v>
      </c>
      <c r="E64" s="185">
        <v>22315499.23</v>
      </c>
      <c r="F64" s="185">
        <v>20753054.440000001</v>
      </c>
      <c r="G64" s="185">
        <v>14543582.960000001</v>
      </c>
      <c r="H64" s="186">
        <v>0</v>
      </c>
      <c r="I64" s="186">
        <v>1562444.79</v>
      </c>
      <c r="J64" s="186">
        <v>14543582.960000001</v>
      </c>
      <c r="K64" s="195">
        <v>12.6</v>
      </c>
      <c r="L64" s="187">
        <v>93</v>
      </c>
      <c r="M64" s="390">
        <v>65.2</v>
      </c>
    </row>
    <row r="65" spans="1:13" s="1" customFormat="1" ht="13.5">
      <c r="A65" s="1058">
        <v>6</v>
      </c>
      <c r="B65" s="1059">
        <v>10</v>
      </c>
      <c r="C65" s="1060" t="s">
        <v>632</v>
      </c>
      <c r="D65" s="185">
        <v>81022038.700000003</v>
      </c>
      <c r="E65" s="185">
        <v>9733662.0399999991</v>
      </c>
      <c r="F65" s="185">
        <v>9529576.3599999994</v>
      </c>
      <c r="G65" s="185">
        <v>7015255.5899999999</v>
      </c>
      <c r="H65" s="186">
        <v>0</v>
      </c>
      <c r="I65" s="186">
        <v>204085.68</v>
      </c>
      <c r="J65" s="186">
        <v>7015255.5899999999</v>
      </c>
      <c r="K65" s="195">
        <v>12</v>
      </c>
      <c r="L65" s="187">
        <v>97.9</v>
      </c>
      <c r="M65" s="390">
        <v>72.099999999999994</v>
      </c>
    </row>
    <row r="66" spans="1:13" s="1" customFormat="1" ht="13.5">
      <c r="A66" s="1058">
        <v>6</v>
      </c>
      <c r="B66" s="1059">
        <v>11</v>
      </c>
      <c r="C66" s="1060" t="s">
        <v>631</v>
      </c>
      <c r="D66" s="185">
        <v>179674894.55000001</v>
      </c>
      <c r="E66" s="185">
        <v>13547733.98</v>
      </c>
      <c r="F66" s="185">
        <v>13344657.98</v>
      </c>
      <c r="G66" s="185">
        <v>9845659.0399999991</v>
      </c>
      <c r="H66" s="186">
        <v>0</v>
      </c>
      <c r="I66" s="186">
        <v>203076</v>
      </c>
      <c r="J66" s="186">
        <v>9845659.0399999991</v>
      </c>
      <c r="K66" s="195">
        <v>7.5</v>
      </c>
      <c r="L66" s="187">
        <v>98.5</v>
      </c>
      <c r="M66" s="390">
        <v>72.7</v>
      </c>
    </row>
    <row r="67" spans="1:13" s="1" customFormat="1" ht="13.5">
      <c r="A67" s="1058">
        <v>6</v>
      </c>
      <c r="B67" s="1059">
        <v>12</v>
      </c>
      <c r="C67" s="1060" t="s">
        <v>531</v>
      </c>
      <c r="D67" s="185">
        <v>78938168.900000006</v>
      </c>
      <c r="E67" s="185">
        <v>6769827.4000000004</v>
      </c>
      <c r="F67" s="185">
        <v>6398820.04</v>
      </c>
      <c r="G67" s="185">
        <v>4308962.29</v>
      </c>
      <c r="H67" s="186">
        <v>0</v>
      </c>
      <c r="I67" s="186">
        <v>371007.36</v>
      </c>
      <c r="J67" s="186">
        <v>4308962.29</v>
      </c>
      <c r="K67" s="195">
        <v>8.6</v>
      </c>
      <c r="L67" s="187">
        <v>94.5</v>
      </c>
      <c r="M67" s="390">
        <v>63.6</v>
      </c>
    </row>
    <row r="68" spans="1:13" s="1" customFormat="1" ht="13.5">
      <c r="A68" s="1058">
        <v>6</v>
      </c>
      <c r="B68" s="1059">
        <v>13</v>
      </c>
      <c r="C68" s="1060" t="s">
        <v>630</v>
      </c>
      <c r="D68" s="185">
        <v>48331272.439999998</v>
      </c>
      <c r="E68" s="185">
        <v>5332167.67</v>
      </c>
      <c r="F68" s="185">
        <v>5205966.03</v>
      </c>
      <c r="G68" s="185">
        <v>3735576.15</v>
      </c>
      <c r="H68" s="186">
        <v>0</v>
      </c>
      <c r="I68" s="186">
        <v>126201.64</v>
      </c>
      <c r="J68" s="186">
        <v>3735576.15</v>
      </c>
      <c r="K68" s="195">
        <v>11</v>
      </c>
      <c r="L68" s="187">
        <v>97.6</v>
      </c>
      <c r="M68" s="390">
        <v>70.099999999999994</v>
      </c>
    </row>
    <row r="69" spans="1:13" s="1" customFormat="1" ht="13.5">
      <c r="A69" s="1058">
        <v>6</v>
      </c>
      <c r="B69" s="1059">
        <v>14</v>
      </c>
      <c r="C69" s="1060" t="s">
        <v>629</v>
      </c>
      <c r="D69" s="185">
        <v>152791595.08000001</v>
      </c>
      <c r="E69" s="185">
        <v>15942215.189999999</v>
      </c>
      <c r="F69" s="185">
        <v>15926348.189999999</v>
      </c>
      <c r="G69" s="185">
        <v>12401648.09</v>
      </c>
      <c r="H69" s="186">
        <v>0</v>
      </c>
      <c r="I69" s="186">
        <v>15867</v>
      </c>
      <c r="J69" s="186">
        <v>12401648.09</v>
      </c>
      <c r="K69" s="195">
        <v>10.4</v>
      </c>
      <c r="L69" s="187">
        <v>99.9</v>
      </c>
      <c r="M69" s="390">
        <v>77.8</v>
      </c>
    </row>
    <row r="70" spans="1:13" s="1" customFormat="1" ht="13.5">
      <c r="A70" s="1058">
        <v>6</v>
      </c>
      <c r="B70" s="1059">
        <v>15</v>
      </c>
      <c r="C70" s="1060" t="s">
        <v>628</v>
      </c>
      <c r="D70" s="185">
        <v>93412497.739999995</v>
      </c>
      <c r="E70" s="185">
        <v>5929282.4699999997</v>
      </c>
      <c r="F70" s="185">
        <v>5911282.4699999997</v>
      </c>
      <c r="G70" s="185">
        <v>3877429.69</v>
      </c>
      <c r="H70" s="186">
        <v>0</v>
      </c>
      <c r="I70" s="186">
        <v>18000</v>
      </c>
      <c r="J70" s="186">
        <v>3877429.69</v>
      </c>
      <c r="K70" s="195">
        <v>6.3</v>
      </c>
      <c r="L70" s="187">
        <v>99.7</v>
      </c>
      <c r="M70" s="390">
        <v>65.400000000000006</v>
      </c>
    </row>
    <row r="71" spans="1:13" s="1" customFormat="1" ht="13.5">
      <c r="A71" s="1058">
        <v>6</v>
      </c>
      <c r="B71" s="1059">
        <v>16</v>
      </c>
      <c r="C71" s="1060" t="s">
        <v>627</v>
      </c>
      <c r="D71" s="185">
        <v>81688576.439999998</v>
      </c>
      <c r="E71" s="185">
        <v>6776670.2400000002</v>
      </c>
      <c r="F71" s="185">
        <v>6617764.7400000002</v>
      </c>
      <c r="G71" s="185">
        <v>4627206.4800000004</v>
      </c>
      <c r="H71" s="186">
        <v>0</v>
      </c>
      <c r="I71" s="186">
        <v>158905.5</v>
      </c>
      <c r="J71" s="186">
        <v>4627206.4800000004</v>
      </c>
      <c r="K71" s="195">
        <v>8.3000000000000007</v>
      </c>
      <c r="L71" s="187">
        <v>97.7</v>
      </c>
      <c r="M71" s="390">
        <v>68.3</v>
      </c>
    </row>
    <row r="72" spans="1:13" s="1" customFormat="1" ht="13.5">
      <c r="A72" s="1058">
        <v>6</v>
      </c>
      <c r="B72" s="1059">
        <v>17</v>
      </c>
      <c r="C72" s="1060" t="s">
        <v>626</v>
      </c>
      <c r="D72" s="185">
        <v>99206356.680000007</v>
      </c>
      <c r="E72" s="185">
        <v>9545438.1199999992</v>
      </c>
      <c r="F72" s="185">
        <v>9301726.1699999999</v>
      </c>
      <c r="G72" s="185">
        <v>6515045.0700000003</v>
      </c>
      <c r="H72" s="186">
        <v>60947.27</v>
      </c>
      <c r="I72" s="186">
        <v>243711.95</v>
      </c>
      <c r="J72" s="186">
        <v>6515045.0700000003</v>
      </c>
      <c r="K72" s="195">
        <v>9.6</v>
      </c>
      <c r="L72" s="187">
        <v>97.4</v>
      </c>
      <c r="M72" s="390">
        <v>68.3</v>
      </c>
    </row>
    <row r="73" spans="1:13" s="1" customFormat="1" ht="13.5">
      <c r="A73" s="1058">
        <v>6</v>
      </c>
      <c r="B73" s="1059">
        <v>18</v>
      </c>
      <c r="C73" s="1060" t="s">
        <v>597</v>
      </c>
      <c r="D73" s="185">
        <v>111002873.86</v>
      </c>
      <c r="E73" s="185">
        <v>8998004.0600000005</v>
      </c>
      <c r="F73" s="185">
        <v>8908853.0600000005</v>
      </c>
      <c r="G73" s="185">
        <v>6168637.54</v>
      </c>
      <c r="H73" s="186">
        <v>0</v>
      </c>
      <c r="I73" s="186">
        <v>89151</v>
      </c>
      <c r="J73" s="186">
        <v>6168637.54</v>
      </c>
      <c r="K73" s="195">
        <v>8.1</v>
      </c>
      <c r="L73" s="187">
        <v>99</v>
      </c>
      <c r="M73" s="390">
        <v>68.599999999999994</v>
      </c>
    </row>
    <row r="74" spans="1:13" s="1" customFormat="1" ht="13.5">
      <c r="A74" s="1058">
        <v>6</v>
      </c>
      <c r="B74" s="1059">
        <v>19</v>
      </c>
      <c r="C74" s="1060" t="s">
        <v>625</v>
      </c>
      <c r="D74" s="185">
        <v>81301819.670000002</v>
      </c>
      <c r="E74" s="185">
        <v>6319376.0700000003</v>
      </c>
      <c r="F74" s="185">
        <v>6266855.0700000003</v>
      </c>
      <c r="G74" s="185">
        <v>4704729.2699999996</v>
      </c>
      <c r="H74" s="186">
        <v>0</v>
      </c>
      <c r="I74" s="186">
        <v>52521</v>
      </c>
      <c r="J74" s="186">
        <v>4704729.2699999996</v>
      </c>
      <c r="K74" s="195">
        <v>7.8</v>
      </c>
      <c r="L74" s="187">
        <v>99.2</v>
      </c>
      <c r="M74" s="390">
        <v>74.400000000000006</v>
      </c>
    </row>
    <row r="75" spans="1:13" s="1" customFormat="1" ht="13.5">
      <c r="A75" s="1058">
        <v>6</v>
      </c>
      <c r="B75" s="1059">
        <v>20</v>
      </c>
      <c r="C75" s="1060" t="s">
        <v>624</v>
      </c>
      <c r="D75" s="185">
        <v>102127036.90000001</v>
      </c>
      <c r="E75" s="185">
        <v>12781290.68</v>
      </c>
      <c r="F75" s="185">
        <v>12704830.859999999</v>
      </c>
      <c r="G75" s="185">
        <v>8492048.7699999996</v>
      </c>
      <c r="H75" s="186">
        <v>0</v>
      </c>
      <c r="I75" s="186">
        <v>76459.820000000007</v>
      </c>
      <c r="J75" s="186">
        <v>8492048.7699999996</v>
      </c>
      <c r="K75" s="195">
        <v>12.5</v>
      </c>
      <c r="L75" s="187">
        <v>99.4</v>
      </c>
      <c r="M75" s="390">
        <v>66.400000000000006</v>
      </c>
    </row>
    <row r="76" spans="1:13" s="1" customFormat="1" ht="13.5">
      <c r="A76" s="1058">
        <v>8</v>
      </c>
      <c r="B76" s="1059">
        <v>1</v>
      </c>
      <c r="C76" s="1060" t="s">
        <v>623</v>
      </c>
      <c r="D76" s="185">
        <v>71470195.489999995</v>
      </c>
      <c r="E76" s="185">
        <v>11759699.630000001</v>
      </c>
      <c r="F76" s="185">
        <v>11741516.48</v>
      </c>
      <c r="G76" s="185">
        <v>7423281.3700000001</v>
      </c>
      <c r="H76" s="186">
        <v>0</v>
      </c>
      <c r="I76" s="186">
        <v>18183.150000000001</v>
      </c>
      <c r="J76" s="186">
        <v>7423281.3700000001</v>
      </c>
      <c r="K76" s="195">
        <v>16.5</v>
      </c>
      <c r="L76" s="187">
        <v>99.8</v>
      </c>
      <c r="M76" s="390">
        <v>63.1</v>
      </c>
    </row>
    <row r="77" spans="1:13" s="1" customFormat="1" ht="13.5">
      <c r="A77" s="1058">
        <v>8</v>
      </c>
      <c r="B77" s="1059">
        <v>2</v>
      </c>
      <c r="C77" s="1060" t="s">
        <v>522</v>
      </c>
      <c r="D77" s="185">
        <v>76353584.019999996</v>
      </c>
      <c r="E77" s="185">
        <v>6862146.5099999998</v>
      </c>
      <c r="F77" s="185">
        <v>6746108.5199999996</v>
      </c>
      <c r="G77" s="185">
        <v>4726422.16</v>
      </c>
      <c r="H77" s="186">
        <v>0</v>
      </c>
      <c r="I77" s="186">
        <v>116037.99</v>
      </c>
      <c r="J77" s="186">
        <v>4726422.16</v>
      </c>
      <c r="K77" s="195">
        <v>9</v>
      </c>
      <c r="L77" s="187">
        <v>98.3</v>
      </c>
      <c r="M77" s="390">
        <v>68.900000000000006</v>
      </c>
    </row>
    <row r="78" spans="1:13" s="1" customFormat="1" ht="13.5">
      <c r="A78" s="1058">
        <v>8</v>
      </c>
      <c r="B78" s="1059">
        <v>3</v>
      </c>
      <c r="C78" s="1060" t="s">
        <v>622</v>
      </c>
      <c r="D78" s="185">
        <v>98158948.620000005</v>
      </c>
      <c r="E78" s="185">
        <v>7328851.1699999999</v>
      </c>
      <c r="F78" s="185">
        <v>7251036.7199999997</v>
      </c>
      <c r="G78" s="185">
        <v>5016705.8899999997</v>
      </c>
      <c r="H78" s="186">
        <v>12000</v>
      </c>
      <c r="I78" s="186">
        <v>77814.45</v>
      </c>
      <c r="J78" s="186">
        <v>5016705.8899999997</v>
      </c>
      <c r="K78" s="195">
        <v>7.5</v>
      </c>
      <c r="L78" s="187">
        <v>98.9</v>
      </c>
      <c r="M78" s="390">
        <v>68.5</v>
      </c>
    </row>
    <row r="79" spans="1:13" s="1" customFormat="1" ht="13.5">
      <c r="A79" s="1058">
        <v>8</v>
      </c>
      <c r="B79" s="1059">
        <v>4</v>
      </c>
      <c r="C79" s="1060" t="s">
        <v>621</v>
      </c>
      <c r="D79" s="185">
        <v>105541952.16</v>
      </c>
      <c r="E79" s="185">
        <v>9443953.7300000004</v>
      </c>
      <c r="F79" s="185">
        <v>8987960.9299999997</v>
      </c>
      <c r="G79" s="185">
        <v>6150558.2400000002</v>
      </c>
      <c r="H79" s="186">
        <v>12000</v>
      </c>
      <c r="I79" s="186">
        <v>455992.8</v>
      </c>
      <c r="J79" s="186">
        <v>6150558.2400000002</v>
      </c>
      <c r="K79" s="195">
        <v>8.9</v>
      </c>
      <c r="L79" s="187">
        <v>95.2</v>
      </c>
      <c r="M79" s="390">
        <v>65.099999999999994</v>
      </c>
    </row>
    <row r="80" spans="1:13" s="1" customFormat="1" ht="13.5">
      <c r="A80" s="1058">
        <v>8</v>
      </c>
      <c r="B80" s="1059">
        <v>5</v>
      </c>
      <c r="C80" s="1060" t="s">
        <v>620</v>
      </c>
      <c r="D80" s="185">
        <v>52169972.700000003</v>
      </c>
      <c r="E80" s="185">
        <v>7697727.9900000002</v>
      </c>
      <c r="F80" s="185">
        <v>7683976.5899999999</v>
      </c>
      <c r="G80" s="185">
        <v>5560743.6399999997</v>
      </c>
      <c r="H80" s="186">
        <v>0</v>
      </c>
      <c r="I80" s="186">
        <v>13751.4</v>
      </c>
      <c r="J80" s="186">
        <v>5560743.6399999997</v>
      </c>
      <c r="K80" s="195">
        <v>14.8</v>
      </c>
      <c r="L80" s="187">
        <v>99.8</v>
      </c>
      <c r="M80" s="390">
        <v>72.2</v>
      </c>
    </row>
    <row r="81" spans="1:13" s="1" customFormat="1" ht="13.5">
      <c r="A81" s="1058">
        <v>8</v>
      </c>
      <c r="B81" s="1059">
        <v>6</v>
      </c>
      <c r="C81" s="1060" t="s">
        <v>619</v>
      </c>
      <c r="D81" s="185">
        <v>60456945.560000002</v>
      </c>
      <c r="E81" s="185">
        <v>10182520.1</v>
      </c>
      <c r="F81" s="185">
        <v>9151878.5</v>
      </c>
      <c r="G81" s="185">
        <v>6732433.3799999999</v>
      </c>
      <c r="H81" s="186">
        <v>0</v>
      </c>
      <c r="I81" s="186">
        <v>1030641.6</v>
      </c>
      <c r="J81" s="186">
        <v>6732433.3799999999</v>
      </c>
      <c r="K81" s="195">
        <v>16.8</v>
      </c>
      <c r="L81" s="187">
        <v>89.9</v>
      </c>
      <c r="M81" s="390">
        <v>66.099999999999994</v>
      </c>
    </row>
    <row r="82" spans="1:13" s="1" customFormat="1" ht="13.5">
      <c r="A82" s="1058">
        <v>8</v>
      </c>
      <c r="B82" s="1059">
        <v>7</v>
      </c>
      <c r="C82" s="1060" t="s">
        <v>618</v>
      </c>
      <c r="D82" s="185">
        <v>52878575.280000001</v>
      </c>
      <c r="E82" s="185">
        <v>5186286.12</v>
      </c>
      <c r="F82" s="185">
        <v>5129051.12</v>
      </c>
      <c r="G82" s="185">
        <v>3373196.19</v>
      </c>
      <c r="H82" s="186">
        <v>0</v>
      </c>
      <c r="I82" s="186">
        <v>57235</v>
      </c>
      <c r="J82" s="186">
        <v>3373196.19</v>
      </c>
      <c r="K82" s="195">
        <v>9.8000000000000007</v>
      </c>
      <c r="L82" s="187">
        <v>98.9</v>
      </c>
      <c r="M82" s="390">
        <v>65</v>
      </c>
    </row>
    <row r="83" spans="1:13" s="1" customFormat="1" ht="13.5">
      <c r="A83" s="1058">
        <v>8</v>
      </c>
      <c r="B83" s="1059">
        <v>8</v>
      </c>
      <c r="C83" s="1060" t="s">
        <v>617</v>
      </c>
      <c r="D83" s="185">
        <v>83608989.670000002</v>
      </c>
      <c r="E83" s="185">
        <v>9340585.5299999993</v>
      </c>
      <c r="F83" s="185">
        <v>8091388.3499999996</v>
      </c>
      <c r="G83" s="185">
        <v>5714496.9800000004</v>
      </c>
      <c r="H83" s="186">
        <v>12000</v>
      </c>
      <c r="I83" s="186">
        <v>1249197.18</v>
      </c>
      <c r="J83" s="186">
        <v>5714496.9800000004</v>
      </c>
      <c r="K83" s="195">
        <v>11.2</v>
      </c>
      <c r="L83" s="187">
        <v>86.6</v>
      </c>
      <c r="M83" s="390">
        <v>61.2</v>
      </c>
    </row>
    <row r="84" spans="1:13" s="1" customFormat="1" ht="13.5">
      <c r="A84" s="1058">
        <v>8</v>
      </c>
      <c r="B84" s="1059">
        <v>9</v>
      </c>
      <c r="C84" s="1060" t="s">
        <v>616</v>
      </c>
      <c r="D84" s="185">
        <v>89574209.049999997</v>
      </c>
      <c r="E84" s="185">
        <v>9926926.5700000003</v>
      </c>
      <c r="F84" s="185">
        <v>9678947.4700000007</v>
      </c>
      <c r="G84" s="185">
        <v>5876566.7599999998</v>
      </c>
      <c r="H84" s="186">
        <v>0</v>
      </c>
      <c r="I84" s="186">
        <v>247979.1</v>
      </c>
      <c r="J84" s="186">
        <v>5876566.7599999998</v>
      </c>
      <c r="K84" s="195">
        <v>11.1</v>
      </c>
      <c r="L84" s="187">
        <v>97.5</v>
      </c>
      <c r="M84" s="390">
        <v>59.2</v>
      </c>
    </row>
    <row r="85" spans="1:13" s="1" customFormat="1" ht="13.5">
      <c r="A85" s="1058">
        <v>8</v>
      </c>
      <c r="B85" s="1059">
        <v>10</v>
      </c>
      <c r="C85" s="1060" t="s">
        <v>615</v>
      </c>
      <c r="D85" s="185">
        <v>94242719.799999997</v>
      </c>
      <c r="E85" s="185">
        <v>10140456.51</v>
      </c>
      <c r="F85" s="185">
        <v>10091249.51</v>
      </c>
      <c r="G85" s="185">
        <v>6818574.79</v>
      </c>
      <c r="H85" s="186">
        <v>0</v>
      </c>
      <c r="I85" s="186">
        <v>49207</v>
      </c>
      <c r="J85" s="186">
        <v>6818574.79</v>
      </c>
      <c r="K85" s="195">
        <v>10.8</v>
      </c>
      <c r="L85" s="187">
        <v>99.5</v>
      </c>
      <c r="M85" s="390">
        <v>67.2</v>
      </c>
    </row>
    <row r="86" spans="1:13" s="1" customFormat="1" ht="13.5">
      <c r="A86" s="1058">
        <v>8</v>
      </c>
      <c r="B86" s="1059">
        <v>11</v>
      </c>
      <c r="C86" s="1060" t="s">
        <v>614</v>
      </c>
      <c r="D86" s="185">
        <v>128535576.26000001</v>
      </c>
      <c r="E86" s="185">
        <v>8545632.8399999999</v>
      </c>
      <c r="F86" s="185">
        <v>8470264.8599999994</v>
      </c>
      <c r="G86" s="185">
        <v>5607724.4100000001</v>
      </c>
      <c r="H86" s="186">
        <v>0</v>
      </c>
      <c r="I86" s="186">
        <v>75367.98</v>
      </c>
      <c r="J86" s="186">
        <v>5607724.4100000001</v>
      </c>
      <c r="K86" s="195">
        <v>6.6</v>
      </c>
      <c r="L86" s="187">
        <v>99.1</v>
      </c>
      <c r="M86" s="390">
        <v>65.599999999999994</v>
      </c>
    </row>
    <row r="87" spans="1:13" s="1" customFormat="1" ht="13.5">
      <c r="A87" s="1058">
        <v>8</v>
      </c>
      <c r="B87" s="1059">
        <v>12</v>
      </c>
      <c r="C87" s="1060" t="s">
        <v>613</v>
      </c>
      <c r="D87" s="185">
        <v>49316905.640000001</v>
      </c>
      <c r="E87" s="185">
        <v>5030340.42</v>
      </c>
      <c r="F87" s="185">
        <v>4992195.42</v>
      </c>
      <c r="G87" s="185">
        <v>2939996.32</v>
      </c>
      <c r="H87" s="186">
        <v>0</v>
      </c>
      <c r="I87" s="186">
        <v>38145</v>
      </c>
      <c r="J87" s="186">
        <v>2939996.32</v>
      </c>
      <c r="K87" s="195">
        <v>10.199999999999999</v>
      </c>
      <c r="L87" s="187">
        <v>99.2</v>
      </c>
      <c r="M87" s="390">
        <v>58.4</v>
      </c>
    </row>
    <row r="88" spans="1:13" s="1" customFormat="1" ht="13.5">
      <c r="A88" s="1058">
        <v>10</v>
      </c>
      <c r="B88" s="1059">
        <v>1</v>
      </c>
      <c r="C88" s="1060" t="s">
        <v>612</v>
      </c>
      <c r="D88" s="185">
        <v>136943414.59</v>
      </c>
      <c r="E88" s="185">
        <v>17593240.93</v>
      </c>
      <c r="F88" s="185">
        <v>17017750.620000001</v>
      </c>
      <c r="G88" s="185">
        <v>12819775.779999999</v>
      </c>
      <c r="H88" s="186">
        <v>24466.98</v>
      </c>
      <c r="I88" s="186">
        <v>575490.31000000006</v>
      </c>
      <c r="J88" s="186">
        <v>12819775.779999999</v>
      </c>
      <c r="K88" s="195">
        <v>12.8</v>
      </c>
      <c r="L88" s="187">
        <v>96.7</v>
      </c>
      <c r="M88" s="390">
        <v>72.900000000000006</v>
      </c>
    </row>
    <row r="89" spans="1:13" s="1" customFormat="1" ht="13.5">
      <c r="A89" s="1058">
        <v>10</v>
      </c>
      <c r="B89" s="1059">
        <v>2</v>
      </c>
      <c r="C89" s="1060" t="s">
        <v>611</v>
      </c>
      <c r="D89" s="185">
        <v>142503467.61000001</v>
      </c>
      <c r="E89" s="185">
        <v>11705360.880000001</v>
      </c>
      <c r="F89" s="185">
        <v>11559703.300000001</v>
      </c>
      <c r="G89" s="185">
        <v>8341770.3700000001</v>
      </c>
      <c r="H89" s="186">
        <v>0</v>
      </c>
      <c r="I89" s="186">
        <v>145657.57999999999</v>
      </c>
      <c r="J89" s="186">
        <v>8341770.3700000001</v>
      </c>
      <c r="K89" s="195">
        <v>8.1999999999999993</v>
      </c>
      <c r="L89" s="187">
        <v>98.8</v>
      </c>
      <c r="M89" s="390">
        <v>71.3</v>
      </c>
    </row>
    <row r="90" spans="1:13" s="1" customFormat="1" ht="13.5">
      <c r="A90" s="1058">
        <v>10</v>
      </c>
      <c r="B90" s="1059">
        <v>3</v>
      </c>
      <c r="C90" s="1060" t="s">
        <v>610</v>
      </c>
      <c r="D90" s="185">
        <v>58132326.75</v>
      </c>
      <c r="E90" s="185">
        <v>8285486.2199999997</v>
      </c>
      <c r="F90" s="185">
        <v>8240486.6699999999</v>
      </c>
      <c r="G90" s="185">
        <v>5703657.0599999996</v>
      </c>
      <c r="H90" s="186">
        <v>0</v>
      </c>
      <c r="I90" s="186">
        <v>44999.55</v>
      </c>
      <c r="J90" s="186">
        <v>5703657.0599999996</v>
      </c>
      <c r="K90" s="195">
        <v>14.3</v>
      </c>
      <c r="L90" s="187">
        <v>99.5</v>
      </c>
      <c r="M90" s="390">
        <v>68.8</v>
      </c>
    </row>
    <row r="91" spans="1:13" s="1" customFormat="1" ht="13.5">
      <c r="A91" s="1058">
        <v>10</v>
      </c>
      <c r="B91" s="1059">
        <v>4</v>
      </c>
      <c r="C91" s="1060" t="s">
        <v>609</v>
      </c>
      <c r="D91" s="185">
        <v>70142241.540000007</v>
      </c>
      <c r="E91" s="185">
        <v>6557894.2400000002</v>
      </c>
      <c r="F91" s="185">
        <v>6522900.7400000002</v>
      </c>
      <c r="G91" s="185">
        <v>4646942.8899999997</v>
      </c>
      <c r="H91" s="186">
        <v>0</v>
      </c>
      <c r="I91" s="186">
        <v>34993.5</v>
      </c>
      <c r="J91" s="186">
        <v>4646942.8899999997</v>
      </c>
      <c r="K91" s="195">
        <v>9.3000000000000007</v>
      </c>
      <c r="L91" s="187">
        <v>99.5</v>
      </c>
      <c r="M91" s="390">
        <v>70.900000000000006</v>
      </c>
    </row>
    <row r="92" spans="1:13" s="1" customFormat="1" ht="13.5">
      <c r="A92" s="1058">
        <v>10</v>
      </c>
      <c r="B92" s="1059">
        <v>5</v>
      </c>
      <c r="C92" s="1060" t="s">
        <v>608</v>
      </c>
      <c r="D92" s="185">
        <v>104451047.23</v>
      </c>
      <c r="E92" s="185">
        <v>11164796.59</v>
      </c>
      <c r="F92" s="185">
        <v>10873913.890000001</v>
      </c>
      <c r="G92" s="185">
        <v>7368479.21</v>
      </c>
      <c r="H92" s="186">
        <v>0</v>
      </c>
      <c r="I92" s="186">
        <v>290882.7</v>
      </c>
      <c r="J92" s="186">
        <v>7368479.21</v>
      </c>
      <c r="K92" s="195">
        <v>10.7</v>
      </c>
      <c r="L92" s="187">
        <v>97.4</v>
      </c>
      <c r="M92" s="390">
        <v>66</v>
      </c>
    </row>
    <row r="93" spans="1:13" s="1" customFormat="1" ht="13.5">
      <c r="A93" s="1058">
        <v>10</v>
      </c>
      <c r="B93" s="1059">
        <v>6</v>
      </c>
      <c r="C93" s="1060" t="s">
        <v>607</v>
      </c>
      <c r="D93" s="185">
        <v>74184626.010000005</v>
      </c>
      <c r="E93" s="185">
        <v>10411578.560000001</v>
      </c>
      <c r="F93" s="185">
        <v>9995697.6600000001</v>
      </c>
      <c r="G93" s="185">
        <v>7294057.5700000003</v>
      </c>
      <c r="H93" s="186">
        <v>0</v>
      </c>
      <c r="I93" s="186">
        <v>415880.9</v>
      </c>
      <c r="J93" s="186">
        <v>7294057.5700000003</v>
      </c>
      <c r="K93" s="195">
        <v>14</v>
      </c>
      <c r="L93" s="187">
        <v>96</v>
      </c>
      <c r="M93" s="390">
        <v>70.099999999999994</v>
      </c>
    </row>
    <row r="94" spans="1:13" s="1" customFormat="1" ht="13.5">
      <c r="A94" s="1058">
        <v>10</v>
      </c>
      <c r="B94" s="1059">
        <v>7</v>
      </c>
      <c r="C94" s="1060" t="s">
        <v>606</v>
      </c>
      <c r="D94" s="185">
        <v>92852810.519999996</v>
      </c>
      <c r="E94" s="185">
        <v>12149856.92</v>
      </c>
      <c r="F94" s="185">
        <v>12069960.42</v>
      </c>
      <c r="G94" s="185">
        <v>8595639.7200000007</v>
      </c>
      <c r="H94" s="186">
        <v>0</v>
      </c>
      <c r="I94" s="186">
        <v>79896.5</v>
      </c>
      <c r="J94" s="186">
        <v>8595639.7200000007</v>
      </c>
      <c r="K94" s="195">
        <v>13.1</v>
      </c>
      <c r="L94" s="187">
        <v>99.3</v>
      </c>
      <c r="M94" s="390">
        <v>70.7</v>
      </c>
    </row>
    <row r="95" spans="1:13" s="1" customFormat="1" ht="13.5">
      <c r="A95" s="1058">
        <v>10</v>
      </c>
      <c r="B95" s="1059">
        <v>8</v>
      </c>
      <c r="C95" s="1060" t="s">
        <v>605</v>
      </c>
      <c r="D95" s="185">
        <v>122342492.31</v>
      </c>
      <c r="E95" s="185">
        <v>16437946.02</v>
      </c>
      <c r="F95" s="185">
        <v>15922312.949999999</v>
      </c>
      <c r="G95" s="185">
        <v>11307170.359999999</v>
      </c>
      <c r="H95" s="186">
        <v>0</v>
      </c>
      <c r="I95" s="186">
        <v>515633.07</v>
      </c>
      <c r="J95" s="186">
        <v>11307170.359999999</v>
      </c>
      <c r="K95" s="195">
        <v>13.4</v>
      </c>
      <c r="L95" s="187">
        <v>96.9</v>
      </c>
      <c r="M95" s="390">
        <v>68.8</v>
      </c>
    </row>
    <row r="96" spans="1:13" s="1" customFormat="1" ht="13.5">
      <c r="A96" s="1058">
        <v>10</v>
      </c>
      <c r="B96" s="1059">
        <v>9</v>
      </c>
      <c r="C96" s="1060" t="s">
        <v>604</v>
      </c>
      <c r="D96" s="185">
        <v>54909467.950000003</v>
      </c>
      <c r="E96" s="185">
        <v>6867422.7300000004</v>
      </c>
      <c r="F96" s="185">
        <v>6604778.0899999999</v>
      </c>
      <c r="G96" s="185">
        <v>4845034.8099999996</v>
      </c>
      <c r="H96" s="186">
        <v>0</v>
      </c>
      <c r="I96" s="186">
        <v>262644.64</v>
      </c>
      <c r="J96" s="186">
        <v>4845034.8099999996</v>
      </c>
      <c r="K96" s="195">
        <v>12.5</v>
      </c>
      <c r="L96" s="187">
        <v>96.2</v>
      </c>
      <c r="M96" s="390">
        <v>70.599999999999994</v>
      </c>
    </row>
    <row r="97" spans="1:13" s="1" customFormat="1" ht="13.5">
      <c r="A97" s="1058">
        <v>10</v>
      </c>
      <c r="B97" s="1059">
        <v>10</v>
      </c>
      <c r="C97" s="1060" t="s">
        <v>603</v>
      </c>
      <c r="D97" s="185">
        <v>90751495.519999996</v>
      </c>
      <c r="E97" s="185">
        <v>18097588.719999999</v>
      </c>
      <c r="F97" s="185">
        <v>17958507.719999999</v>
      </c>
      <c r="G97" s="185">
        <v>11990817.470000001</v>
      </c>
      <c r="H97" s="186">
        <v>16784.32</v>
      </c>
      <c r="I97" s="186">
        <v>139081</v>
      </c>
      <c r="J97" s="186">
        <v>11990817.470000001</v>
      </c>
      <c r="K97" s="195">
        <v>19.899999999999999</v>
      </c>
      <c r="L97" s="187">
        <v>99.2</v>
      </c>
      <c r="M97" s="390">
        <v>66.3</v>
      </c>
    </row>
    <row r="98" spans="1:13" s="1" customFormat="1" ht="13.5">
      <c r="A98" s="1058">
        <v>10</v>
      </c>
      <c r="B98" s="1059">
        <v>11</v>
      </c>
      <c r="C98" s="1060" t="s">
        <v>602</v>
      </c>
      <c r="D98" s="185">
        <v>51663525.299999997</v>
      </c>
      <c r="E98" s="185">
        <v>7827737.8399999999</v>
      </c>
      <c r="F98" s="185">
        <v>7638021.8899999997</v>
      </c>
      <c r="G98" s="185">
        <v>5660785.3099999996</v>
      </c>
      <c r="H98" s="186">
        <v>0</v>
      </c>
      <c r="I98" s="186">
        <v>189715.95</v>
      </c>
      <c r="J98" s="186">
        <v>5660785.3099999996</v>
      </c>
      <c r="K98" s="195">
        <v>15.2</v>
      </c>
      <c r="L98" s="187">
        <v>97.6</v>
      </c>
      <c r="M98" s="390">
        <v>72.3</v>
      </c>
    </row>
    <row r="99" spans="1:13" s="1" customFormat="1" ht="13.5">
      <c r="A99" s="1058">
        <v>10</v>
      </c>
      <c r="B99" s="1059">
        <v>12</v>
      </c>
      <c r="C99" s="1060" t="s">
        <v>601</v>
      </c>
      <c r="D99" s="185">
        <v>130181952.14</v>
      </c>
      <c r="E99" s="185">
        <v>15736981.07</v>
      </c>
      <c r="F99" s="185">
        <v>15534812.390000001</v>
      </c>
      <c r="G99" s="185">
        <v>11768561.970000001</v>
      </c>
      <c r="H99" s="186">
        <v>0</v>
      </c>
      <c r="I99" s="186">
        <v>202168.68</v>
      </c>
      <c r="J99" s="186">
        <v>11768561.970000001</v>
      </c>
      <c r="K99" s="195">
        <v>12.1</v>
      </c>
      <c r="L99" s="187">
        <v>98.7</v>
      </c>
      <c r="M99" s="390">
        <v>74.8</v>
      </c>
    </row>
    <row r="100" spans="1:13" s="1" customFormat="1" ht="13.5">
      <c r="A100" s="1058">
        <v>10</v>
      </c>
      <c r="B100" s="1059">
        <v>13</v>
      </c>
      <c r="C100" s="1060" t="s">
        <v>600</v>
      </c>
      <c r="D100" s="185">
        <v>84785349.090000004</v>
      </c>
      <c r="E100" s="185">
        <v>7858526.9900000002</v>
      </c>
      <c r="F100" s="185">
        <v>7758526.9900000002</v>
      </c>
      <c r="G100" s="185">
        <v>5057473.76</v>
      </c>
      <c r="H100" s="186">
        <v>0</v>
      </c>
      <c r="I100" s="186">
        <v>100000</v>
      </c>
      <c r="J100" s="186">
        <v>5057473.76</v>
      </c>
      <c r="K100" s="195">
        <v>9.3000000000000007</v>
      </c>
      <c r="L100" s="187">
        <v>98.7</v>
      </c>
      <c r="M100" s="390">
        <v>64.400000000000006</v>
      </c>
    </row>
    <row r="101" spans="1:13" s="1" customFormat="1" ht="13.5">
      <c r="A101" s="1058">
        <v>10</v>
      </c>
      <c r="B101" s="1059">
        <v>14</v>
      </c>
      <c r="C101" s="1060" t="s">
        <v>599</v>
      </c>
      <c r="D101" s="185">
        <v>162014286.91</v>
      </c>
      <c r="E101" s="185">
        <v>12648520.4</v>
      </c>
      <c r="F101" s="185">
        <v>12569993.800000001</v>
      </c>
      <c r="G101" s="185">
        <v>8707875.1199999992</v>
      </c>
      <c r="H101" s="186">
        <v>0</v>
      </c>
      <c r="I101" s="186">
        <v>78526.600000000006</v>
      </c>
      <c r="J101" s="186">
        <v>8707875.1199999992</v>
      </c>
      <c r="K101" s="195">
        <v>7.8</v>
      </c>
      <c r="L101" s="187">
        <v>99.4</v>
      </c>
      <c r="M101" s="390">
        <v>68.8</v>
      </c>
    </row>
    <row r="102" spans="1:13" s="1" customFormat="1" ht="13.5">
      <c r="A102" s="1058">
        <v>10</v>
      </c>
      <c r="B102" s="1059">
        <v>15</v>
      </c>
      <c r="C102" s="1060" t="s">
        <v>598</v>
      </c>
      <c r="D102" s="185">
        <v>29423729.609999999</v>
      </c>
      <c r="E102" s="185">
        <v>8318849.6699999999</v>
      </c>
      <c r="F102" s="185">
        <v>7546310.3399999999</v>
      </c>
      <c r="G102" s="185">
        <v>4839756.3099999996</v>
      </c>
      <c r="H102" s="186">
        <v>178891.51</v>
      </c>
      <c r="I102" s="186">
        <v>772539.33</v>
      </c>
      <c r="J102" s="186">
        <v>4839756.3099999996</v>
      </c>
      <c r="K102" s="195">
        <v>28.3</v>
      </c>
      <c r="L102" s="187">
        <v>90.7</v>
      </c>
      <c r="M102" s="390">
        <v>58.2</v>
      </c>
    </row>
    <row r="103" spans="1:13" s="1" customFormat="1" ht="13.5">
      <c r="A103" s="1058">
        <v>10</v>
      </c>
      <c r="B103" s="1059">
        <v>16</v>
      </c>
      <c r="C103" s="1060" t="s">
        <v>597</v>
      </c>
      <c r="D103" s="185">
        <v>182476631.59999999</v>
      </c>
      <c r="E103" s="185">
        <v>18179744.350000001</v>
      </c>
      <c r="F103" s="185">
        <v>17303790.57</v>
      </c>
      <c r="G103" s="185">
        <v>12602811.960000001</v>
      </c>
      <c r="H103" s="186">
        <v>0</v>
      </c>
      <c r="I103" s="186">
        <v>875953.78</v>
      </c>
      <c r="J103" s="186">
        <v>12602811.960000001</v>
      </c>
      <c r="K103" s="195">
        <v>10</v>
      </c>
      <c r="L103" s="187">
        <v>95.2</v>
      </c>
      <c r="M103" s="390">
        <v>69.3</v>
      </c>
    </row>
    <row r="104" spans="1:13" s="1" customFormat="1" ht="13.5">
      <c r="A104" s="1058">
        <v>10</v>
      </c>
      <c r="B104" s="1059">
        <v>17</v>
      </c>
      <c r="C104" s="1060" t="s">
        <v>596</v>
      </c>
      <c r="D104" s="185">
        <v>107820373.12</v>
      </c>
      <c r="E104" s="185">
        <v>9578384.5899999999</v>
      </c>
      <c r="F104" s="185">
        <v>9578384.5899999999</v>
      </c>
      <c r="G104" s="185">
        <v>6733520.9699999997</v>
      </c>
      <c r="H104" s="186">
        <v>0</v>
      </c>
      <c r="I104" s="186">
        <v>0</v>
      </c>
      <c r="J104" s="186">
        <v>6733520.9699999997</v>
      </c>
      <c r="K104" s="195">
        <v>8.9</v>
      </c>
      <c r="L104" s="187">
        <v>100</v>
      </c>
      <c r="M104" s="390">
        <v>70.3</v>
      </c>
    </row>
    <row r="105" spans="1:13" s="1" customFormat="1" ht="13.5">
      <c r="A105" s="1058">
        <v>10</v>
      </c>
      <c r="B105" s="1059">
        <v>18</v>
      </c>
      <c r="C105" s="1060" t="s">
        <v>595</v>
      </c>
      <c r="D105" s="185">
        <v>57032767.009999998</v>
      </c>
      <c r="E105" s="185">
        <v>6187652.9100000001</v>
      </c>
      <c r="F105" s="185">
        <v>6172586.7000000002</v>
      </c>
      <c r="G105" s="185">
        <v>4279527.17</v>
      </c>
      <c r="H105" s="186">
        <v>0</v>
      </c>
      <c r="I105" s="186">
        <v>15066.21</v>
      </c>
      <c r="J105" s="186">
        <v>4279527.17</v>
      </c>
      <c r="K105" s="195">
        <v>10.8</v>
      </c>
      <c r="L105" s="187">
        <v>99.8</v>
      </c>
      <c r="M105" s="390">
        <v>69.2</v>
      </c>
    </row>
    <row r="106" spans="1:13" s="1" customFormat="1" ht="13.5">
      <c r="A106" s="1058">
        <v>10</v>
      </c>
      <c r="B106" s="1059">
        <v>19</v>
      </c>
      <c r="C106" s="1060" t="s">
        <v>594</v>
      </c>
      <c r="D106" s="185">
        <v>104724835.44</v>
      </c>
      <c r="E106" s="185">
        <v>9360527.6300000008</v>
      </c>
      <c r="F106" s="185">
        <v>7835891.1799999997</v>
      </c>
      <c r="G106" s="185">
        <v>5604054.4100000001</v>
      </c>
      <c r="H106" s="186">
        <v>0</v>
      </c>
      <c r="I106" s="186">
        <v>1524636.45</v>
      </c>
      <c r="J106" s="186">
        <v>5604054.4100000001</v>
      </c>
      <c r="K106" s="195">
        <v>8.9</v>
      </c>
      <c r="L106" s="187">
        <v>83.7</v>
      </c>
      <c r="M106" s="390">
        <v>59.9</v>
      </c>
    </row>
    <row r="107" spans="1:13" s="1" customFormat="1" ht="13.5">
      <c r="A107" s="1058">
        <v>10</v>
      </c>
      <c r="B107" s="1059">
        <v>20</v>
      </c>
      <c r="C107" s="1060" t="s">
        <v>593</v>
      </c>
      <c r="D107" s="185">
        <v>196062020.03</v>
      </c>
      <c r="E107" s="185">
        <v>22768815.289999999</v>
      </c>
      <c r="F107" s="185">
        <v>22768815.289999999</v>
      </c>
      <c r="G107" s="185">
        <v>14036963.689999999</v>
      </c>
      <c r="H107" s="186">
        <v>0</v>
      </c>
      <c r="I107" s="186">
        <v>0</v>
      </c>
      <c r="J107" s="186">
        <v>14036963.689999999</v>
      </c>
      <c r="K107" s="195">
        <v>11.6</v>
      </c>
      <c r="L107" s="187">
        <v>100</v>
      </c>
      <c r="M107" s="390">
        <v>61.6</v>
      </c>
    </row>
    <row r="108" spans="1:13" s="1" customFormat="1" ht="13.5">
      <c r="A108" s="1058">
        <v>10</v>
      </c>
      <c r="B108" s="1059">
        <v>21</v>
      </c>
      <c r="C108" s="1060" t="s">
        <v>592</v>
      </c>
      <c r="D108" s="185">
        <v>42420913.229999997</v>
      </c>
      <c r="E108" s="185">
        <v>5629177.4100000001</v>
      </c>
      <c r="F108" s="185">
        <v>5571306.4000000004</v>
      </c>
      <c r="G108" s="185">
        <v>4104064.61</v>
      </c>
      <c r="H108" s="186">
        <v>0</v>
      </c>
      <c r="I108" s="186">
        <v>57871.01</v>
      </c>
      <c r="J108" s="186">
        <v>4104064.61</v>
      </c>
      <c r="K108" s="195">
        <v>13.3</v>
      </c>
      <c r="L108" s="187">
        <v>99</v>
      </c>
      <c r="M108" s="390">
        <v>72.900000000000006</v>
      </c>
    </row>
    <row r="109" spans="1:13" s="1" customFormat="1" ht="13.5">
      <c r="A109" s="1058">
        <v>12</v>
      </c>
      <c r="B109" s="1059">
        <v>1</v>
      </c>
      <c r="C109" s="1060" t="s">
        <v>591</v>
      </c>
      <c r="D109" s="185">
        <v>147759561.97</v>
      </c>
      <c r="E109" s="185">
        <v>16215286.08</v>
      </c>
      <c r="F109" s="185">
        <v>12634210.33</v>
      </c>
      <c r="G109" s="185">
        <v>9056612.0700000003</v>
      </c>
      <c r="H109" s="186">
        <v>0</v>
      </c>
      <c r="I109" s="186">
        <v>3581075.75</v>
      </c>
      <c r="J109" s="186">
        <v>9056612.0700000003</v>
      </c>
      <c r="K109" s="195">
        <v>11</v>
      </c>
      <c r="L109" s="187">
        <v>77.900000000000006</v>
      </c>
      <c r="M109" s="390">
        <v>55.9</v>
      </c>
    </row>
    <row r="110" spans="1:13" s="1" customFormat="1" ht="13.5">
      <c r="A110" s="1058">
        <v>12</v>
      </c>
      <c r="B110" s="1059">
        <v>2</v>
      </c>
      <c r="C110" s="1060" t="s">
        <v>539</v>
      </c>
      <c r="D110" s="185">
        <v>109398484.3</v>
      </c>
      <c r="E110" s="185">
        <v>10840886.380000001</v>
      </c>
      <c r="F110" s="185">
        <v>10698008.77</v>
      </c>
      <c r="G110" s="185">
        <v>7401193.29</v>
      </c>
      <c r="H110" s="186">
        <v>0</v>
      </c>
      <c r="I110" s="186">
        <v>142877.60999999999</v>
      </c>
      <c r="J110" s="186">
        <v>7401193.29</v>
      </c>
      <c r="K110" s="195">
        <v>9.9</v>
      </c>
      <c r="L110" s="187">
        <v>98.7</v>
      </c>
      <c r="M110" s="390">
        <v>68.3</v>
      </c>
    </row>
    <row r="111" spans="1:13" s="1" customFormat="1" ht="13.5">
      <c r="A111" s="1058">
        <v>12</v>
      </c>
      <c r="B111" s="1059">
        <v>3</v>
      </c>
      <c r="C111" s="1060" t="s">
        <v>590</v>
      </c>
      <c r="D111" s="185">
        <v>127977283.09999999</v>
      </c>
      <c r="E111" s="185">
        <v>13045205.42</v>
      </c>
      <c r="F111" s="185">
        <v>12813215.51</v>
      </c>
      <c r="G111" s="185">
        <v>8544799.1999999993</v>
      </c>
      <c r="H111" s="186">
        <v>0</v>
      </c>
      <c r="I111" s="186">
        <v>231989.91</v>
      </c>
      <c r="J111" s="186">
        <v>8544799.1999999993</v>
      </c>
      <c r="K111" s="195">
        <v>10.199999999999999</v>
      </c>
      <c r="L111" s="187">
        <v>98.2</v>
      </c>
      <c r="M111" s="390">
        <v>65.5</v>
      </c>
    </row>
    <row r="112" spans="1:13" s="1" customFormat="1" ht="13.5">
      <c r="A112" s="1058">
        <v>12</v>
      </c>
      <c r="B112" s="1059">
        <v>4</v>
      </c>
      <c r="C112" s="1060" t="s">
        <v>589</v>
      </c>
      <c r="D112" s="185">
        <v>58885955.659999996</v>
      </c>
      <c r="E112" s="185">
        <v>6536930.9900000002</v>
      </c>
      <c r="F112" s="185">
        <v>6505565.9900000002</v>
      </c>
      <c r="G112" s="185">
        <v>4247495.07</v>
      </c>
      <c r="H112" s="186">
        <v>0</v>
      </c>
      <c r="I112" s="186">
        <v>31365</v>
      </c>
      <c r="J112" s="186">
        <v>4247495.07</v>
      </c>
      <c r="K112" s="195">
        <v>11.1</v>
      </c>
      <c r="L112" s="187">
        <v>99.5</v>
      </c>
      <c r="M112" s="390">
        <v>65</v>
      </c>
    </row>
    <row r="113" spans="1:13" s="1" customFormat="1" ht="13.5">
      <c r="A113" s="1058">
        <v>12</v>
      </c>
      <c r="B113" s="1059">
        <v>5</v>
      </c>
      <c r="C113" s="1060" t="s">
        <v>588</v>
      </c>
      <c r="D113" s="185">
        <v>149563054.94</v>
      </c>
      <c r="E113" s="185">
        <v>10938019.529999999</v>
      </c>
      <c r="F113" s="185">
        <v>10841581.380000001</v>
      </c>
      <c r="G113" s="185">
        <v>7786726.79</v>
      </c>
      <c r="H113" s="186">
        <v>0</v>
      </c>
      <c r="I113" s="186">
        <v>96438.15</v>
      </c>
      <c r="J113" s="186">
        <v>7786726.79</v>
      </c>
      <c r="K113" s="195">
        <v>7.3</v>
      </c>
      <c r="L113" s="187">
        <v>99.1</v>
      </c>
      <c r="M113" s="390">
        <v>71.2</v>
      </c>
    </row>
    <row r="114" spans="1:13" s="1" customFormat="1" ht="13.5">
      <c r="A114" s="1058">
        <v>12</v>
      </c>
      <c r="B114" s="1059">
        <v>6</v>
      </c>
      <c r="C114" s="1060" t="s">
        <v>587</v>
      </c>
      <c r="D114" s="185">
        <v>293006119.12</v>
      </c>
      <c r="E114" s="185">
        <v>47266340.07</v>
      </c>
      <c r="F114" s="185">
        <v>40425624.93</v>
      </c>
      <c r="G114" s="185">
        <v>27152186.390000001</v>
      </c>
      <c r="H114" s="186">
        <v>0</v>
      </c>
      <c r="I114" s="186">
        <v>6840715.1399999997</v>
      </c>
      <c r="J114" s="186">
        <v>27152186.390000001</v>
      </c>
      <c r="K114" s="195">
        <v>16.100000000000001</v>
      </c>
      <c r="L114" s="187">
        <v>85.5</v>
      </c>
      <c r="M114" s="390">
        <v>57.4</v>
      </c>
    </row>
    <row r="115" spans="1:13" s="1" customFormat="1" ht="13.5">
      <c r="A115" s="1058">
        <v>12</v>
      </c>
      <c r="B115" s="1059">
        <v>7</v>
      </c>
      <c r="C115" s="1060" t="s">
        <v>586</v>
      </c>
      <c r="D115" s="185">
        <v>175056795.28</v>
      </c>
      <c r="E115" s="185">
        <v>15604070.380000001</v>
      </c>
      <c r="F115" s="185">
        <v>15533357.68</v>
      </c>
      <c r="G115" s="185">
        <v>10766751.609999999</v>
      </c>
      <c r="H115" s="186">
        <v>0</v>
      </c>
      <c r="I115" s="186">
        <v>70712.7</v>
      </c>
      <c r="J115" s="186">
        <v>10766751.609999999</v>
      </c>
      <c r="K115" s="195">
        <v>8.9</v>
      </c>
      <c r="L115" s="187">
        <v>99.5</v>
      </c>
      <c r="M115" s="390">
        <v>69</v>
      </c>
    </row>
    <row r="116" spans="1:13" s="1" customFormat="1" ht="13.5">
      <c r="A116" s="1058">
        <v>12</v>
      </c>
      <c r="B116" s="1059">
        <v>8</v>
      </c>
      <c r="C116" s="1060" t="s">
        <v>585</v>
      </c>
      <c r="D116" s="185">
        <v>93235348.810000002</v>
      </c>
      <c r="E116" s="185">
        <v>7540745.7199999997</v>
      </c>
      <c r="F116" s="185">
        <v>7540745.7199999997</v>
      </c>
      <c r="G116" s="185">
        <v>5341384.82</v>
      </c>
      <c r="H116" s="186">
        <v>0</v>
      </c>
      <c r="I116" s="186">
        <v>0</v>
      </c>
      <c r="J116" s="186">
        <v>5341384.82</v>
      </c>
      <c r="K116" s="195">
        <v>8.1</v>
      </c>
      <c r="L116" s="187">
        <v>100</v>
      </c>
      <c r="M116" s="390">
        <v>70.8</v>
      </c>
    </row>
    <row r="117" spans="1:13" s="1" customFormat="1" ht="13.5">
      <c r="A117" s="1058">
        <v>12</v>
      </c>
      <c r="B117" s="1059">
        <v>9</v>
      </c>
      <c r="C117" s="1060" t="s">
        <v>584</v>
      </c>
      <c r="D117" s="185">
        <v>140852910.72</v>
      </c>
      <c r="E117" s="185">
        <v>17461649.359999999</v>
      </c>
      <c r="F117" s="185">
        <v>11722738.83</v>
      </c>
      <c r="G117" s="185">
        <v>7623483.2000000002</v>
      </c>
      <c r="H117" s="186">
        <v>0</v>
      </c>
      <c r="I117" s="186">
        <v>5738910.5300000003</v>
      </c>
      <c r="J117" s="186">
        <v>7623483.2000000002</v>
      </c>
      <c r="K117" s="195">
        <v>12.4</v>
      </c>
      <c r="L117" s="187">
        <v>67.099999999999994</v>
      </c>
      <c r="M117" s="390">
        <v>43.7</v>
      </c>
    </row>
    <row r="118" spans="1:13" s="1" customFormat="1" ht="13.5">
      <c r="A118" s="1058">
        <v>12</v>
      </c>
      <c r="B118" s="1059">
        <v>10</v>
      </c>
      <c r="C118" s="1060" t="s">
        <v>583</v>
      </c>
      <c r="D118" s="185">
        <v>208125348.09</v>
      </c>
      <c r="E118" s="185">
        <v>20642474.260000002</v>
      </c>
      <c r="F118" s="185">
        <v>20619580.960000001</v>
      </c>
      <c r="G118" s="185">
        <v>13019708.48</v>
      </c>
      <c r="H118" s="186">
        <v>0</v>
      </c>
      <c r="I118" s="186">
        <v>22893.3</v>
      </c>
      <c r="J118" s="186">
        <v>13019708.48</v>
      </c>
      <c r="K118" s="195">
        <v>9.9</v>
      </c>
      <c r="L118" s="187">
        <v>99.9</v>
      </c>
      <c r="M118" s="390">
        <v>63.1</v>
      </c>
    </row>
    <row r="119" spans="1:13" s="1" customFormat="1" ht="13.5">
      <c r="A119" s="1058">
        <v>12</v>
      </c>
      <c r="B119" s="1059">
        <v>11</v>
      </c>
      <c r="C119" s="1060" t="s">
        <v>582</v>
      </c>
      <c r="D119" s="185">
        <v>204019723.83000001</v>
      </c>
      <c r="E119" s="185">
        <v>23185816.870000001</v>
      </c>
      <c r="F119" s="185">
        <v>23112642.850000001</v>
      </c>
      <c r="G119" s="185">
        <v>17738047.329999998</v>
      </c>
      <c r="H119" s="186">
        <v>71473.81</v>
      </c>
      <c r="I119" s="186">
        <v>73174.02</v>
      </c>
      <c r="J119" s="186">
        <v>17738047.329999998</v>
      </c>
      <c r="K119" s="195">
        <v>11.4</v>
      </c>
      <c r="L119" s="187">
        <v>99.7</v>
      </c>
      <c r="M119" s="390">
        <v>76.5</v>
      </c>
    </row>
    <row r="120" spans="1:13" s="1" customFormat="1" ht="13.5">
      <c r="A120" s="1058">
        <v>12</v>
      </c>
      <c r="B120" s="1059">
        <v>12</v>
      </c>
      <c r="C120" s="1060" t="s">
        <v>581</v>
      </c>
      <c r="D120" s="185">
        <v>147095912.47999999</v>
      </c>
      <c r="E120" s="185">
        <v>13835870.279999999</v>
      </c>
      <c r="F120" s="185">
        <v>13795157.279999999</v>
      </c>
      <c r="G120" s="185">
        <v>9740897.5299999993</v>
      </c>
      <c r="H120" s="186">
        <v>0</v>
      </c>
      <c r="I120" s="186">
        <v>40713</v>
      </c>
      <c r="J120" s="186">
        <v>9740897.5299999993</v>
      </c>
      <c r="K120" s="195">
        <v>9.4</v>
      </c>
      <c r="L120" s="187">
        <v>99.7</v>
      </c>
      <c r="M120" s="390">
        <v>70.400000000000006</v>
      </c>
    </row>
    <row r="121" spans="1:13" s="1" customFormat="1" ht="13.5">
      <c r="A121" s="1058">
        <v>12</v>
      </c>
      <c r="B121" s="1059">
        <v>13</v>
      </c>
      <c r="C121" s="1060" t="s">
        <v>580</v>
      </c>
      <c r="D121" s="185">
        <v>213684195.43000001</v>
      </c>
      <c r="E121" s="185">
        <v>16900972.550000001</v>
      </c>
      <c r="F121" s="185">
        <v>15072568.17</v>
      </c>
      <c r="G121" s="185">
        <v>10495691.66</v>
      </c>
      <c r="H121" s="186">
        <v>0</v>
      </c>
      <c r="I121" s="186">
        <v>1828404.38</v>
      </c>
      <c r="J121" s="186">
        <v>10495691.66</v>
      </c>
      <c r="K121" s="195">
        <v>7.9</v>
      </c>
      <c r="L121" s="187">
        <v>89.2</v>
      </c>
      <c r="M121" s="390">
        <v>62.1</v>
      </c>
    </row>
    <row r="122" spans="1:13" s="1" customFormat="1" ht="13.5">
      <c r="A122" s="1058">
        <v>12</v>
      </c>
      <c r="B122" s="1059">
        <v>14</v>
      </c>
      <c r="C122" s="1060" t="s">
        <v>579</v>
      </c>
      <c r="D122" s="185">
        <v>56145517.530000001</v>
      </c>
      <c r="E122" s="185">
        <v>5267131.1100000003</v>
      </c>
      <c r="F122" s="185">
        <v>4744110.51</v>
      </c>
      <c r="G122" s="185">
        <v>3092189.7</v>
      </c>
      <c r="H122" s="186">
        <v>0</v>
      </c>
      <c r="I122" s="186">
        <v>523020.6</v>
      </c>
      <c r="J122" s="186">
        <v>3092189.7</v>
      </c>
      <c r="K122" s="195">
        <v>9.4</v>
      </c>
      <c r="L122" s="187">
        <v>90.1</v>
      </c>
      <c r="M122" s="390">
        <v>58.7</v>
      </c>
    </row>
    <row r="123" spans="1:13" s="1" customFormat="1" ht="13.5">
      <c r="A123" s="1058">
        <v>12</v>
      </c>
      <c r="B123" s="1059">
        <v>15</v>
      </c>
      <c r="C123" s="1060" t="s">
        <v>578</v>
      </c>
      <c r="D123" s="185">
        <v>120410497.94</v>
      </c>
      <c r="E123" s="185">
        <v>11855977.279999999</v>
      </c>
      <c r="F123" s="185">
        <v>11418687.35</v>
      </c>
      <c r="G123" s="185">
        <v>7816600.5</v>
      </c>
      <c r="H123" s="186">
        <v>0</v>
      </c>
      <c r="I123" s="186">
        <v>437289.93</v>
      </c>
      <c r="J123" s="186">
        <v>7816600.5</v>
      </c>
      <c r="K123" s="195">
        <v>9.8000000000000007</v>
      </c>
      <c r="L123" s="187">
        <v>96.3</v>
      </c>
      <c r="M123" s="390">
        <v>65.900000000000006</v>
      </c>
    </row>
    <row r="124" spans="1:13" s="1" customFormat="1" ht="13.5">
      <c r="A124" s="1058">
        <v>12</v>
      </c>
      <c r="B124" s="1059">
        <v>16</v>
      </c>
      <c r="C124" s="1060" t="s">
        <v>577</v>
      </c>
      <c r="D124" s="185">
        <v>205095889.47999999</v>
      </c>
      <c r="E124" s="185">
        <v>30841408.640000001</v>
      </c>
      <c r="F124" s="185">
        <v>27969167.760000002</v>
      </c>
      <c r="G124" s="185">
        <v>20961916.190000001</v>
      </c>
      <c r="H124" s="186">
        <v>0</v>
      </c>
      <c r="I124" s="186">
        <v>2872240.88</v>
      </c>
      <c r="J124" s="186">
        <v>20961916.190000001</v>
      </c>
      <c r="K124" s="195">
        <v>15</v>
      </c>
      <c r="L124" s="187">
        <v>90.7</v>
      </c>
      <c r="M124" s="390">
        <v>68</v>
      </c>
    </row>
    <row r="125" spans="1:13" s="1" customFormat="1" ht="13.5">
      <c r="A125" s="1058">
        <v>12</v>
      </c>
      <c r="B125" s="1059">
        <v>17</v>
      </c>
      <c r="C125" s="1060" t="s">
        <v>576</v>
      </c>
      <c r="D125" s="185">
        <v>80494032.609999999</v>
      </c>
      <c r="E125" s="185">
        <v>12518259.74</v>
      </c>
      <c r="F125" s="185">
        <v>11200019.220000001</v>
      </c>
      <c r="G125" s="185">
        <v>8283898.0499999998</v>
      </c>
      <c r="H125" s="186">
        <v>0</v>
      </c>
      <c r="I125" s="186">
        <v>1318240.52</v>
      </c>
      <c r="J125" s="186">
        <v>8283898.0499999998</v>
      </c>
      <c r="K125" s="195">
        <v>15.6</v>
      </c>
      <c r="L125" s="187">
        <v>89.5</v>
      </c>
      <c r="M125" s="390">
        <v>66.2</v>
      </c>
    </row>
    <row r="126" spans="1:13" s="1" customFormat="1" ht="13.5">
      <c r="A126" s="1058">
        <v>12</v>
      </c>
      <c r="B126" s="1059">
        <v>18</v>
      </c>
      <c r="C126" s="1060" t="s">
        <v>575</v>
      </c>
      <c r="D126" s="185">
        <v>203397479.94999999</v>
      </c>
      <c r="E126" s="185">
        <v>19327115.149999999</v>
      </c>
      <c r="F126" s="185">
        <v>19085620.050000001</v>
      </c>
      <c r="G126" s="185">
        <v>14214895.76</v>
      </c>
      <c r="H126" s="186">
        <v>33034.480000000003</v>
      </c>
      <c r="I126" s="186">
        <v>241495.1</v>
      </c>
      <c r="J126" s="186">
        <v>14214895.76</v>
      </c>
      <c r="K126" s="195">
        <v>9.5</v>
      </c>
      <c r="L126" s="187">
        <v>98.8</v>
      </c>
      <c r="M126" s="390">
        <v>73.5</v>
      </c>
    </row>
    <row r="127" spans="1:13" s="1" customFormat="1" ht="13.5">
      <c r="A127" s="1058">
        <v>12</v>
      </c>
      <c r="B127" s="1059">
        <v>19</v>
      </c>
      <c r="C127" s="1060" t="s">
        <v>574</v>
      </c>
      <c r="D127" s="185">
        <v>109793870.42</v>
      </c>
      <c r="E127" s="185">
        <v>18471812.149999999</v>
      </c>
      <c r="F127" s="185">
        <v>17259697.149999999</v>
      </c>
      <c r="G127" s="185">
        <v>10103768.52</v>
      </c>
      <c r="H127" s="186">
        <v>0</v>
      </c>
      <c r="I127" s="186">
        <v>1212115</v>
      </c>
      <c r="J127" s="186">
        <v>10103768.52</v>
      </c>
      <c r="K127" s="195">
        <v>16.8</v>
      </c>
      <c r="L127" s="187">
        <v>93.4</v>
      </c>
      <c r="M127" s="390">
        <v>54.7</v>
      </c>
    </row>
    <row r="128" spans="1:13" s="1" customFormat="1" ht="13.5">
      <c r="A128" s="1058">
        <v>14</v>
      </c>
      <c r="B128" s="1059">
        <v>1</v>
      </c>
      <c r="C128" s="1060" t="s">
        <v>573</v>
      </c>
      <c r="D128" s="185">
        <v>47942978.899999999</v>
      </c>
      <c r="E128" s="185">
        <v>5874388.6399999997</v>
      </c>
      <c r="F128" s="185">
        <v>5858767.6399999997</v>
      </c>
      <c r="G128" s="185">
        <v>3655819.63</v>
      </c>
      <c r="H128" s="186">
        <v>0</v>
      </c>
      <c r="I128" s="186">
        <v>15621</v>
      </c>
      <c r="J128" s="186">
        <v>3655819.63</v>
      </c>
      <c r="K128" s="195">
        <v>12.3</v>
      </c>
      <c r="L128" s="187">
        <v>99.7</v>
      </c>
      <c r="M128" s="390">
        <v>62.2</v>
      </c>
    </row>
    <row r="129" spans="1:13" s="1" customFormat="1" ht="13.5">
      <c r="A129" s="1058">
        <v>14</v>
      </c>
      <c r="B129" s="1059">
        <v>2</v>
      </c>
      <c r="C129" s="1060" t="s">
        <v>572</v>
      </c>
      <c r="D129" s="185">
        <v>133450436.98</v>
      </c>
      <c r="E129" s="185">
        <v>16109798.720000001</v>
      </c>
      <c r="F129" s="185">
        <v>15383486.43</v>
      </c>
      <c r="G129" s="185">
        <v>9889988.4499999993</v>
      </c>
      <c r="H129" s="186">
        <v>0</v>
      </c>
      <c r="I129" s="186">
        <v>726312.29</v>
      </c>
      <c r="J129" s="186">
        <v>9889988.4499999993</v>
      </c>
      <c r="K129" s="195">
        <v>12.1</v>
      </c>
      <c r="L129" s="187">
        <v>95.5</v>
      </c>
      <c r="M129" s="390">
        <v>61.4</v>
      </c>
    </row>
    <row r="130" spans="1:13" s="1" customFormat="1" ht="13.5">
      <c r="A130" s="1058">
        <v>14</v>
      </c>
      <c r="B130" s="1059">
        <v>3</v>
      </c>
      <c r="C130" s="1060" t="s">
        <v>571</v>
      </c>
      <c r="D130" s="185">
        <v>142414153.56</v>
      </c>
      <c r="E130" s="185">
        <v>11709198.43</v>
      </c>
      <c r="F130" s="185">
        <v>11661680.73</v>
      </c>
      <c r="G130" s="185">
        <v>6831618.79</v>
      </c>
      <c r="H130" s="186">
        <v>0</v>
      </c>
      <c r="I130" s="186">
        <v>47517.7</v>
      </c>
      <c r="J130" s="186">
        <v>6831618.79</v>
      </c>
      <c r="K130" s="195">
        <v>8.1999999999999993</v>
      </c>
      <c r="L130" s="187">
        <v>99.6</v>
      </c>
      <c r="M130" s="390">
        <v>58.3</v>
      </c>
    </row>
    <row r="131" spans="1:13" s="1" customFormat="1" ht="13.5">
      <c r="A131" s="1058">
        <v>14</v>
      </c>
      <c r="B131" s="1059">
        <v>4</v>
      </c>
      <c r="C131" s="1060" t="s">
        <v>570</v>
      </c>
      <c r="D131" s="185">
        <v>70452389.879999995</v>
      </c>
      <c r="E131" s="185">
        <v>8462801.9399999995</v>
      </c>
      <c r="F131" s="185">
        <v>8382601.9400000004</v>
      </c>
      <c r="G131" s="185">
        <v>6370013.7599999998</v>
      </c>
      <c r="H131" s="186">
        <v>0</v>
      </c>
      <c r="I131" s="186">
        <v>80200</v>
      </c>
      <c r="J131" s="186">
        <v>6370013.7599999998</v>
      </c>
      <c r="K131" s="195">
        <v>12</v>
      </c>
      <c r="L131" s="187">
        <v>99.1</v>
      </c>
      <c r="M131" s="390">
        <v>75.3</v>
      </c>
    </row>
    <row r="132" spans="1:13" s="1" customFormat="1" ht="13.5">
      <c r="A132" s="1058">
        <v>14</v>
      </c>
      <c r="B132" s="1059">
        <v>5</v>
      </c>
      <c r="C132" s="1060" t="s">
        <v>425</v>
      </c>
      <c r="D132" s="185">
        <v>141891061.43000001</v>
      </c>
      <c r="E132" s="185">
        <v>21955066.75</v>
      </c>
      <c r="F132" s="185">
        <v>19139497.390000001</v>
      </c>
      <c r="G132" s="185">
        <v>12952623.880000001</v>
      </c>
      <c r="H132" s="186">
        <v>0</v>
      </c>
      <c r="I132" s="186">
        <v>2815569.36</v>
      </c>
      <c r="J132" s="186">
        <v>12952623.880000001</v>
      </c>
      <c r="K132" s="195">
        <v>15.5</v>
      </c>
      <c r="L132" s="187">
        <v>87.2</v>
      </c>
      <c r="M132" s="390">
        <v>59</v>
      </c>
    </row>
    <row r="133" spans="1:13" s="1" customFormat="1" ht="13.5">
      <c r="A133" s="1058">
        <v>14</v>
      </c>
      <c r="B133" s="1059">
        <v>6</v>
      </c>
      <c r="C133" s="1060" t="s">
        <v>569</v>
      </c>
      <c r="D133" s="185">
        <v>145186638.65000001</v>
      </c>
      <c r="E133" s="185">
        <v>13335529.76</v>
      </c>
      <c r="F133" s="185">
        <v>13224654.76</v>
      </c>
      <c r="G133" s="185">
        <v>8843406.1099999994</v>
      </c>
      <c r="H133" s="186">
        <v>5000</v>
      </c>
      <c r="I133" s="186">
        <v>110875</v>
      </c>
      <c r="J133" s="186">
        <v>8843406.1099999994</v>
      </c>
      <c r="K133" s="195">
        <v>9.1999999999999993</v>
      </c>
      <c r="L133" s="187">
        <v>99.2</v>
      </c>
      <c r="M133" s="390">
        <v>66.3</v>
      </c>
    </row>
    <row r="134" spans="1:13" s="1" customFormat="1" ht="13.5">
      <c r="A134" s="1058">
        <v>14</v>
      </c>
      <c r="B134" s="1059">
        <v>7</v>
      </c>
      <c r="C134" s="1060" t="s">
        <v>568</v>
      </c>
      <c r="D134" s="185">
        <v>70417276.170000002</v>
      </c>
      <c r="E134" s="185">
        <v>11008617.710000001</v>
      </c>
      <c r="F134" s="185">
        <v>10683457.710000001</v>
      </c>
      <c r="G134" s="185">
        <v>8151795.5800000001</v>
      </c>
      <c r="H134" s="186">
        <v>0</v>
      </c>
      <c r="I134" s="186">
        <v>325160</v>
      </c>
      <c r="J134" s="186">
        <v>8151795.5800000001</v>
      </c>
      <c r="K134" s="195">
        <v>15.6</v>
      </c>
      <c r="L134" s="187">
        <v>97</v>
      </c>
      <c r="M134" s="390">
        <v>74</v>
      </c>
    </row>
    <row r="135" spans="1:13" s="1" customFormat="1" ht="13.5">
      <c r="A135" s="1058">
        <v>14</v>
      </c>
      <c r="B135" s="1059">
        <v>8</v>
      </c>
      <c r="C135" s="1060" t="s">
        <v>567</v>
      </c>
      <c r="D135" s="185">
        <v>131621771.8</v>
      </c>
      <c r="E135" s="185">
        <v>23923777.77</v>
      </c>
      <c r="F135" s="185">
        <v>23486807.77</v>
      </c>
      <c r="G135" s="185">
        <v>17364068.670000002</v>
      </c>
      <c r="H135" s="186">
        <v>0</v>
      </c>
      <c r="I135" s="186">
        <v>436970</v>
      </c>
      <c r="J135" s="186">
        <v>17364068.670000002</v>
      </c>
      <c r="K135" s="195">
        <v>18.2</v>
      </c>
      <c r="L135" s="187">
        <v>98.2</v>
      </c>
      <c r="M135" s="390">
        <v>72.599999999999994</v>
      </c>
    </row>
    <row r="136" spans="1:13" s="1" customFormat="1" ht="13.5">
      <c r="A136" s="1058">
        <v>14</v>
      </c>
      <c r="B136" s="1059">
        <v>9</v>
      </c>
      <c r="C136" s="1060" t="s">
        <v>566</v>
      </c>
      <c r="D136" s="185">
        <v>69347668.900000006</v>
      </c>
      <c r="E136" s="185">
        <v>5505080.3799999999</v>
      </c>
      <c r="F136" s="185">
        <v>5418734.3799999999</v>
      </c>
      <c r="G136" s="185">
        <v>3878542.89</v>
      </c>
      <c r="H136" s="186">
        <v>0</v>
      </c>
      <c r="I136" s="186">
        <v>86346</v>
      </c>
      <c r="J136" s="186">
        <v>3878542.89</v>
      </c>
      <c r="K136" s="195">
        <v>7.9</v>
      </c>
      <c r="L136" s="187">
        <v>98.4</v>
      </c>
      <c r="M136" s="390">
        <v>70.5</v>
      </c>
    </row>
    <row r="137" spans="1:13" s="1" customFormat="1" ht="13.5">
      <c r="A137" s="1058">
        <v>14</v>
      </c>
      <c r="B137" s="1059">
        <v>10</v>
      </c>
      <c r="C137" s="1060" t="s">
        <v>565</v>
      </c>
      <c r="D137" s="185">
        <v>46544350.149999999</v>
      </c>
      <c r="E137" s="185">
        <v>4111590.12</v>
      </c>
      <c r="F137" s="185">
        <v>4111590.12</v>
      </c>
      <c r="G137" s="185">
        <v>2810818.49</v>
      </c>
      <c r="H137" s="186">
        <v>0</v>
      </c>
      <c r="I137" s="186">
        <v>0</v>
      </c>
      <c r="J137" s="186">
        <v>2810818.49</v>
      </c>
      <c r="K137" s="195">
        <v>8.8000000000000007</v>
      </c>
      <c r="L137" s="187">
        <v>100</v>
      </c>
      <c r="M137" s="390">
        <v>68.400000000000006</v>
      </c>
    </row>
    <row r="138" spans="1:13" s="1" customFormat="1" ht="13.5">
      <c r="A138" s="1058">
        <v>14</v>
      </c>
      <c r="B138" s="1059">
        <v>11</v>
      </c>
      <c r="C138" s="1060" t="s">
        <v>564</v>
      </c>
      <c r="D138" s="185">
        <v>74510798.950000003</v>
      </c>
      <c r="E138" s="185">
        <v>7698251.8300000001</v>
      </c>
      <c r="F138" s="185">
        <v>7634410.2300000004</v>
      </c>
      <c r="G138" s="185">
        <v>5518790.2000000002</v>
      </c>
      <c r="H138" s="186">
        <v>0</v>
      </c>
      <c r="I138" s="186">
        <v>63841.599999999999</v>
      </c>
      <c r="J138" s="186">
        <v>5518790.2000000002</v>
      </c>
      <c r="K138" s="195">
        <v>10.3</v>
      </c>
      <c r="L138" s="187">
        <v>99.2</v>
      </c>
      <c r="M138" s="390">
        <v>71.7</v>
      </c>
    </row>
    <row r="139" spans="1:13" s="1" customFormat="1" ht="13.5">
      <c r="A139" s="1058">
        <v>14</v>
      </c>
      <c r="B139" s="1059">
        <v>12</v>
      </c>
      <c r="C139" s="1060" t="s">
        <v>563</v>
      </c>
      <c r="D139" s="185">
        <v>189692553.61000001</v>
      </c>
      <c r="E139" s="185">
        <v>17897079.399999999</v>
      </c>
      <c r="F139" s="185">
        <v>17872084.57</v>
      </c>
      <c r="G139" s="185">
        <v>12469647.640000001</v>
      </c>
      <c r="H139" s="186">
        <v>0</v>
      </c>
      <c r="I139" s="186">
        <v>24994.83</v>
      </c>
      <c r="J139" s="186">
        <v>12469647.640000001</v>
      </c>
      <c r="K139" s="195">
        <v>9.4</v>
      </c>
      <c r="L139" s="187">
        <v>99.9</v>
      </c>
      <c r="M139" s="390">
        <v>69.7</v>
      </c>
    </row>
    <row r="140" spans="1:13" s="1" customFormat="1" ht="13.5">
      <c r="A140" s="1058">
        <v>14</v>
      </c>
      <c r="B140" s="1059">
        <v>13</v>
      </c>
      <c r="C140" s="1060" t="s">
        <v>562</v>
      </c>
      <c r="D140" s="185">
        <v>116864235.73</v>
      </c>
      <c r="E140" s="185">
        <v>8208847.4699999997</v>
      </c>
      <c r="F140" s="185">
        <v>8165132.4699999997</v>
      </c>
      <c r="G140" s="185">
        <v>5854486.4900000002</v>
      </c>
      <c r="H140" s="186">
        <v>0</v>
      </c>
      <c r="I140" s="186">
        <v>43715</v>
      </c>
      <c r="J140" s="186">
        <v>5854486.4900000002</v>
      </c>
      <c r="K140" s="195">
        <v>7</v>
      </c>
      <c r="L140" s="187">
        <v>99.5</v>
      </c>
      <c r="M140" s="390">
        <v>71.3</v>
      </c>
    </row>
    <row r="141" spans="1:13" s="1" customFormat="1" ht="13.5">
      <c r="A141" s="1058">
        <v>14</v>
      </c>
      <c r="B141" s="1059">
        <v>14</v>
      </c>
      <c r="C141" s="1060" t="s">
        <v>485</v>
      </c>
      <c r="D141" s="185">
        <v>84825409.469999999</v>
      </c>
      <c r="E141" s="185">
        <v>11343163.1</v>
      </c>
      <c r="F141" s="185">
        <v>11343163.1</v>
      </c>
      <c r="G141" s="185">
        <v>7660065.5599999996</v>
      </c>
      <c r="H141" s="186">
        <v>0</v>
      </c>
      <c r="I141" s="186">
        <v>0</v>
      </c>
      <c r="J141" s="186">
        <v>7660065.5599999996</v>
      </c>
      <c r="K141" s="195">
        <v>13.4</v>
      </c>
      <c r="L141" s="187">
        <v>100</v>
      </c>
      <c r="M141" s="390">
        <v>67.5</v>
      </c>
    </row>
    <row r="142" spans="1:13" s="1" customFormat="1" ht="13.5">
      <c r="A142" s="1058">
        <v>14</v>
      </c>
      <c r="B142" s="1059">
        <v>15</v>
      </c>
      <c r="C142" s="1060" t="s">
        <v>561</v>
      </c>
      <c r="D142" s="185">
        <v>99908624.400000006</v>
      </c>
      <c r="E142" s="185">
        <v>14036082.84</v>
      </c>
      <c r="F142" s="185">
        <v>13570098.720000001</v>
      </c>
      <c r="G142" s="185">
        <v>10045880.43</v>
      </c>
      <c r="H142" s="186">
        <v>0</v>
      </c>
      <c r="I142" s="186">
        <v>465984.12</v>
      </c>
      <c r="J142" s="186">
        <v>10045880.43</v>
      </c>
      <c r="K142" s="195">
        <v>14</v>
      </c>
      <c r="L142" s="187">
        <v>96.7</v>
      </c>
      <c r="M142" s="390">
        <v>71.599999999999994</v>
      </c>
    </row>
    <row r="143" spans="1:13" s="1" customFormat="1" ht="13.5">
      <c r="A143" s="1058">
        <v>14</v>
      </c>
      <c r="B143" s="1059">
        <v>16</v>
      </c>
      <c r="C143" s="1060" t="s">
        <v>413</v>
      </c>
      <c r="D143" s="185">
        <v>87768814.519999996</v>
      </c>
      <c r="E143" s="185">
        <v>10595727.52</v>
      </c>
      <c r="F143" s="185">
        <v>10554191.4</v>
      </c>
      <c r="G143" s="185">
        <v>7493386.2199999997</v>
      </c>
      <c r="H143" s="186">
        <v>0</v>
      </c>
      <c r="I143" s="186">
        <v>41536.120000000003</v>
      </c>
      <c r="J143" s="186">
        <v>7493386.2199999997</v>
      </c>
      <c r="K143" s="195">
        <v>12.1</v>
      </c>
      <c r="L143" s="187">
        <v>99.6</v>
      </c>
      <c r="M143" s="390">
        <v>70.7</v>
      </c>
    </row>
    <row r="144" spans="1:13" s="1" customFormat="1" ht="13.5">
      <c r="A144" s="1058">
        <v>14</v>
      </c>
      <c r="B144" s="1059">
        <v>17</v>
      </c>
      <c r="C144" s="1060" t="s">
        <v>560</v>
      </c>
      <c r="D144" s="185">
        <v>191214262.71000001</v>
      </c>
      <c r="E144" s="185">
        <v>15823830.460000001</v>
      </c>
      <c r="F144" s="185">
        <v>15613653.789999999</v>
      </c>
      <c r="G144" s="185">
        <v>10617677.51</v>
      </c>
      <c r="H144" s="186">
        <v>0</v>
      </c>
      <c r="I144" s="186">
        <v>210176.67</v>
      </c>
      <c r="J144" s="186">
        <v>10617677.51</v>
      </c>
      <c r="K144" s="195">
        <v>8.3000000000000007</v>
      </c>
      <c r="L144" s="187">
        <v>98.7</v>
      </c>
      <c r="M144" s="390">
        <v>67.099999999999994</v>
      </c>
    </row>
    <row r="145" spans="1:13" s="1" customFormat="1" ht="13.5">
      <c r="A145" s="1058">
        <v>14</v>
      </c>
      <c r="B145" s="1059">
        <v>18</v>
      </c>
      <c r="C145" s="1060" t="s">
        <v>559</v>
      </c>
      <c r="D145" s="185">
        <v>322336489.44999999</v>
      </c>
      <c r="E145" s="185">
        <v>23420394.649999999</v>
      </c>
      <c r="F145" s="185">
        <v>23376114.649999999</v>
      </c>
      <c r="G145" s="185">
        <v>14991222.15</v>
      </c>
      <c r="H145" s="186">
        <v>0</v>
      </c>
      <c r="I145" s="186">
        <v>44280</v>
      </c>
      <c r="J145" s="186">
        <v>14991222.15</v>
      </c>
      <c r="K145" s="195">
        <v>7.3</v>
      </c>
      <c r="L145" s="187">
        <v>99.8</v>
      </c>
      <c r="M145" s="390">
        <v>64</v>
      </c>
    </row>
    <row r="146" spans="1:13" s="1" customFormat="1" ht="13.5">
      <c r="A146" s="1058">
        <v>14</v>
      </c>
      <c r="B146" s="1059">
        <v>19</v>
      </c>
      <c r="C146" s="1060" t="s">
        <v>558</v>
      </c>
      <c r="D146" s="185">
        <v>139017791.53999999</v>
      </c>
      <c r="E146" s="185">
        <v>24670066.850000001</v>
      </c>
      <c r="F146" s="185">
        <v>24281639.98</v>
      </c>
      <c r="G146" s="185">
        <v>18152789.969999999</v>
      </c>
      <c r="H146" s="186">
        <v>0</v>
      </c>
      <c r="I146" s="186">
        <v>388426.87</v>
      </c>
      <c r="J146" s="186">
        <v>18152789.969999999</v>
      </c>
      <c r="K146" s="195">
        <v>17.7</v>
      </c>
      <c r="L146" s="187">
        <v>98.4</v>
      </c>
      <c r="M146" s="390">
        <v>73.599999999999994</v>
      </c>
    </row>
    <row r="147" spans="1:13" s="1" customFormat="1" ht="13.5">
      <c r="A147" s="1058">
        <v>14</v>
      </c>
      <c r="B147" s="1059">
        <v>20</v>
      </c>
      <c r="C147" s="1060" t="s">
        <v>557</v>
      </c>
      <c r="D147" s="185">
        <v>120737098.7</v>
      </c>
      <c r="E147" s="185">
        <v>12310711.859999999</v>
      </c>
      <c r="F147" s="185">
        <v>12117825.25</v>
      </c>
      <c r="G147" s="185">
        <v>8743329.0700000003</v>
      </c>
      <c r="H147" s="186">
        <v>120166.77</v>
      </c>
      <c r="I147" s="186">
        <v>192886.61</v>
      </c>
      <c r="J147" s="186">
        <v>8743329.0700000003</v>
      </c>
      <c r="K147" s="195">
        <v>10.199999999999999</v>
      </c>
      <c r="L147" s="187">
        <v>98.4</v>
      </c>
      <c r="M147" s="390">
        <v>71</v>
      </c>
    </row>
    <row r="148" spans="1:13" s="1" customFormat="1" ht="13.5">
      <c r="A148" s="1058">
        <v>14</v>
      </c>
      <c r="B148" s="1059">
        <v>21</v>
      </c>
      <c r="C148" s="1060" t="s">
        <v>556</v>
      </c>
      <c r="D148" s="185">
        <v>222017269</v>
      </c>
      <c r="E148" s="185">
        <v>29736528.710000001</v>
      </c>
      <c r="F148" s="185">
        <v>29205507.760000002</v>
      </c>
      <c r="G148" s="185">
        <v>20416718.300000001</v>
      </c>
      <c r="H148" s="186">
        <v>0</v>
      </c>
      <c r="I148" s="186">
        <v>531020.94999999995</v>
      </c>
      <c r="J148" s="186">
        <v>20416718.300000001</v>
      </c>
      <c r="K148" s="195">
        <v>13.4</v>
      </c>
      <c r="L148" s="187">
        <v>98.2</v>
      </c>
      <c r="M148" s="390">
        <v>68.7</v>
      </c>
    </row>
    <row r="149" spans="1:13" s="1" customFormat="1" ht="13.5">
      <c r="A149" s="1058">
        <v>14</v>
      </c>
      <c r="B149" s="1059">
        <v>22</v>
      </c>
      <c r="C149" s="1060" t="s">
        <v>555</v>
      </c>
      <c r="D149" s="185">
        <v>97309381.599999994</v>
      </c>
      <c r="E149" s="185">
        <v>9451956.0700000003</v>
      </c>
      <c r="F149" s="185">
        <v>8446958.75</v>
      </c>
      <c r="G149" s="185">
        <v>5999318.1900000004</v>
      </c>
      <c r="H149" s="186">
        <v>0</v>
      </c>
      <c r="I149" s="186">
        <v>1004997.32</v>
      </c>
      <c r="J149" s="186">
        <v>5999318.1900000004</v>
      </c>
      <c r="K149" s="195">
        <v>9.6999999999999993</v>
      </c>
      <c r="L149" s="187">
        <v>89.4</v>
      </c>
      <c r="M149" s="390">
        <v>63.5</v>
      </c>
    </row>
    <row r="150" spans="1:13" s="1" customFormat="1" ht="13.5">
      <c r="A150" s="1058">
        <v>14</v>
      </c>
      <c r="B150" s="1059">
        <v>23</v>
      </c>
      <c r="C150" s="1060" t="s">
        <v>554</v>
      </c>
      <c r="D150" s="185">
        <v>95320786.159999996</v>
      </c>
      <c r="E150" s="185">
        <v>7063357.0099999998</v>
      </c>
      <c r="F150" s="185">
        <v>6976930.6100000003</v>
      </c>
      <c r="G150" s="185">
        <v>4822496.34</v>
      </c>
      <c r="H150" s="186">
        <v>28190.43</v>
      </c>
      <c r="I150" s="186">
        <v>86426.4</v>
      </c>
      <c r="J150" s="186">
        <v>4822496.34</v>
      </c>
      <c r="K150" s="195">
        <v>7.4</v>
      </c>
      <c r="L150" s="187">
        <v>98.8</v>
      </c>
      <c r="M150" s="390">
        <v>68.3</v>
      </c>
    </row>
    <row r="151" spans="1:13" s="1" customFormat="1" ht="13.5">
      <c r="A151" s="1058">
        <v>14</v>
      </c>
      <c r="B151" s="1059">
        <v>24</v>
      </c>
      <c r="C151" s="1060" t="s">
        <v>553</v>
      </c>
      <c r="D151" s="185">
        <v>106197453.2</v>
      </c>
      <c r="E151" s="185">
        <v>8713332.6600000001</v>
      </c>
      <c r="F151" s="185">
        <v>8605035.4000000004</v>
      </c>
      <c r="G151" s="185">
        <v>6207498.5300000003</v>
      </c>
      <c r="H151" s="186">
        <v>0</v>
      </c>
      <c r="I151" s="186">
        <v>108297.26</v>
      </c>
      <c r="J151" s="186">
        <v>6207498.5300000003</v>
      </c>
      <c r="K151" s="195">
        <v>8.1999999999999993</v>
      </c>
      <c r="L151" s="187">
        <v>98.8</v>
      </c>
      <c r="M151" s="390">
        <v>71.2</v>
      </c>
    </row>
    <row r="152" spans="1:13" s="1" customFormat="1" ht="13.5">
      <c r="A152" s="1058">
        <v>14</v>
      </c>
      <c r="B152" s="1059">
        <v>25</v>
      </c>
      <c r="C152" s="1060" t="s">
        <v>552</v>
      </c>
      <c r="D152" s="185">
        <v>209159360.41999999</v>
      </c>
      <c r="E152" s="185">
        <v>18964212.199999999</v>
      </c>
      <c r="F152" s="185">
        <v>18654372.43</v>
      </c>
      <c r="G152" s="185">
        <v>13125550.390000001</v>
      </c>
      <c r="H152" s="186">
        <v>0</v>
      </c>
      <c r="I152" s="186">
        <v>309839.77</v>
      </c>
      <c r="J152" s="186">
        <v>13125550.390000001</v>
      </c>
      <c r="K152" s="195">
        <v>9.1</v>
      </c>
      <c r="L152" s="187">
        <v>98.4</v>
      </c>
      <c r="M152" s="390">
        <v>69.2</v>
      </c>
    </row>
    <row r="153" spans="1:13" s="1" customFormat="1" ht="13.5">
      <c r="A153" s="1058">
        <v>14</v>
      </c>
      <c r="B153" s="1059">
        <v>26</v>
      </c>
      <c r="C153" s="1060" t="s">
        <v>551</v>
      </c>
      <c r="D153" s="185">
        <v>77510881.329999998</v>
      </c>
      <c r="E153" s="185">
        <v>14726647.109999999</v>
      </c>
      <c r="F153" s="185">
        <v>13836924.4</v>
      </c>
      <c r="G153" s="185">
        <v>9572170.0299999993</v>
      </c>
      <c r="H153" s="186">
        <v>0</v>
      </c>
      <c r="I153" s="186">
        <v>889722.71</v>
      </c>
      <c r="J153" s="186">
        <v>9572170.0299999993</v>
      </c>
      <c r="K153" s="195">
        <v>19</v>
      </c>
      <c r="L153" s="187">
        <v>94</v>
      </c>
      <c r="M153" s="390">
        <v>65</v>
      </c>
    </row>
    <row r="154" spans="1:13" s="1" customFormat="1" ht="13.5">
      <c r="A154" s="1058">
        <v>14</v>
      </c>
      <c r="B154" s="1059">
        <v>27</v>
      </c>
      <c r="C154" s="1060" t="s">
        <v>550</v>
      </c>
      <c r="D154" s="185">
        <v>84598377.480000004</v>
      </c>
      <c r="E154" s="185">
        <v>10549702.279999999</v>
      </c>
      <c r="F154" s="185">
        <v>9695759.3599999994</v>
      </c>
      <c r="G154" s="185">
        <v>7236752.0700000003</v>
      </c>
      <c r="H154" s="186">
        <v>0</v>
      </c>
      <c r="I154" s="186">
        <v>853942.92</v>
      </c>
      <c r="J154" s="186">
        <v>7236752.0700000003</v>
      </c>
      <c r="K154" s="195">
        <v>12.5</v>
      </c>
      <c r="L154" s="187">
        <v>91.9</v>
      </c>
      <c r="M154" s="390">
        <v>68.599999999999994</v>
      </c>
    </row>
    <row r="155" spans="1:13" s="1" customFormat="1" ht="13.5">
      <c r="A155" s="1058">
        <v>14</v>
      </c>
      <c r="B155" s="1059">
        <v>28</v>
      </c>
      <c r="C155" s="1060" t="s">
        <v>549</v>
      </c>
      <c r="D155" s="185">
        <v>110698299.3</v>
      </c>
      <c r="E155" s="185">
        <v>11620734.84</v>
      </c>
      <c r="F155" s="185">
        <v>11344195.34</v>
      </c>
      <c r="G155" s="185">
        <v>7621064.75</v>
      </c>
      <c r="H155" s="186">
        <v>0</v>
      </c>
      <c r="I155" s="186">
        <v>276539.5</v>
      </c>
      <c r="J155" s="186">
        <v>7621064.75</v>
      </c>
      <c r="K155" s="195">
        <v>10.5</v>
      </c>
      <c r="L155" s="187">
        <v>97.6</v>
      </c>
      <c r="M155" s="390">
        <v>65.599999999999994</v>
      </c>
    </row>
    <row r="156" spans="1:13" s="1" customFormat="1" ht="13.5">
      <c r="A156" s="1058">
        <v>14</v>
      </c>
      <c r="B156" s="1059">
        <v>29</v>
      </c>
      <c r="C156" s="1060" t="s">
        <v>548</v>
      </c>
      <c r="D156" s="185">
        <v>96373244.609999999</v>
      </c>
      <c r="E156" s="185">
        <v>8537983.8000000007</v>
      </c>
      <c r="F156" s="185">
        <v>8466028.8000000007</v>
      </c>
      <c r="G156" s="185">
        <v>6677016.5499999998</v>
      </c>
      <c r="H156" s="186">
        <v>0</v>
      </c>
      <c r="I156" s="186">
        <v>71955</v>
      </c>
      <c r="J156" s="186">
        <v>6677016.5499999998</v>
      </c>
      <c r="K156" s="195">
        <v>8.9</v>
      </c>
      <c r="L156" s="187">
        <v>99.2</v>
      </c>
      <c r="M156" s="390">
        <v>78.2</v>
      </c>
    </row>
    <row r="157" spans="1:13" s="1" customFormat="1" ht="13.5">
      <c r="A157" s="1058">
        <v>14</v>
      </c>
      <c r="B157" s="1059">
        <v>30</v>
      </c>
      <c r="C157" s="1060" t="s">
        <v>547</v>
      </c>
      <c r="D157" s="185">
        <v>54982525.810000002</v>
      </c>
      <c r="E157" s="185">
        <v>7800718.4000000004</v>
      </c>
      <c r="F157" s="185">
        <v>7611942.3300000001</v>
      </c>
      <c r="G157" s="185">
        <v>5283389.9800000004</v>
      </c>
      <c r="H157" s="186">
        <v>18700</v>
      </c>
      <c r="I157" s="186">
        <v>188776.07</v>
      </c>
      <c r="J157" s="186">
        <v>5283389.9800000004</v>
      </c>
      <c r="K157" s="195">
        <v>14.2</v>
      </c>
      <c r="L157" s="187">
        <v>97.6</v>
      </c>
      <c r="M157" s="390">
        <v>67.7</v>
      </c>
    </row>
    <row r="158" spans="1:13" s="1" customFormat="1" ht="13.5">
      <c r="A158" s="1058">
        <v>14</v>
      </c>
      <c r="B158" s="1059">
        <v>32</v>
      </c>
      <c r="C158" s="1060" t="s">
        <v>546</v>
      </c>
      <c r="D158" s="185">
        <v>192876746.91</v>
      </c>
      <c r="E158" s="185">
        <v>21457156.370000001</v>
      </c>
      <c r="F158" s="185">
        <v>19484790.809999999</v>
      </c>
      <c r="G158" s="185">
        <v>11954908.75</v>
      </c>
      <c r="H158" s="186">
        <v>0</v>
      </c>
      <c r="I158" s="186">
        <v>1972365.56</v>
      </c>
      <c r="J158" s="186">
        <v>11954908.75</v>
      </c>
      <c r="K158" s="195">
        <v>11.1</v>
      </c>
      <c r="L158" s="187">
        <v>90.8</v>
      </c>
      <c r="M158" s="390">
        <v>55.7</v>
      </c>
    </row>
    <row r="159" spans="1:13" s="1" customFormat="1" ht="13.5">
      <c r="A159" s="1058">
        <v>14</v>
      </c>
      <c r="B159" s="1059">
        <v>33</v>
      </c>
      <c r="C159" s="1060" t="s">
        <v>545</v>
      </c>
      <c r="D159" s="185">
        <v>101705393.84999999</v>
      </c>
      <c r="E159" s="185">
        <v>9505904.1099999994</v>
      </c>
      <c r="F159" s="185">
        <v>9454704.1099999994</v>
      </c>
      <c r="G159" s="185">
        <v>6667623.9500000002</v>
      </c>
      <c r="H159" s="186">
        <v>0</v>
      </c>
      <c r="I159" s="186">
        <v>51200</v>
      </c>
      <c r="J159" s="186">
        <v>6667623.9500000002</v>
      </c>
      <c r="K159" s="195">
        <v>9.3000000000000007</v>
      </c>
      <c r="L159" s="187">
        <v>99.5</v>
      </c>
      <c r="M159" s="390">
        <v>70.099999999999994</v>
      </c>
    </row>
    <row r="160" spans="1:13" s="1" customFormat="1" ht="13.5">
      <c r="A160" s="1058">
        <v>14</v>
      </c>
      <c r="B160" s="1059">
        <v>34</v>
      </c>
      <c r="C160" s="1060" t="s">
        <v>544</v>
      </c>
      <c r="D160" s="185">
        <v>304081301.32999998</v>
      </c>
      <c r="E160" s="185">
        <v>33024852.800000001</v>
      </c>
      <c r="F160" s="185">
        <v>32011616.73</v>
      </c>
      <c r="G160" s="185">
        <v>22958069.289999999</v>
      </c>
      <c r="H160" s="186">
        <v>0</v>
      </c>
      <c r="I160" s="186">
        <v>1013236.07</v>
      </c>
      <c r="J160" s="186">
        <v>22958069.289999999</v>
      </c>
      <c r="K160" s="195">
        <v>10.9</v>
      </c>
      <c r="L160" s="187">
        <v>96.9</v>
      </c>
      <c r="M160" s="390">
        <v>69.5</v>
      </c>
    </row>
    <row r="161" spans="1:13" s="1" customFormat="1" ht="13.5">
      <c r="A161" s="1058">
        <v>14</v>
      </c>
      <c r="B161" s="1059">
        <v>35</v>
      </c>
      <c r="C161" s="1060" t="s">
        <v>543</v>
      </c>
      <c r="D161" s="185">
        <v>103047913.06</v>
      </c>
      <c r="E161" s="185">
        <v>11426311.24</v>
      </c>
      <c r="F161" s="185">
        <v>11276331.5</v>
      </c>
      <c r="G161" s="185">
        <v>7450356.0199999996</v>
      </c>
      <c r="H161" s="186">
        <v>0</v>
      </c>
      <c r="I161" s="186">
        <v>149979.74</v>
      </c>
      <c r="J161" s="186">
        <v>7450356.0199999996</v>
      </c>
      <c r="K161" s="195">
        <v>11.1</v>
      </c>
      <c r="L161" s="187">
        <v>98.7</v>
      </c>
      <c r="M161" s="390">
        <v>65.2</v>
      </c>
    </row>
    <row r="162" spans="1:13" s="1" customFormat="1" ht="13.5">
      <c r="A162" s="1058">
        <v>14</v>
      </c>
      <c r="B162" s="1059">
        <v>36</v>
      </c>
      <c r="C162" s="1060" t="s">
        <v>542</v>
      </c>
      <c r="D162" s="185">
        <v>48176616.340000004</v>
      </c>
      <c r="E162" s="185">
        <v>6575049.2300000004</v>
      </c>
      <c r="F162" s="185">
        <v>6513048.29</v>
      </c>
      <c r="G162" s="185">
        <v>4788076.04</v>
      </c>
      <c r="H162" s="186">
        <v>0</v>
      </c>
      <c r="I162" s="186">
        <v>62000.94</v>
      </c>
      <c r="J162" s="186">
        <v>4788076.04</v>
      </c>
      <c r="K162" s="195">
        <v>13.6</v>
      </c>
      <c r="L162" s="187">
        <v>99.1</v>
      </c>
      <c r="M162" s="390">
        <v>72.8</v>
      </c>
    </row>
    <row r="163" spans="1:13" s="1" customFormat="1" ht="13.5">
      <c r="A163" s="1058">
        <v>14</v>
      </c>
      <c r="B163" s="1059">
        <v>37</v>
      </c>
      <c r="C163" s="1060" t="s">
        <v>541</v>
      </c>
      <c r="D163" s="185">
        <v>57767607</v>
      </c>
      <c r="E163" s="185">
        <v>6297257.0099999998</v>
      </c>
      <c r="F163" s="185">
        <v>6238823.2000000002</v>
      </c>
      <c r="G163" s="185">
        <v>4798658.71</v>
      </c>
      <c r="H163" s="186">
        <v>0</v>
      </c>
      <c r="I163" s="186">
        <v>58433.81</v>
      </c>
      <c r="J163" s="186">
        <v>4798658.71</v>
      </c>
      <c r="K163" s="195">
        <v>10.9</v>
      </c>
      <c r="L163" s="187">
        <v>99.1</v>
      </c>
      <c r="M163" s="390">
        <v>76.2</v>
      </c>
    </row>
    <row r="164" spans="1:13" s="1" customFormat="1" ht="13.5">
      <c r="A164" s="1058">
        <v>14</v>
      </c>
      <c r="B164" s="1059">
        <v>38</v>
      </c>
      <c r="C164" s="1060" t="s">
        <v>540</v>
      </c>
      <c r="D164" s="185">
        <v>125894410.03</v>
      </c>
      <c r="E164" s="185">
        <v>11216708.26</v>
      </c>
      <c r="F164" s="185">
        <v>10959725.810000001</v>
      </c>
      <c r="G164" s="185">
        <v>7897608.0499999998</v>
      </c>
      <c r="H164" s="186">
        <v>0</v>
      </c>
      <c r="I164" s="186">
        <v>256982.45</v>
      </c>
      <c r="J164" s="186">
        <v>7897608.0499999998</v>
      </c>
      <c r="K164" s="195">
        <v>8.9</v>
      </c>
      <c r="L164" s="187">
        <v>97.7</v>
      </c>
      <c r="M164" s="390">
        <v>70.400000000000006</v>
      </c>
    </row>
    <row r="165" spans="1:13" s="1" customFormat="1" ht="13.5">
      <c r="A165" s="1058">
        <v>16</v>
      </c>
      <c r="B165" s="1059">
        <v>1</v>
      </c>
      <c r="C165" s="1060" t="s">
        <v>539</v>
      </c>
      <c r="D165" s="185">
        <v>112915856.91</v>
      </c>
      <c r="E165" s="185">
        <v>12731533.93</v>
      </c>
      <c r="F165" s="185">
        <v>12205016.720000001</v>
      </c>
      <c r="G165" s="185">
        <v>7764208.1900000004</v>
      </c>
      <c r="H165" s="186">
        <v>9999.74</v>
      </c>
      <c r="I165" s="186">
        <v>526517.21</v>
      </c>
      <c r="J165" s="186">
        <v>7764208.1900000004</v>
      </c>
      <c r="K165" s="195">
        <v>11.3</v>
      </c>
      <c r="L165" s="187">
        <v>95.9</v>
      </c>
      <c r="M165" s="390">
        <v>61</v>
      </c>
    </row>
    <row r="166" spans="1:13" s="1" customFormat="1" ht="13.5">
      <c r="A166" s="1058">
        <v>16</v>
      </c>
      <c r="B166" s="1059">
        <v>2</v>
      </c>
      <c r="C166" s="1060" t="s">
        <v>538</v>
      </c>
      <c r="D166" s="185">
        <v>89678725.439999998</v>
      </c>
      <c r="E166" s="185">
        <v>6533913.1600000001</v>
      </c>
      <c r="F166" s="185">
        <v>6529163.1600000001</v>
      </c>
      <c r="G166" s="185">
        <v>4911163.4000000004</v>
      </c>
      <c r="H166" s="186">
        <v>0</v>
      </c>
      <c r="I166" s="186">
        <v>4750</v>
      </c>
      <c r="J166" s="186">
        <v>4911163.4000000004</v>
      </c>
      <c r="K166" s="195">
        <v>7.3</v>
      </c>
      <c r="L166" s="187">
        <v>99.9</v>
      </c>
      <c r="M166" s="390">
        <v>75.2</v>
      </c>
    </row>
    <row r="167" spans="1:13" s="1" customFormat="1" ht="13.5">
      <c r="A167" s="1058">
        <v>16</v>
      </c>
      <c r="B167" s="1059">
        <v>3</v>
      </c>
      <c r="C167" s="1060" t="s">
        <v>537</v>
      </c>
      <c r="D167" s="185">
        <v>117122983.48</v>
      </c>
      <c r="E167" s="185">
        <v>14464571.460000001</v>
      </c>
      <c r="F167" s="185">
        <v>14377021.539999999</v>
      </c>
      <c r="G167" s="185">
        <v>10023195.5</v>
      </c>
      <c r="H167" s="186">
        <v>0</v>
      </c>
      <c r="I167" s="186">
        <v>87549.92</v>
      </c>
      <c r="J167" s="186">
        <v>10023195.5</v>
      </c>
      <c r="K167" s="195">
        <v>12.3</v>
      </c>
      <c r="L167" s="187">
        <v>99.4</v>
      </c>
      <c r="M167" s="390">
        <v>69.3</v>
      </c>
    </row>
    <row r="168" spans="1:13" s="1" customFormat="1" ht="13.5">
      <c r="A168" s="1058">
        <v>16</v>
      </c>
      <c r="B168" s="1059">
        <v>4</v>
      </c>
      <c r="C168" s="1060" t="s">
        <v>536</v>
      </c>
      <c r="D168" s="185">
        <v>88059228.540000007</v>
      </c>
      <c r="E168" s="185">
        <v>8287867.5599999996</v>
      </c>
      <c r="F168" s="185">
        <v>8287867.5599999996</v>
      </c>
      <c r="G168" s="185">
        <v>6430194.8300000001</v>
      </c>
      <c r="H168" s="186">
        <v>0</v>
      </c>
      <c r="I168" s="186">
        <v>0</v>
      </c>
      <c r="J168" s="186">
        <v>6430194.8300000001</v>
      </c>
      <c r="K168" s="195">
        <v>9.4</v>
      </c>
      <c r="L168" s="187">
        <v>100</v>
      </c>
      <c r="M168" s="390">
        <v>77.599999999999994</v>
      </c>
    </row>
    <row r="169" spans="1:13" s="1" customFormat="1" ht="13.5">
      <c r="A169" s="1058">
        <v>16</v>
      </c>
      <c r="B169" s="1059">
        <v>5</v>
      </c>
      <c r="C169" s="1060" t="s">
        <v>535</v>
      </c>
      <c r="D169" s="185">
        <v>56661791.009999998</v>
      </c>
      <c r="E169" s="185">
        <v>12629511.48</v>
      </c>
      <c r="F169" s="185">
        <v>12433098.01</v>
      </c>
      <c r="G169" s="185">
        <v>9240945.6899999995</v>
      </c>
      <c r="H169" s="186">
        <v>0</v>
      </c>
      <c r="I169" s="186">
        <v>196413.47</v>
      </c>
      <c r="J169" s="186">
        <v>9240945.6899999995</v>
      </c>
      <c r="K169" s="195">
        <v>22.3</v>
      </c>
      <c r="L169" s="187">
        <v>98.4</v>
      </c>
      <c r="M169" s="390">
        <v>73.2</v>
      </c>
    </row>
    <row r="170" spans="1:13" s="1" customFormat="1" ht="13.5">
      <c r="A170" s="1058">
        <v>16</v>
      </c>
      <c r="B170" s="1059">
        <v>6</v>
      </c>
      <c r="C170" s="1060" t="s">
        <v>534</v>
      </c>
      <c r="D170" s="185">
        <v>62620001.299999997</v>
      </c>
      <c r="E170" s="185">
        <v>6624390.5800000001</v>
      </c>
      <c r="F170" s="185">
        <v>6568556.6500000004</v>
      </c>
      <c r="G170" s="185">
        <v>4865184.63</v>
      </c>
      <c r="H170" s="186">
        <v>0</v>
      </c>
      <c r="I170" s="186">
        <v>55833.93</v>
      </c>
      <c r="J170" s="186">
        <v>4865184.63</v>
      </c>
      <c r="K170" s="195">
        <v>10.6</v>
      </c>
      <c r="L170" s="187">
        <v>99.2</v>
      </c>
      <c r="M170" s="390">
        <v>73.400000000000006</v>
      </c>
    </row>
    <row r="171" spans="1:13" s="1" customFormat="1" ht="13.5">
      <c r="A171" s="1058">
        <v>16</v>
      </c>
      <c r="B171" s="1059">
        <v>7</v>
      </c>
      <c r="C171" s="1060" t="s">
        <v>533</v>
      </c>
      <c r="D171" s="185">
        <v>169238135.88999999</v>
      </c>
      <c r="E171" s="185">
        <v>17094761.129999999</v>
      </c>
      <c r="F171" s="185">
        <v>17025944.129999999</v>
      </c>
      <c r="G171" s="185">
        <v>11567434.300000001</v>
      </c>
      <c r="H171" s="186">
        <v>76559.95</v>
      </c>
      <c r="I171" s="186">
        <v>68817</v>
      </c>
      <c r="J171" s="186">
        <v>11567434.300000001</v>
      </c>
      <c r="K171" s="195">
        <v>10.1</v>
      </c>
      <c r="L171" s="187">
        <v>99.6</v>
      </c>
      <c r="M171" s="390">
        <v>67.7</v>
      </c>
    </row>
    <row r="172" spans="1:13" s="1" customFormat="1" ht="13.5">
      <c r="A172" s="1058">
        <v>16</v>
      </c>
      <c r="B172" s="1059">
        <v>8</v>
      </c>
      <c r="C172" s="1060" t="s">
        <v>532</v>
      </c>
      <c r="D172" s="185">
        <v>73005339.950000003</v>
      </c>
      <c r="E172" s="185">
        <v>8905154.5199999996</v>
      </c>
      <c r="F172" s="185">
        <v>8579845.0199999996</v>
      </c>
      <c r="G172" s="185">
        <v>6574190.8799999999</v>
      </c>
      <c r="H172" s="186">
        <v>0</v>
      </c>
      <c r="I172" s="186">
        <v>325309.5</v>
      </c>
      <c r="J172" s="186">
        <v>6574190.8799999999</v>
      </c>
      <c r="K172" s="195">
        <v>12.2</v>
      </c>
      <c r="L172" s="187">
        <v>96.3</v>
      </c>
      <c r="M172" s="390">
        <v>73.8</v>
      </c>
    </row>
    <row r="173" spans="1:13" s="1" customFormat="1" ht="13.5">
      <c r="A173" s="1058">
        <v>16</v>
      </c>
      <c r="B173" s="1059">
        <v>9</v>
      </c>
      <c r="C173" s="1060" t="s">
        <v>531</v>
      </c>
      <c r="D173" s="185">
        <v>97935816.109999999</v>
      </c>
      <c r="E173" s="185">
        <v>13337642.710000001</v>
      </c>
      <c r="F173" s="185">
        <v>13331292.710000001</v>
      </c>
      <c r="G173" s="185">
        <v>9261407.1600000001</v>
      </c>
      <c r="H173" s="186">
        <v>0</v>
      </c>
      <c r="I173" s="186">
        <v>6350</v>
      </c>
      <c r="J173" s="186">
        <v>9261407.1600000001</v>
      </c>
      <c r="K173" s="195">
        <v>13.6</v>
      </c>
      <c r="L173" s="187">
        <v>100</v>
      </c>
      <c r="M173" s="390">
        <v>69.400000000000006</v>
      </c>
    </row>
    <row r="174" spans="1:13" s="1" customFormat="1" ht="13.5">
      <c r="A174" s="1058">
        <v>16</v>
      </c>
      <c r="B174" s="1059">
        <v>10</v>
      </c>
      <c r="C174" s="1060" t="s">
        <v>530</v>
      </c>
      <c r="D174" s="185">
        <v>72850862.280000001</v>
      </c>
      <c r="E174" s="185">
        <v>8240025.29</v>
      </c>
      <c r="F174" s="185">
        <v>8017957.79</v>
      </c>
      <c r="G174" s="185">
        <v>5427234.6100000003</v>
      </c>
      <c r="H174" s="186">
        <v>117134.71</v>
      </c>
      <c r="I174" s="186">
        <v>222067.5</v>
      </c>
      <c r="J174" s="186">
        <v>5427234.6100000003</v>
      </c>
      <c r="K174" s="195">
        <v>11.3</v>
      </c>
      <c r="L174" s="187">
        <v>97.3</v>
      </c>
      <c r="M174" s="390">
        <v>65.900000000000006</v>
      </c>
    </row>
    <row r="175" spans="1:13" s="1" customFormat="1" ht="13.5">
      <c r="A175" s="1058">
        <v>16</v>
      </c>
      <c r="B175" s="1059">
        <v>11</v>
      </c>
      <c r="C175" s="1060" t="s">
        <v>529</v>
      </c>
      <c r="D175" s="185">
        <v>93351581.459999993</v>
      </c>
      <c r="E175" s="185">
        <v>9878967.8699999992</v>
      </c>
      <c r="F175" s="185">
        <v>9807729.0899999999</v>
      </c>
      <c r="G175" s="185">
        <v>7118486.0099999998</v>
      </c>
      <c r="H175" s="186">
        <v>0</v>
      </c>
      <c r="I175" s="186">
        <v>71238.78</v>
      </c>
      <c r="J175" s="186">
        <v>7118486.0099999998</v>
      </c>
      <c r="K175" s="195">
        <v>10.6</v>
      </c>
      <c r="L175" s="187">
        <v>99.3</v>
      </c>
      <c r="M175" s="390">
        <v>72.099999999999994</v>
      </c>
    </row>
    <row r="176" spans="1:13" s="1" customFormat="1" ht="13.5">
      <c r="A176" s="1058">
        <v>18</v>
      </c>
      <c r="B176" s="1059">
        <v>1</v>
      </c>
      <c r="C176" s="1060" t="s">
        <v>528</v>
      </c>
      <c r="D176" s="185">
        <v>50719183.090000004</v>
      </c>
      <c r="E176" s="185">
        <v>7817598.6900000004</v>
      </c>
      <c r="F176" s="185">
        <v>4180800.99</v>
      </c>
      <c r="G176" s="185">
        <v>2610066.7200000002</v>
      </c>
      <c r="H176" s="186">
        <v>304146.32</v>
      </c>
      <c r="I176" s="186">
        <v>3636797.7</v>
      </c>
      <c r="J176" s="186">
        <v>2610066.7200000002</v>
      </c>
      <c r="K176" s="195">
        <v>15.4</v>
      </c>
      <c r="L176" s="187">
        <v>53.5</v>
      </c>
      <c r="M176" s="390">
        <v>33.4</v>
      </c>
    </row>
    <row r="177" spans="1:13" s="1" customFormat="1" ht="13.5">
      <c r="A177" s="1058">
        <v>18</v>
      </c>
      <c r="B177" s="1059">
        <v>2</v>
      </c>
      <c r="C177" s="1060" t="s">
        <v>527</v>
      </c>
      <c r="D177" s="185">
        <v>85454157.870000005</v>
      </c>
      <c r="E177" s="185">
        <v>9527750.0800000001</v>
      </c>
      <c r="F177" s="185">
        <v>9496175.9800000004</v>
      </c>
      <c r="G177" s="185">
        <v>7205918.1299999999</v>
      </c>
      <c r="H177" s="186">
        <v>0</v>
      </c>
      <c r="I177" s="186">
        <v>31574.1</v>
      </c>
      <c r="J177" s="186">
        <v>7205918.1299999999</v>
      </c>
      <c r="K177" s="195">
        <v>11.1</v>
      </c>
      <c r="L177" s="187">
        <v>99.7</v>
      </c>
      <c r="M177" s="390">
        <v>75.599999999999994</v>
      </c>
    </row>
    <row r="178" spans="1:13" s="1" customFormat="1" ht="13.5">
      <c r="A178" s="1058">
        <v>18</v>
      </c>
      <c r="B178" s="1059">
        <v>3</v>
      </c>
      <c r="C178" s="1060" t="s">
        <v>526</v>
      </c>
      <c r="D178" s="185">
        <v>151789713.97</v>
      </c>
      <c r="E178" s="185">
        <v>11481370.1</v>
      </c>
      <c r="F178" s="185">
        <v>11481370.1</v>
      </c>
      <c r="G178" s="185">
        <v>6584634.1100000003</v>
      </c>
      <c r="H178" s="186">
        <v>0</v>
      </c>
      <c r="I178" s="186">
        <v>0</v>
      </c>
      <c r="J178" s="186">
        <v>6584634.1100000003</v>
      </c>
      <c r="K178" s="195">
        <v>7.6</v>
      </c>
      <c r="L178" s="187">
        <v>100</v>
      </c>
      <c r="M178" s="390">
        <v>57.4</v>
      </c>
    </row>
    <row r="179" spans="1:13" s="1" customFormat="1" ht="13.5">
      <c r="A179" s="1058">
        <v>18</v>
      </c>
      <c r="B179" s="1059">
        <v>4</v>
      </c>
      <c r="C179" s="1060" t="s">
        <v>525</v>
      </c>
      <c r="D179" s="185">
        <v>198866679.63</v>
      </c>
      <c r="E179" s="185">
        <v>11631989.720000001</v>
      </c>
      <c r="F179" s="185">
        <v>11481071.439999999</v>
      </c>
      <c r="G179" s="185">
        <v>9093719.1899999995</v>
      </c>
      <c r="H179" s="186">
        <v>0</v>
      </c>
      <c r="I179" s="186">
        <v>150918.28</v>
      </c>
      <c r="J179" s="186">
        <v>9093719.1899999995</v>
      </c>
      <c r="K179" s="195">
        <v>5.8</v>
      </c>
      <c r="L179" s="187">
        <v>98.7</v>
      </c>
      <c r="M179" s="390">
        <v>78.2</v>
      </c>
    </row>
    <row r="180" spans="1:13" s="1" customFormat="1" ht="13.5">
      <c r="A180" s="1058">
        <v>18</v>
      </c>
      <c r="B180" s="1059">
        <v>5</v>
      </c>
      <c r="C180" s="1060" t="s">
        <v>524</v>
      </c>
      <c r="D180" s="185">
        <v>159918042.06999999</v>
      </c>
      <c r="E180" s="185">
        <v>11675039.300000001</v>
      </c>
      <c r="F180" s="185">
        <v>10037758.119999999</v>
      </c>
      <c r="G180" s="185">
        <v>6649873.0199999996</v>
      </c>
      <c r="H180" s="186">
        <v>0</v>
      </c>
      <c r="I180" s="186">
        <v>1637281.18</v>
      </c>
      <c r="J180" s="186">
        <v>6649873.0199999996</v>
      </c>
      <c r="K180" s="195">
        <v>7.3</v>
      </c>
      <c r="L180" s="187">
        <v>86</v>
      </c>
      <c r="M180" s="390">
        <v>57</v>
      </c>
    </row>
    <row r="181" spans="1:13" s="1" customFormat="1" ht="13.5">
      <c r="A181" s="1058">
        <v>18</v>
      </c>
      <c r="B181" s="1059">
        <v>6</v>
      </c>
      <c r="C181" s="1060" t="s">
        <v>523</v>
      </c>
      <c r="D181" s="185">
        <v>54275245.340000004</v>
      </c>
      <c r="E181" s="185">
        <v>6760308.8200000003</v>
      </c>
      <c r="F181" s="185">
        <v>6677547.8200000003</v>
      </c>
      <c r="G181" s="185">
        <v>4658040.6900000004</v>
      </c>
      <c r="H181" s="186">
        <v>0</v>
      </c>
      <c r="I181" s="186">
        <v>82761</v>
      </c>
      <c r="J181" s="186">
        <v>4658040.6900000004</v>
      </c>
      <c r="K181" s="195">
        <v>12.5</v>
      </c>
      <c r="L181" s="187">
        <v>98.8</v>
      </c>
      <c r="M181" s="390">
        <v>68.900000000000006</v>
      </c>
    </row>
    <row r="182" spans="1:13" s="1" customFormat="1" ht="13.5">
      <c r="A182" s="1058">
        <v>18</v>
      </c>
      <c r="B182" s="1059">
        <v>7</v>
      </c>
      <c r="C182" s="1060" t="s">
        <v>522</v>
      </c>
      <c r="D182" s="185">
        <v>91838815.180000007</v>
      </c>
      <c r="E182" s="185">
        <v>13557076.689999999</v>
      </c>
      <c r="F182" s="185">
        <v>13531097.859999999</v>
      </c>
      <c r="G182" s="185">
        <v>10179114.02</v>
      </c>
      <c r="H182" s="186">
        <v>0</v>
      </c>
      <c r="I182" s="186">
        <v>25978.83</v>
      </c>
      <c r="J182" s="186">
        <v>10179114.02</v>
      </c>
      <c r="K182" s="195">
        <v>14.8</v>
      </c>
      <c r="L182" s="187">
        <v>99.8</v>
      </c>
      <c r="M182" s="390">
        <v>75.099999999999994</v>
      </c>
    </row>
    <row r="183" spans="1:13" s="1" customFormat="1" ht="13.5">
      <c r="A183" s="1058">
        <v>18</v>
      </c>
      <c r="B183" s="1059">
        <v>8</v>
      </c>
      <c r="C183" s="1060" t="s">
        <v>521</v>
      </c>
      <c r="D183" s="185">
        <v>113070694.81999999</v>
      </c>
      <c r="E183" s="185">
        <v>10731033.720000001</v>
      </c>
      <c r="F183" s="185">
        <v>10108947.23</v>
      </c>
      <c r="G183" s="185">
        <v>7362147.9000000004</v>
      </c>
      <c r="H183" s="186">
        <v>0</v>
      </c>
      <c r="I183" s="186">
        <v>622086.49</v>
      </c>
      <c r="J183" s="186">
        <v>7362147.9000000004</v>
      </c>
      <c r="K183" s="195">
        <v>9.5</v>
      </c>
      <c r="L183" s="187">
        <v>94.2</v>
      </c>
      <c r="M183" s="390">
        <v>68.599999999999994</v>
      </c>
    </row>
    <row r="184" spans="1:13" s="1" customFormat="1" ht="13.5">
      <c r="A184" s="1058">
        <v>18</v>
      </c>
      <c r="B184" s="1059">
        <v>9</v>
      </c>
      <c r="C184" s="1060" t="s">
        <v>520</v>
      </c>
      <c r="D184" s="185">
        <v>89459064.349999994</v>
      </c>
      <c r="E184" s="185">
        <v>6289085.9199999999</v>
      </c>
      <c r="F184" s="185">
        <v>6146673.0899999999</v>
      </c>
      <c r="G184" s="185">
        <v>4225394.47</v>
      </c>
      <c r="H184" s="186">
        <v>0</v>
      </c>
      <c r="I184" s="186">
        <v>142412.82999999999</v>
      </c>
      <c r="J184" s="186">
        <v>4225394.47</v>
      </c>
      <c r="K184" s="195">
        <v>7</v>
      </c>
      <c r="L184" s="187">
        <v>97.7</v>
      </c>
      <c r="M184" s="390">
        <v>67.2</v>
      </c>
    </row>
    <row r="185" spans="1:13" s="1" customFormat="1" ht="13.5">
      <c r="A185" s="1058">
        <v>18</v>
      </c>
      <c r="B185" s="1059">
        <v>10</v>
      </c>
      <c r="C185" s="1060" t="s">
        <v>519</v>
      </c>
      <c r="D185" s="185">
        <v>97706169.909999996</v>
      </c>
      <c r="E185" s="185">
        <v>11816184.84</v>
      </c>
      <c r="F185" s="185">
        <v>9700216.8800000008</v>
      </c>
      <c r="G185" s="185">
        <v>6771524.2000000002</v>
      </c>
      <c r="H185" s="186">
        <v>0</v>
      </c>
      <c r="I185" s="186">
        <v>2115967.96</v>
      </c>
      <c r="J185" s="186">
        <v>6771524.2000000002</v>
      </c>
      <c r="K185" s="195">
        <v>12.1</v>
      </c>
      <c r="L185" s="187">
        <v>82.1</v>
      </c>
      <c r="M185" s="390">
        <v>57.3</v>
      </c>
    </row>
    <row r="186" spans="1:13" s="1" customFormat="1" ht="13.5">
      <c r="A186" s="1058">
        <v>18</v>
      </c>
      <c r="B186" s="1059">
        <v>11</v>
      </c>
      <c r="C186" s="1060" t="s">
        <v>518</v>
      </c>
      <c r="D186" s="185">
        <v>177625580.5</v>
      </c>
      <c r="E186" s="185">
        <v>15831460.609999999</v>
      </c>
      <c r="F186" s="185">
        <v>14702476.15</v>
      </c>
      <c r="G186" s="185">
        <v>10176649.029999999</v>
      </c>
      <c r="H186" s="186">
        <v>0</v>
      </c>
      <c r="I186" s="186">
        <v>1128984.46</v>
      </c>
      <c r="J186" s="186">
        <v>10176649.029999999</v>
      </c>
      <c r="K186" s="195">
        <v>8.9</v>
      </c>
      <c r="L186" s="187">
        <v>92.9</v>
      </c>
      <c r="M186" s="390">
        <v>64.3</v>
      </c>
    </row>
    <row r="187" spans="1:13" s="1" customFormat="1" ht="13.5">
      <c r="A187" s="1058">
        <v>18</v>
      </c>
      <c r="B187" s="1059">
        <v>12</v>
      </c>
      <c r="C187" s="1060" t="s">
        <v>517</v>
      </c>
      <c r="D187" s="185">
        <v>83977005.939999998</v>
      </c>
      <c r="E187" s="185">
        <v>8620059.5199999996</v>
      </c>
      <c r="F187" s="185">
        <v>8347460.4000000004</v>
      </c>
      <c r="G187" s="185">
        <v>6307919.8899999997</v>
      </c>
      <c r="H187" s="186">
        <v>0</v>
      </c>
      <c r="I187" s="186">
        <v>272599.12</v>
      </c>
      <c r="J187" s="186">
        <v>6307919.8899999997</v>
      </c>
      <c r="K187" s="195">
        <v>10.3</v>
      </c>
      <c r="L187" s="187">
        <v>96.8</v>
      </c>
      <c r="M187" s="390">
        <v>73.2</v>
      </c>
    </row>
    <row r="188" spans="1:13" s="1" customFormat="1" ht="13.5">
      <c r="A188" s="1058">
        <v>18</v>
      </c>
      <c r="B188" s="1059">
        <v>13</v>
      </c>
      <c r="C188" s="1060" t="s">
        <v>516</v>
      </c>
      <c r="D188" s="185">
        <v>52747485.219999999</v>
      </c>
      <c r="E188" s="185">
        <v>10163005.17</v>
      </c>
      <c r="F188" s="185">
        <v>8956410.5800000001</v>
      </c>
      <c r="G188" s="185">
        <v>6488434.7199999997</v>
      </c>
      <c r="H188" s="186">
        <v>0</v>
      </c>
      <c r="I188" s="186">
        <v>1206594.5900000001</v>
      </c>
      <c r="J188" s="186">
        <v>6488434.7199999997</v>
      </c>
      <c r="K188" s="195">
        <v>19.3</v>
      </c>
      <c r="L188" s="187">
        <v>88.1</v>
      </c>
      <c r="M188" s="390">
        <v>63.8</v>
      </c>
    </row>
    <row r="189" spans="1:13" s="1" customFormat="1" ht="13.5">
      <c r="A189" s="1058">
        <v>18</v>
      </c>
      <c r="B189" s="1059">
        <v>14</v>
      </c>
      <c r="C189" s="1060" t="s">
        <v>515</v>
      </c>
      <c r="D189" s="185">
        <v>99051139.950000003</v>
      </c>
      <c r="E189" s="185">
        <v>10049796.4</v>
      </c>
      <c r="F189" s="185">
        <v>9728817.0500000007</v>
      </c>
      <c r="G189" s="185">
        <v>7161387.5099999998</v>
      </c>
      <c r="H189" s="186">
        <v>0</v>
      </c>
      <c r="I189" s="186">
        <v>320979.34999999998</v>
      </c>
      <c r="J189" s="186">
        <v>7161387.5099999998</v>
      </c>
      <c r="K189" s="195">
        <v>10.1</v>
      </c>
      <c r="L189" s="187">
        <v>96.8</v>
      </c>
      <c r="M189" s="390">
        <v>71.3</v>
      </c>
    </row>
    <row r="190" spans="1:13" s="1" customFormat="1" ht="13.5">
      <c r="A190" s="1058">
        <v>18</v>
      </c>
      <c r="B190" s="1059">
        <v>15</v>
      </c>
      <c r="C190" s="1060" t="s">
        <v>514</v>
      </c>
      <c r="D190" s="185">
        <v>108160645.37</v>
      </c>
      <c r="E190" s="185">
        <v>11514471.41</v>
      </c>
      <c r="F190" s="185">
        <v>11514471.41</v>
      </c>
      <c r="G190" s="185">
        <v>8608379.7699999996</v>
      </c>
      <c r="H190" s="186">
        <v>0</v>
      </c>
      <c r="I190" s="186">
        <v>0</v>
      </c>
      <c r="J190" s="186">
        <v>8608379.7699999996</v>
      </c>
      <c r="K190" s="195">
        <v>10.6</v>
      </c>
      <c r="L190" s="187">
        <v>100</v>
      </c>
      <c r="M190" s="390">
        <v>74.8</v>
      </c>
    </row>
    <row r="191" spans="1:13" s="1" customFormat="1" ht="13.5">
      <c r="A191" s="1058">
        <v>18</v>
      </c>
      <c r="B191" s="1059">
        <v>16</v>
      </c>
      <c r="C191" s="1060" t="s">
        <v>513</v>
      </c>
      <c r="D191" s="185">
        <v>166397157.43000001</v>
      </c>
      <c r="E191" s="185">
        <v>19497297.640000001</v>
      </c>
      <c r="F191" s="185">
        <v>18704680.579999998</v>
      </c>
      <c r="G191" s="185">
        <v>12172649.08</v>
      </c>
      <c r="H191" s="186">
        <v>128520.59</v>
      </c>
      <c r="I191" s="186">
        <v>792617.06</v>
      </c>
      <c r="J191" s="186">
        <v>12172649.08</v>
      </c>
      <c r="K191" s="195">
        <v>11.7</v>
      </c>
      <c r="L191" s="187">
        <v>95.9</v>
      </c>
      <c r="M191" s="390">
        <v>62.4</v>
      </c>
    </row>
    <row r="192" spans="1:13" s="1" customFormat="1" ht="13.5">
      <c r="A192" s="1058">
        <v>18</v>
      </c>
      <c r="B192" s="1059">
        <v>17</v>
      </c>
      <c r="C192" s="1060" t="s">
        <v>512</v>
      </c>
      <c r="D192" s="185">
        <v>115896432.63</v>
      </c>
      <c r="E192" s="185">
        <v>12189199.210000001</v>
      </c>
      <c r="F192" s="185">
        <v>12189199.210000001</v>
      </c>
      <c r="G192" s="185">
        <v>8921348.0099999998</v>
      </c>
      <c r="H192" s="186">
        <v>0</v>
      </c>
      <c r="I192" s="186">
        <v>0</v>
      </c>
      <c r="J192" s="186">
        <v>8921348.0099999998</v>
      </c>
      <c r="K192" s="195">
        <v>10.5</v>
      </c>
      <c r="L192" s="187">
        <v>100</v>
      </c>
      <c r="M192" s="390">
        <v>73.2</v>
      </c>
    </row>
    <row r="193" spans="1:13" s="1" customFormat="1" ht="13.5">
      <c r="A193" s="1058">
        <v>18</v>
      </c>
      <c r="B193" s="1059">
        <v>18</v>
      </c>
      <c r="C193" s="1060" t="s">
        <v>511</v>
      </c>
      <c r="D193" s="185">
        <v>150075543.71000001</v>
      </c>
      <c r="E193" s="185">
        <v>11782645.630000001</v>
      </c>
      <c r="F193" s="185">
        <v>11677836.1</v>
      </c>
      <c r="G193" s="185">
        <v>8799772.4399999995</v>
      </c>
      <c r="H193" s="186">
        <v>0</v>
      </c>
      <c r="I193" s="186">
        <v>104809.53</v>
      </c>
      <c r="J193" s="186">
        <v>8799772.4399999995</v>
      </c>
      <c r="K193" s="195">
        <v>7.9</v>
      </c>
      <c r="L193" s="187">
        <v>99.1</v>
      </c>
      <c r="M193" s="390">
        <v>74.7</v>
      </c>
    </row>
    <row r="194" spans="1:13" s="1" customFormat="1" ht="13.5">
      <c r="A194" s="1058">
        <v>18</v>
      </c>
      <c r="B194" s="1059">
        <v>19</v>
      </c>
      <c r="C194" s="1060" t="s">
        <v>510</v>
      </c>
      <c r="D194" s="185">
        <v>93064554.670000002</v>
      </c>
      <c r="E194" s="185">
        <v>6883327.8700000001</v>
      </c>
      <c r="F194" s="185">
        <v>6854623.3899999997</v>
      </c>
      <c r="G194" s="185">
        <v>5036271.79</v>
      </c>
      <c r="H194" s="186">
        <v>0</v>
      </c>
      <c r="I194" s="186">
        <v>28704.48</v>
      </c>
      <c r="J194" s="186">
        <v>5036271.79</v>
      </c>
      <c r="K194" s="195">
        <v>7.4</v>
      </c>
      <c r="L194" s="187">
        <v>99.6</v>
      </c>
      <c r="M194" s="390">
        <v>73.2</v>
      </c>
    </row>
    <row r="195" spans="1:13" s="1" customFormat="1" ht="13.5">
      <c r="A195" s="1058">
        <v>18</v>
      </c>
      <c r="B195" s="1059">
        <v>20</v>
      </c>
      <c r="C195" s="1060" t="s">
        <v>509</v>
      </c>
      <c r="D195" s="185">
        <v>56891029.590000004</v>
      </c>
      <c r="E195" s="185">
        <v>5963369.8300000001</v>
      </c>
      <c r="F195" s="185">
        <v>5898509.8300000001</v>
      </c>
      <c r="G195" s="185">
        <v>4231183.58</v>
      </c>
      <c r="H195" s="186">
        <v>0</v>
      </c>
      <c r="I195" s="186">
        <v>64860</v>
      </c>
      <c r="J195" s="186">
        <v>4231183.58</v>
      </c>
      <c r="K195" s="195">
        <v>10.5</v>
      </c>
      <c r="L195" s="187">
        <v>98.9</v>
      </c>
      <c r="M195" s="390">
        <v>71</v>
      </c>
    </row>
    <row r="196" spans="1:13" s="1" customFormat="1" ht="13.5">
      <c r="A196" s="1058">
        <v>18</v>
      </c>
      <c r="B196" s="1059">
        <v>21</v>
      </c>
      <c r="C196" s="1060" t="s">
        <v>508</v>
      </c>
      <c r="D196" s="185">
        <v>41219098.5</v>
      </c>
      <c r="E196" s="185">
        <v>5611893.5599999996</v>
      </c>
      <c r="F196" s="185">
        <v>5581269.4299999997</v>
      </c>
      <c r="G196" s="185">
        <v>4017613.22</v>
      </c>
      <c r="H196" s="186">
        <v>0</v>
      </c>
      <c r="I196" s="186">
        <v>30624.13</v>
      </c>
      <c r="J196" s="186">
        <v>4017613.22</v>
      </c>
      <c r="K196" s="195">
        <v>13.6</v>
      </c>
      <c r="L196" s="187">
        <v>99.5</v>
      </c>
      <c r="M196" s="390">
        <v>71.599999999999994</v>
      </c>
    </row>
    <row r="197" spans="1:13" s="1" customFormat="1" ht="13.5">
      <c r="A197" s="1058">
        <v>20</v>
      </c>
      <c r="B197" s="1059">
        <v>1</v>
      </c>
      <c r="C197" s="1060" t="s">
        <v>507</v>
      </c>
      <c r="D197" s="185">
        <v>84441470.5</v>
      </c>
      <c r="E197" s="185">
        <v>7461128.4299999997</v>
      </c>
      <c r="F197" s="185">
        <v>7461128.4299999997</v>
      </c>
      <c r="G197" s="185">
        <v>5226437.0999999996</v>
      </c>
      <c r="H197" s="186">
        <v>0</v>
      </c>
      <c r="I197" s="186">
        <v>0</v>
      </c>
      <c r="J197" s="186">
        <v>5226437.0999999996</v>
      </c>
      <c r="K197" s="195">
        <v>8.8000000000000007</v>
      </c>
      <c r="L197" s="187">
        <v>100</v>
      </c>
      <c r="M197" s="390">
        <v>70</v>
      </c>
    </row>
    <row r="198" spans="1:13" s="1" customFormat="1" ht="13.5">
      <c r="A198" s="1058">
        <v>20</v>
      </c>
      <c r="B198" s="1059">
        <v>2</v>
      </c>
      <c r="C198" s="1060" t="s">
        <v>506</v>
      </c>
      <c r="D198" s="185">
        <v>182333779.12</v>
      </c>
      <c r="E198" s="185">
        <v>17281014.609999999</v>
      </c>
      <c r="F198" s="185">
        <v>16981069.289999999</v>
      </c>
      <c r="G198" s="185">
        <v>11387186.4</v>
      </c>
      <c r="H198" s="186">
        <v>0</v>
      </c>
      <c r="I198" s="186">
        <v>299945.32</v>
      </c>
      <c r="J198" s="186">
        <v>11387186.4</v>
      </c>
      <c r="K198" s="195">
        <v>9.5</v>
      </c>
      <c r="L198" s="187">
        <v>98.3</v>
      </c>
      <c r="M198" s="390">
        <v>65.900000000000006</v>
      </c>
    </row>
    <row r="199" spans="1:13" s="1" customFormat="1" ht="13.5">
      <c r="A199" s="1058">
        <v>20</v>
      </c>
      <c r="B199" s="1059">
        <v>3</v>
      </c>
      <c r="C199" s="1060" t="s">
        <v>477</v>
      </c>
      <c r="D199" s="185">
        <v>69064137.730000004</v>
      </c>
      <c r="E199" s="185">
        <v>7854424.9800000004</v>
      </c>
      <c r="F199" s="185">
        <v>7810071.1799999997</v>
      </c>
      <c r="G199" s="185">
        <v>5840999.1600000001</v>
      </c>
      <c r="H199" s="186">
        <v>0</v>
      </c>
      <c r="I199" s="186">
        <v>44353.8</v>
      </c>
      <c r="J199" s="186">
        <v>5840999.1600000001</v>
      </c>
      <c r="K199" s="195">
        <v>11.4</v>
      </c>
      <c r="L199" s="187">
        <v>99.4</v>
      </c>
      <c r="M199" s="390">
        <v>74.400000000000006</v>
      </c>
    </row>
    <row r="200" spans="1:13" s="1" customFormat="1" ht="13.5">
      <c r="A200" s="1058">
        <v>20</v>
      </c>
      <c r="B200" s="1059">
        <v>4</v>
      </c>
      <c r="C200" s="1060" t="s">
        <v>505</v>
      </c>
      <c r="D200" s="185">
        <v>69270044.939999998</v>
      </c>
      <c r="E200" s="185">
        <v>5791574.6900000004</v>
      </c>
      <c r="F200" s="185">
        <v>5791574.6900000004</v>
      </c>
      <c r="G200" s="185">
        <v>4102283.07</v>
      </c>
      <c r="H200" s="186">
        <v>0</v>
      </c>
      <c r="I200" s="186">
        <v>0</v>
      </c>
      <c r="J200" s="186">
        <v>4102283.07</v>
      </c>
      <c r="K200" s="195">
        <v>8.4</v>
      </c>
      <c r="L200" s="187">
        <v>100</v>
      </c>
      <c r="M200" s="390">
        <v>70.8</v>
      </c>
    </row>
    <row r="201" spans="1:13" s="1" customFormat="1" ht="13.5">
      <c r="A201" s="1058">
        <v>20</v>
      </c>
      <c r="B201" s="1059">
        <v>5</v>
      </c>
      <c r="C201" s="1060" t="s">
        <v>504</v>
      </c>
      <c r="D201" s="185">
        <v>62539677.060000002</v>
      </c>
      <c r="E201" s="185">
        <v>5344524.2300000004</v>
      </c>
      <c r="F201" s="185">
        <v>5289242.71</v>
      </c>
      <c r="G201" s="185">
        <v>3598634.86</v>
      </c>
      <c r="H201" s="186">
        <v>116525.8</v>
      </c>
      <c r="I201" s="186">
        <v>55281.52</v>
      </c>
      <c r="J201" s="186">
        <v>3598634.86</v>
      </c>
      <c r="K201" s="195">
        <v>8.5</v>
      </c>
      <c r="L201" s="187">
        <v>99</v>
      </c>
      <c r="M201" s="390">
        <v>67.3</v>
      </c>
    </row>
    <row r="202" spans="1:13" s="1" customFormat="1" ht="13.5">
      <c r="A202" s="1058">
        <v>20</v>
      </c>
      <c r="B202" s="1059">
        <v>6</v>
      </c>
      <c r="C202" s="1060" t="s">
        <v>503</v>
      </c>
      <c r="D202" s="185">
        <v>47948022.289999999</v>
      </c>
      <c r="E202" s="185">
        <v>5099325.9400000004</v>
      </c>
      <c r="F202" s="185">
        <v>5069325.9400000004</v>
      </c>
      <c r="G202" s="185">
        <v>3435849.19</v>
      </c>
      <c r="H202" s="186">
        <v>0</v>
      </c>
      <c r="I202" s="186">
        <v>30000</v>
      </c>
      <c r="J202" s="186">
        <v>3435849.19</v>
      </c>
      <c r="K202" s="195">
        <v>10.6</v>
      </c>
      <c r="L202" s="187">
        <v>99.4</v>
      </c>
      <c r="M202" s="390">
        <v>67.400000000000006</v>
      </c>
    </row>
    <row r="203" spans="1:13" s="1" customFormat="1" ht="13.5">
      <c r="A203" s="1058">
        <v>20</v>
      </c>
      <c r="B203" s="1059">
        <v>7</v>
      </c>
      <c r="C203" s="1060" t="s">
        <v>502</v>
      </c>
      <c r="D203" s="185">
        <v>44854074.93</v>
      </c>
      <c r="E203" s="185">
        <v>6048373.8700000001</v>
      </c>
      <c r="F203" s="185">
        <v>5755364.3700000001</v>
      </c>
      <c r="G203" s="185">
        <v>3774152.28</v>
      </c>
      <c r="H203" s="186">
        <v>0</v>
      </c>
      <c r="I203" s="186">
        <v>293009.5</v>
      </c>
      <c r="J203" s="186">
        <v>3774152.28</v>
      </c>
      <c r="K203" s="195">
        <v>13.5</v>
      </c>
      <c r="L203" s="187">
        <v>95.2</v>
      </c>
      <c r="M203" s="390">
        <v>62.4</v>
      </c>
    </row>
    <row r="204" spans="1:13" s="1" customFormat="1" ht="13.5">
      <c r="A204" s="1058">
        <v>20</v>
      </c>
      <c r="B204" s="1059">
        <v>8</v>
      </c>
      <c r="C204" s="1060" t="s">
        <v>501</v>
      </c>
      <c r="D204" s="185">
        <v>62067347.799999997</v>
      </c>
      <c r="E204" s="185">
        <v>4108350.02</v>
      </c>
      <c r="F204" s="185">
        <v>4097464.52</v>
      </c>
      <c r="G204" s="185">
        <v>2823843.4</v>
      </c>
      <c r="H204" s="186">
        <v>56777.13</v>
      </c>
      <c r="I204" s="186">
        <v>10885.5</v>
      </c>
      <c r="J204" s="186">
        <v>2823843.4</v>
      </c>
      <c r="K204" s="195">
        <v>6.6</v>
      </c>
      <c r="L204" s="187">
        <v>99.7</v>
      </c>
      <c r="M204" s="390">
        <v>68.7</v>
      </c>
    </row>
    <row r="205" spans="1:13" s="1" customFormat="1" ht="13.5">
      <c r="A205" s="1058">
        <v>20</v>
      </c>
      <c r="B205" s="1059">
        <v>9</v>
      </c>
      <c r="C205" s="1060" t="s">
        <v>500</v>
      </c>
      <c r="D205" s="185">
        <v>31916576.43</v>
      </c>
      <c r="E205" s="185">
        <v>3038280.48</v>
      </c>
      <c r="F205" s="185">
        <v>3038280.48</v>
      </c>
      <c r="G205" s="185">
        <v>2056515.6</v>
      </c>
      <c r="H205" s="186">
        <v>0</v>
      </c>
      <c r="I205" s="186">
        <v>0</v>
      </c>
      <c r="J205" s="186">
        <v>2056515.6</v>
      </c>
      <c r="K205" s="195">
        <v>9.5</v>
      </c>
      <c r="L205" s="187">
        <v>100</v>
      </c>
      <c r="M205" s="390">
        <v>67.7</v>
      </c>
    </row>
    <row r="206" spans="1:13" s="1" customFormat="1" ht="13.5">
      <c r="A206" s="1058">
        <v>20</v>
      </c>
      <c r="B206" s="1059">
        <v>10</v>
      </c>
      <c r="C206" s="1060" t="s">
        <v>499</v>
      </c>
      <c r="D206" s="185">
        <v>59084406.32</v>
      </c>
      <c r="E206" s="185">
        <v>5541691.4000000004</v>
      </c>
      <c r="F206" s="185">
        <v>5541691.4000000004</v>
      </c>
      <c r="G206" s="185">
        <v>3812886.97</v>
      </c>
      <c r="H206" s="186">
        <v>0</v>
      </c>
      <c r="I206" s="186">
        <v>0</v>
      </c>
      <c r="J206" s="186">
        <v>3812886.97</v>
      </c>
      <c r="K206" s="195">
        <v>9.4</v>
      </c>
      <c r="L206" s="187">
        <v>100</v>
      </c>
      <c r="M206" s="390">
        <v>68.8</v>
      </c>
    </row>
    <row r="207" spans="1:13" s="1" customFormat="1" ht="13.5">
      <c r="A207" s="1058">
        <v>20</v>
      </c>
      <c r="B207" s="1059">
        <v>11</v>
      </c>
      <c r="C207" s="1060" t="s">
        <v>498</v>
      </c>
      <c r="D207" s="185">
        <v>96968410.599999994</v>
      </c>
      <c r="E207" s="185">
        <v>14702108.779999999</v>
      </c>
      <c r="F207" s="185">
        <v>12245406.26</v>
      </c>
      <c r="G207" s="185">
        <v>9249788.4100000001</v>
      </c>
      <c r="H207" s="186">
        <v>0</v>
      </c>
      <c r="I207" s="186">
        <v>2456702.52</v>
      </c>
      <c r="J207" s="186">
        <v>9249788.4100000001</v>
      </c>
      <c r="K207" s="195">
        <v>15.2</v>
      </c>
      <c r="L207" s="187">
        <v>83.3</v>
      </c>
      <c r="M207" s="390">
        <v>62.9</v>
      </c>
    </row>
    <row r="208" spans="1:13" s="1" customFormat="1" ht="13.5">
      <c r="A208" s="1058">
        <v>20</v>
      </c>
      <c r="B208" s="1059">
        <v>12</v>
      </c>
      <c r="C208" s="1060" t="s">
        <v>497</v>
      </c>
      <c r="D208" s="185">
        <v>49296128.090000004</v>
      </c>
      <c r="E208" s="185">
        <v>6186866.2800000003</v>
      </c>
      <c r="F208" s="185">
        <v>5838148.8899999997</v>
      </c>
      <c r="G208" s="185">
        <v>4123179.38</v>
      </c>
      <c r="H208" s="186">
        <v>0</v>
      </c>
      <c r="I208" s="186">
        <v>348717.39</v>
      </c>
      <c r="J208" s="186">
        <v>4123179.38</v>
      </c>
      <c r="K208" s="195">
        <v>12.6</v>
      </c>
      <c r="L208" s="187">
        <v>94.4</v>
      </c>
      <c r="M208" s="390">
        <v>66.599999999999994</v>
      </c>
    </row>
    <row r="209" spans="1:13" s="1" customFormat="1" ht="13.5">
      <c r="A209" s="1058">
        <v>20</v>
      </c>
      <c r="B209" s="1059">
        <v>13</v>
      </c>
      <c r="C209" s="1060" t="s">
        <v>496</v>
      </c>
      <c r="D209" s="185">
        <v>103605834.02</v>
      </c>
      <c r="E209" s="185">
        <v>5459681.7999999998</v>
      </c>
      <c r="F209" s="185">
        <v>5443667.2000000002</v>
      </c>
      <c r="G209" s="185">
        <v>3425768.47</v>
      </c>
      <c r="H209" s="186">
        <v>0</v>
      </c>
      <c r="I209" s="186">
        <v>16014.6</v>
      </c>
      <c r="J209" s="186">
        <v>3425768.47</v>
      </c>
      <c r="K209" s="195">
        <v>5.3</v>
      </c>
      <c r="L209" s="187">
        <v>99.7</v>
      </c>
      <c r="M209" s="390">
        <v>62.7</v>
      </c>
    </row>
    <row r="210" spans="1:13" s="1" customFormat="1" ht="13.5">
      <c r="A210" s="1058">
        <v>20</v>
      </c>
      <c r="B210" s="1059">
        <v>14</v>
      </c>
      <c r="C210" s="1060" t="s">
        <v>495</v>
      </c>
      <c r="D210" s="185">
        <v>59113728.539999999</v>
      </c>
      <c r="E210" s="185">
        <v>6186656.2999999998</v>
      </c>
      <c r="F210" s="185">
        <v>6186656.2999999998</v>
      </c>
      <c r="G210" s="185">
        <v>4397585.5999999996</v>
      </c>
      <c r="H210" s="186">
        <v>21063.34</v>
      </c>
      <c r="I210" s="186">
        <v>0</v>
      </c>
      <c r="J210" s="186">
        <v>4397585.5999999996</v>
      </c>
      <c r="K210" s="195">
        <v>10.5</v>
      </c>
      <c r="L210" s="187">
        <v>100</v>
      </c>
      <c r="M210" s="390">
        <v>71.099999999999994</v>
      </c>
    </row>
    <row r="211" spans="1:13" s="1" customFormat="1" ht="13.5">
      <c r="A211" s="1058">
        <v>22</v>
      </c>
      <c r="B211" s="1059">
        <v>1</v>
      </c>
      <c r="C211" s="1060" t="s">
        <v>494</v>
      </c>
      <c r="D211" s="185">
        <v>119427582.84</v>
      </c>
      <c r="E211" s="185">
        <v>8438814.25</v>
      </c>
      <c r="F211" s="185">
        <v>8438814.25</v>
      </c>
      <c r="G211" s="185">
        <v>4961524.3600000003</v>
      </c>
      <c r="H211" s="186">
        <v>0</v>
      </c>
      <c r="I211" s="186">
        <v>0</v>
      </c>
      <c r="J211" s="186">
        <v>4961524.3600000003</v>
      </c>
      <c r="K211" s="195">
        <v>7.1</v>
      </c>
      <c r="L211" s="187">
        <v>100</v>
      </c>
      <c r="M211" s="390">
        <v>58.8</v>
      </c>
    </row>
    <row r="212" spans="1:13" s="1" customFormat="1" ht="13.5">
      <c r="A212" s="1058">
        <v>22</v>
      </c>
      <c r="B212" s="1059">
        <v>2</v>
      </c>
      <c r="C212" s="1060" t="s">
        <v>493</v>
      </c>
      <c r="D212" s="185">
        <v>143736948.59</v>
      </c>
      <c r="E212" s="185">
        <v>12126995.91</v>
      </c>
      <c r="F212" s="185">
        <v>12087709.25</v>
      </c>
      <c r="G212" s="185">
        <v>8394732.9900000002</v>
      </c>
      <c r="H212" s="186">
        <v>0</v>
      </c>
      <c r="I212" s="186">
        <v>39286.660000000003</v>
      </c>
      <c r="J212" s="186">
        <v>8394732.9900000002</v>
      </c>
      <c r="K212" s="195">
        <v>8.4</v>
      </c>
      <c r="L212" s="187">
        <v>99.7</v>
      </c>
      <c r="M212" s="390">
        <v>69.2</v>
      </c>
    </row>
    <row r="213" spans="1:13" s="1" customFormat="1" ht="13.5">
      <c r="A213" s="1058">
        <v>22</v>
      </c>
      <c r="B213" s="1059">
        <v>3</v>
      </c>
      <c r="C213" s="1060" t="s">
        <v>492</v>
      </c>
      <c r="D213" s="185">
        <v>113946311.93000001</v>
      </c>
      <c r="E213" s="185">
        <v>8109589.5099999998</v>
      </c>
      <c r="F213" s="185">
        <v>7964369.5599999996</v>
      </c>
      <c r="G213" s="185">
        <v>5944859.9100000001</v>
      </c>
      <c r="H213" s="186">
        <v>0</v>
      </c>
      <c r="I213" s="186">
        <v>145219.95000000001</v>
      </c>
      <c r="J213" s="186">
        <v>5944859.9100000001</v>
      </c>
      <c r="K213" s="195">
        <v>7.1</v>
      </c>
      <c r="L213" s="187">
        <v>98.2</v>
      </c>
      <c r="M213" s="390">
        <v>73.3</v>
      </c>
    </row>
    <row r="214" spans="1:13" s="1" customFormat="1" ht="13.5">
      <c r="A214" s="1058">
        <v>22</v>
      </c>
      <c r="B214" s="1059">
        <v>4</v>
      </c>
      <c r="C214" s="1060" t="s">
        <v>491</v>
      </c>
      <c r="D214" s="185">
        <v>119742243.18000001</v>
      </c>
      <c r="E214" s="185">
        <v>16626752.449999999</v>
      </c>
      <c r="F214" s="185">
        <v>15269724.130000001</v>
      </c>
      <c r="G214" s="185">
        <v>10172052.949999999</v>
      </c>
      <c r="H214" s="186">
        <v>0</v>
      </c>
      <c r="I214" s="186">
        <v>1357028.32</v>
      </c>
      <c r="J214" s="186">
        <v>10172052.949999999</v>
      </c>
      <c r="K214" s="195">
        <v>13.9</v>
      </c>
      <c r="L214" s="187">
        <v>91.8</v>
      </c>
      <c r="M214" s="390">
        <v>61.2</v>
      </c>
    </row>
    <row r="215" spans="1:13" s="1" customFormat="1" ht="13.5">
      <c r="A215" s="1058">
        <v>22</v>
      </c>
      <c r="B215" s="1059">
        <v>5</v>
      </c>
      <c r="C215" s="1060" t="s">
        <v>490</v>
      </c>
      <c r="D215" s="185">
        <v>176960248.78</v>
      </c>
      <c r="E215" s="185">
        <v>22734395.039999999</v>
      </c>
      <c r="F215" s="185">
        <v>22562562.780000001</v>
      </c>
      <c r="G215" s="185">
        <v>15149394.619999999</v>
      </c>
      <c r="H215" s="186">
        <v>0</v>
      </c>
      <c r="I215" s="186">
        <v>171832.26</v>
      </c>
      <c r="J215" s="186">
        <v>15149394.619999999</v>
      </c>
      <c r="K215" s="195">
        <v>12.8</v>
      </c>
      <c r="L215" s="187">
        <v>99.2</v>
      </c>
      <c r="M215" s="390">
        <v>66.599999999999994</v>
      </c>
    </row>
    <row r="216" spans="1:13" s="1" customFormat="1" ht="13.5">
      <c r="A216" s="1058">
        <v>22</v>
      </c>
      <c r="B216" s="1059">
        <v>6</v>
      </c>
      <c r="C216" s="1060" t="s">
        <v>489</v>
      </c>
      <c r="D216" s="185">
        <v>113282266.04000001</v>
      </c>
      <c r="E216" s="185">
        <v>8889272.4299999997</v>
      </c>
      <c r="F216" s="185">
        <v>8810069.3200000003</v>
      </c>
      <c r="G216" s="185">
        <v>6025954.79</v>
      </c>
      <c r="H216" s="186">
        <v>0</v>
      </c>
      <c r="I216" s="186">
        <v>79203.11</v>
      </c>
      <c r="J216" s="186">
        <v>6025954.79</v>
      </c>
      <c r="K216" s="195">
        <v>7.8</v>
      </c>
      <c r="L216" s="187">
        <v>99.1</v>
      </c>
      <c r="M216" s="390">
        <v>67.8</v>
      </c>
    </row>
    <row r="217" spans="1:13" s="1" customFormat="1" ht="13.5">
      <c r="A217" s="1058">
        <v>22</v>
      </c>
      <c r="B217" s="1059">
        <v>7</v>
      </c>
      <c r="C217" s="1060" t="s">
        <v>488</v>
      </c>
      <c r="D217" s="185">
        <v>108098239.33</v>
      </c>
      <c r="E217" s="185">
        <v>10436487.689999999</v>
      </c>
      <c r="F217" s="185">
        <v>10436487.689999999</v>
      </c>
      <c r="G217" s="185">
        <v>7429342.7599999998</v>
      </c>
      <c r="H217" s="186">
        <v>0</v>
      </c>
      <c r="I217" s="186">
        <v>0</v>
      </c>
      <c r="J217" s="186">
        <v>7429342.7599999998</v>
      </c>
      <c r="K217" s="195">
        <v>9.6999999999999993</v>
      </c>
      <c r="L217" s="187">
        <v>100</v>
      </c>
      <c r="M217" s="390">
        <v>71.2</v>
      </c>
    </row>
    <row r="218" spans="1:13" s="1" customFormat="1" ht="13.5">
      <c r="A218" s="1058">
        <v>22</v>
      </c>
      <c r="B218" s="1059">
        <v>8</v>
      </c>
      <c r="C218" s="1060" t="s">
        <v>487</v>
      </c>
      <c r="D218" s="185">
        <v>103227802.48</v>
      </c>
      <c r="E218" s="185">
        <v>9429895.9900000002</v>
      </c>
      <c r="F218" s="185">
        <v>9080546.2200000007</v>
      </c>
      <c r="G218" s="185">
        <v>6336173.5800000001</v>
      </c>
      <c r="H218" s="186">
        <v>0</v>
      </c>
      <c r="I218" s="186">
        <v>349349.77</v>
      </c>
      <c r="J218" s="186">
        <v>6336173.5800000001</v>
      </c>
      <c r="K218" s="195">
        <v>9.1</v>
      </c>
      <c r="L218" s="187">
        <v>96.3</v>
      </c>
      <c r="M218" s="390">
        <v>67.2</v>
      </c>
    </row>
    <row r="219" spans="1:13" s="1" customFormat="1" ht="13.5">
      <c r="A219" s="1058">
        <v>22</v>
      </c>
      <c r="B219" s="1059">
        <v>9</v>
      </c>
      <c r="C219" s="1060" t="s">
        <v>486</v>
      </c>
      <c r="D219" s="185">
        <v>92408197.969999999</v>
      </c>
      <c r="E219" s="185">
        <v>7375061.04</v>
      </c>
      <c r="F219" s="185">
        <v>7375061.04</v>
      </c>
      <c r="G219" s="185">
        <v>5074379.53</v>
      </c>
      <c r="H219" s="186">
        <v>0</v>
      </c>
      <c r="I219" s="186">
        <v>0</v>
      </c>
      <c r="J219" s="186">
        <v>5074379.53</v>
      </c>
      <c r="K219" s="195">
        <v>8</v>
      </c>
      <c r="L219" s="187">
        <v>100</v>
      </c>
      <c r="M219" s="390">
        <v>68.8</v>
      </c>
    </row>
    <row r="220" spans="1:13" s="1" customFormat="1" ht="13.5">
      <c r="A220" s="1058">
        <v>22</v>
      </c>
      <c r="B220" s="1059">
        <v>10</v>
      </c>
      <c r="C220" s="1060" t="s">
        <v>485</v>
      </c>
      <c r="D220" s="185">
        <v>56162069.960000001</v>
      </c>
      <c r="E220" s="185">
        <v>6417397.04</v>
      </c>
      <c r="F220" s="185">
        <v>6386647.04</v>
      </c>
      <c r="G220" s="185">
        <v>4270801.79</v>
      </c>
      <c r="H220" s="186">
        <v>0</v>
      </c>
      <c r="I220" s="186">
        <v>30750</v>
      </c>
      <c r="J220" s="186">
        <v>4270801.79</v>
      </c>
      <c r="K220" s="195">
        <v>11.4</v>
      </c>
      <c r="L220" s="187">
        <v>99.5</v>
      </c>
      <c r="M220" s="390">
        <v>66.599999999999994</v>
      </c>
    </row>
    <row r="221" spans="1:13" s="1" customFormat="1" ht="13.5">
      <c r="A221" s="1058">
        <v>22</v>
      </c>
      <c r="B221" s="1059">
        <v>11</v>
      </c>
      <c r="C221" s="1060" t="s">
        <v>484</v>
      </c>
      <c r="D221" s="185">
        <v>98267054.879999995</v>
      </c>
      <c r="E221" s="185">
        <v>12374745.83</v>
      </c>
      <c r="F221" s="185">
        <v>12173863.779999999</v>
      </c>
      <c r="G221" s="185">
        <v>7914370.7800000003</v>
      </c>
      <c r="H221" s="186">
        <v>0</v>
      </c>
      <c r="I221" s="186">
        <v>200882.05</v>
      </c>
      <c r="J221" s="186">
        <v>7914370.7800000003</v>
      </c>
      <c r="K221" s="195">
        <v>12.6</v>
      </c>
      <c r="L221" s="187">
        <v>98.4</v>
      </c>
      <c r="M221" s="390">
        <v>64</v>
      </c>
    </row>
    <row r="222" spans="1:13" s="1" customFormat="1" ht="13.5">
      <c r="A222" s="1058">
        <v>22</v>
      </c>
      <c r="B222" s="1059">
        <v>12</v>
      </c>
      <c r="C222" s="1060" t="s">
        <v>483</v>
      </c>
      <c r="D222" s="185">
        <v>145839803.19</v>
      </c>
      <c r="E222" s="185">
        <v>12236593.380000001</v>
      </c>
      <c r="F222" s="185">
        <v>11975707.880000001</v>
      </c>
      <c r="G222" s="185">
        <v>8272004.9100000001</v>
      </c>
      <c r="H222" s="186">
        <v>0</v>
      </c>
      <c r="I222" s="186">
        <v>260885.5</v>
      </c>
      <c r="J222" s="186">
        <v>8272004.9100000001</v>
      </c>
      <c r="K222" s="195">
        <v>8.4</v>
      </c>
      <c r="L222" s="187">
        <v>97.9</v>
      </c>
      <c r="M222" s="390">
        <v>67.599999999999994</v>
      </c>
    </row>
    <row r="223" spans="1:13" s="1" customFormat="1" ht="13.5">
      <c r="A223" s="1058">
        <v>22</v>
      </c>
      <c r="B223" s="1059">
        <v>13</v>
      </c>
      <c r="C223" s="1060" t="s">
        <v>482</v>
      </c>
      <c r="D223" s="185">
        <v>192034757.44</v>
      </c>
      <c r="E223" s="185">
        <v>17453586.399999999</v>
      </c>
      <c r="F223" s="185">
        <v>17313774.539999999</v>
      </c>
      <c r="G223" s="185">
        <v>12500594.189999999</v>
      </c>
      <c r="H223" s="186">
        <v>0</v>
      </c>
      <c r="I223" s="186">
        <v>139811.85999999999</v>
      </c>
      <c r="J223" s="186">
        <v>12500594.189999999</v>
      </c>
      <c r="K223" s="195">
        <v>9.1</v>
      </c>
      <c r="L223" s="187">
        <v>99.2</v>
      </c>
      <c r="M223" s="390">
        <v>71.599999999999994</v>
      </c>
    </row>
    <row r="224" spans="1:13" s="1" customFormat="1" ht="13.5">
      <c r="A224" s="1058">
        <v>22</v>
      </c>
      <c r="B224" s="1059">
        <v>14</v>
      </c>
      <c r="C224" s="1060" t="s">
        <v>481</v>
      </c>
      <c r="D224" s="185">
        <v>181487432.18000001</v>
      </c>
      <c r="E224" s="185">
        <v>15432217.76</v>
      </c>
      <c r="F224" s="185">
        <v>15124962.359999999</v>
      </c>
      <c r="G224" s="185">
        <v>10778019.08</v>
      </c>
      <c r="H224" s="186">
        <v>0</v>
      </c>
      <c r="I224" s="186">
        <v>307255.40000000002</v>
      </c>
      <c r="J224" s="186">
        <v>10778019.08</v>
      </c>
      <c r="K224" s="195">
        <v>8.5</v>
      </c>
      <c r="L224" s="187">
        <v>98</v>
      </c>
      <c r="M224" s="390">
        <v>69.8</v>
      </c>
    </row>
    <row r="225" spans="1:13" s="1" customFormat="1" ht="13.5">
      <c r="A225" s="1058">
        <v>22</v>
      </c>
      <c r="B225" s="1059">
        <v>15</v>
      </c>
      <c r="C225" s="1060" t="s">
        <v>480</v>
      </c>
      <c r="D225" s="185">
        <v>247684429.13</v>
      </c>
      <c r="E225" s="185">
        <v>25323548.25</v>
      </c>
      <c r="F225" s="185">
        <v>18941495.449999999</v>
      </c>
      <c r="G225" s="185">
        <v>11650445.789999999</v>
      </c>
      <c r="H225" s="186">
        <v>0</v>
      </c>
      <c r="I225" s="186">
        <v>6382052.7999999998</v>
      </c>
      <c r="J225" s="186">
        <v>11650445.789999999</v>
      </c>
      <c r="K225" s="195">
        <v>10.199999999999999</v>
      </c>
      <c r="L225" s="187">
        <v>74.8</v>
      </c>
      <c r="M225" s="390">
        <v>46</v>
      </c>
    </row>
    <row r="226" spans="1:13" s="1" customFormat="1" ht="13.5">
      <c r="A226" s="1058">
        <v>22</v>
      </c>
      <c r="B226" s="1059">
        <v>16</v>
      </c>
      <c r="C226" s="1060" t="s">
        <v>479</v>
      </c>
      <c r="D226" s="185">
        <v>68963089.260000005</v>
      </c>
      <c r="E226" s="185">
        <v>5859125.5700000003</v>
      </c>
      <c r="F226" s="185">
        <v>5390852.29</v>
      </c>
      <c r="G226" s="185">
        <v>3755539.01</v>
      </c>
      <c r="H226" s="186">
        <v>0</v>
      </c>
      <c r="I226" s="186">
        <v>468273.28</v>
      </c>
      <c r="J226" s="186">
        <v>3755539.01</v>
      </c>
      <c r="K226" s="195">
        <v>8.5</v>
      </c>
      <c r="L226" s="187">
        <v>92</v>
      </c>
      <c r="M226" s="390">
        <v>64.099999999999994</v>
      </c>
    </row>
    <row r="227" spans="1:13" s="1" customFormat="1" ht="13.5">
      <c r="A227" s="1058">
        <v>24</v>
      </c>
      <c r="B227" s="1059">
        <v>1</v>
      </c>
      <c r="C227" s="1060" t="s">
        <v>478</v>
      </c>
      <c r="D227" s="185">
        <v>140177782.97999999</v>
      </c>
      <c r="E227" s="185">
        <v>20168878.940000001</v>
      </c>
      <c r="F227" s="185">
        <v>20069091.890000001</v>
      </c>
      <c r="G227" s="185">
        <v>13847641.470000001</v>
      </c>
      <c r="H227" s="186">
        <v>0</v>
      </c>
      <c r="I227" s="186">
        <v>99787.05</v>
      </c>
      <c r="J227" s="186">
        <v>13847641.470000001</v>
      </c>
      <c r="K227" s="195">
        <v>14.4</v>
      </c>
      <c r="L227" s="187">
        <v>99.5</v>
      </c>
      <c r="M227" s="390">
        <v>68.7</v>
      </c>
    </row>
    <row r="228" spans="1:13" s="1" customFormat="1" ht="13.5">
      <c r="A228" s="1058">
        <v>24</v>
      </c>
      <c r="B228" s="1059">
        <v>2</v>
      </c>
      <c r="C228" s="1060" t="s">
        <v>477</v>
      </c>
      <c r="D228" s="185">
        <v>135904764.84</v>
      </c>
      <c r="E228" s="185">
        <v>26431858.68</v>
      </c>
      <c r="F228" s="185">
        <v>23937379.170000002</v>
      </c>
      <c r="G228" s="185">
        <v>16090145.1</v>
      </c>
      <c r="H228" s="186">
        <v>548386.49</v>
      </c>
      <c r="I228" s="186">
        <v>2494479.5099999998</v>
      </c>
      <c r="J228" s="186">
        <v>16090145.1</v>
      </c>
      <c r="K228" s="195">
        <v>19.399999999999999</v>
      </c>
      <c r="L228" s="187">
        <v>90.6</v>
      </c>
      <c r="M228" s="390">
        <v>60.9</v>
      </c>
    </row>
    <row r="229" spans="1:13" s="1" customFormat="1" ht="13.5">
      <c r="A229" s="1058">
        <v>24</v>
      </c>
      <c r="B229" s="1059">
        <v>3</v>
      </c>
      <c r="C229" s="1060" t="s">
        <v>476</v>
      </c>
      <c r="D229" s="185">
        <v>228291295.99000001</v>
      </c>
      <c r="E229" s="185">
        <v>14988148.380000001</v>
      </c>
      <c r="F229" s="185">
        <v>14768248.380000001</v>
      </c>
      <c r="G229" s="185">
        <v>8662738.25</v>
      </c>
      <c r="H229" s="186">
        <v>0</v>
      </c>
      <c r="I229" s="186">
        <v>219900</v>
      </c>
      <c r="J229" s="186">
        <v>8662738.25</v>
      </c>
      <c r="K229" s="195">
        <v>6.6</v>
      </c>
      <c r="L229" s="187">
        <v>98.5</v>
      </c>
      <c r="M229" s="390">
        <v>57.8</v>
      </c>
    </row>
    <row r="230" spans="1:13" s="1" customFormat="1" ht="13.5">
      <c r="A230" s="1058">
        <v>24</v>
      </c>
      <c r="B230" s="1059">
        <v>4</v>
      </c>
      <c r="C230" s="1060" t="s">
        <v>475</v>
      </c>
      <c r="D230" s="185">
        <v>131866289.69</v>
      </c>
      <c r="E230" s="185">
        <v>22223785.809999999</v>
      </c>
      <c r="F230" s="185">
        <v>20945843.280000001</v>
      </c>
      <c r="G230" s="185">
        <v>15260144.98</v>
      </c>
      <c r="H230" s="186">
        <v>324194.27</v>
      </c>
      <c r="I230" s="186">
        <v>1277942.53</v>
      </c>
      <c r="J230" s="186">
        <v>15260144.98</v>
      </c>
      <c r="K230" s="195">
        <v>16.899999999999999</v>
      </c>
      <c r="L230" s="187">
        <v>94.2</v>
      </c>
      <c r="M230" s="390">
        <v>68.7</v>
      </c>
    </row>
    <row r="231" spans="1:13" s="1" customFormat="1" ht="13.5">
      <c r="A231" s="1058">
        <v>24</v>
      </c>
      <c r="B231" s="1059">
        <v>5</v>
      </c>
      <c r="C231" s="1060" t="s">
        <v>474</v>
      </c>
      <c r="D231" s="185">
        <v>111375580.34</v>
      </c>
      <c r="E231" s="185">
        <v>16126042.35</v>
      </c>
      <c r="F231" s="185">
        <v>15998453.630000001</v>
      </c>
      <c r="G231" s="185">
        <v>11788963.49</v>
      </c>
      <c r="H231" s="186">
        <v>0</v>
      </c>
      <c r="I231" s="186">
        <v>127588.72</v>
      </c>
      <c r="J231" s="186">
        <v>11788963.49</v>
      </c>
      <c r="K231" s="195">
        <v>14.5</v>
      </c>
      <c r="L231" s="187">
        <v>99.2</v>
      </c>
      <c r="M231" s="390">
        <v>73.099999999999994</v>
      </c>
    </row>
    <row r="232" spans="1:13" s="1" customFormat="1" ht="13.5">
      <c r="A232" s="1058">
        <v>24</v>
      </c>
      <c r="B232" s="1059">
        <v>6</v>
      </c>
      <c r="C232" s="1060" t="s">
        <v>473</v>
      </c>
      <c r="D232" s="185">
        <v>77830065.010000005</v>
      </c>
      <c r="E232" s="185">
        <v>11820881.57</v>
      </c>
      <c r="F232" s="185">
        <v>11773034.57</v>
      </c>
      <c r="G232" s="185">
        <v>8336533.21</v>
      </c>
      <c r="H232" s="186">
        <v>175255.21</v>
      </c>
      <c r="I232" s="186">
        <v>47847</v>
      </c>
      <c r="J232" s="186">
        <v>8336533.21</v>
      </c>
      <c r="K232" s="195">
        <v>15.2</v>
      </c>
      <c r="L232" s="187">
        <v>99.6</v>
      </c>
      <c r="M232" s="390">
        <v>70.5</v>
      </c>
    </row>
    <row r="233" spans="1:13" s="1" customFormat="1" ht="13.5">
      <c r="A233" s="1058">
        <v>24</v>
      </c>
      <c r="B233" s="1059">
        <v>7</v>
      </c>
      <c r="C233" s="1060" t="s">
        <v>472</v>
      </c>
      <c r="D233" s="185">
        <v>114010354.84</v>
      </c>
      <c r="E233" s="185">
        <v>11459190.939999999</v>
      </c>
      <c r="F233" s="185">
        <v>11334135.4</v>
      </c>
      <c r="G233" s="185">
        <v>7556011.0599999996</v>
      </c>
      <c r="H233" s="186">
        <v>0</v>
      </c>
      <c r="I233" s="186">
        <v>125055.54</v>
      </c>
      <c r="J233" s="186">
        <v>7556011.0599999996</v>
      </c>
      <c r="K233" s="195">
        <v>10.1</v>
      </c>
      <c r="L233" s="187">
        <v>98.9</v>
      </c>
      <c r="M233" s="390">
        <v>65.900000000000006</v>
      </c>
    </row>
    <row r="234" spans="1:13" s="1" customFormat="1" ht="13.5">
      <c r="A234" s="1058">
        <v>24</v>
      </c>
      <c r="B234" s="1059">
        <v>8</v>
      </c>
      <c r="C234" s="1060" t="s">
        <v>471</v>
      </c>
      <c r="D234" s="185">
        <v>129774725.70999999</v>
      </c>
      <c r="E234" s="185">
        <v>17667987.91</v>
      </c>
      <c r="F234" s="185">
        <v>16304979.02</v>
      </c>
      <c r="G234" s="185">
        <v>12050454.460000001</v>
      </c>
      <c r="H234" s="186">
        <v>26568</v>
      </c>
      <c r="I234" s="186">
        <v>1363008.89</v>
      </c>
      <c r="J234" s="186">
        <v>12050454.460000001</v>
      </c>
      <c r="K234" s="195">
        <v>13.6</v>
      </c>
      <c r="L234" s="187">
        <v>92.3</v>
      </c>
      <c r="M234" s="390">
        <v>68.2</v>
      </c>
    </row>
    <row r="235" spans="1:13" s="1" customFormat="1" ht="13.5">
      <c r="A235" s="1058">
        <v>24</v>
      </c>
      <c r="B235" s="1059">
        <v>9</v>
      </c>
      <c r="C235" s="1060" t="s">
        <v>470</v>
      </c>
      <c r="D235" s="185">
        <v>83387192.849999994</v>
      </c>
      <c r="E235" s="185">
        <v>13218419.859999999</v>
      </c>
      <c r="F235" s="185">
        <v>11132266.039999999</v>
      </c>
      <c r="G235" s="185">
        <v>7942003.1799999997</v>
      </c>
      <c r="H235" s="186">
        <v>0</v>
      </c>
      <c r="I235" s="186">
        <v>2086153.82</v>
      </c>
      <c r="J235" s="186">
        <v>7942003.1799999997</v>
      </c>
      <c r="K235" s="195">
        <v>15.9</v>
      </c>
      <c r="L235" s="187">
        <v>84.2</v>
      </c>
      <c r="M235" s="390">
        <v>60.1</v>
      </c>
    </row>
    <row r="236" spans="1:13" s="1" customFormat="1" ht="13.5">
      <c r="A236" s="1058">
        <v>24</v>
      </c>
      <c r="B236" s="1059">
        <v>10</v>
      </c>
      <c r="C236" s="1060" t="s">
        <v>469</v>
      </c>
      <c r="D236" s="185">
        <v>123040260.84999999</v>
      </c>
      <c r="E236" s="185">
        <v>15969163.1</v>
      </c>
      <c r="F236" s="185">
        <v>15816603.48</v>
      </c>
      <c r="G236" s="185">
        <v>11227035.710000001</v>
      </c>
      <c r="H236" s="186">
        <v>17422.009999999998</v>
      </c>
      <c r="I236" s="186">
        <v>152559.62</v>
      </c>
      <c r="J236" s="186">
        <v>11227035.710000001</v>
      </c>
      <c r="K236" s="195">
        <v>13</v>
      </c>
      <c r="L236" s="187">
        <v>99</v>
      </c>
      <c r="M236" s="390">
        <v>70.3</v>
      </c>
    </row>
    <row r="237" spans="1:13" s="1" customFormat="1" ht="13.5">
      <c r="A237" s="1058">
        <v>24</v>
      </c>
      <c r="B237" s="1059">
        <v>11</v>
      </c>
      <c r="C237" s="1060" t="s">
        <v>468</v>
      </c>
      <c r="D237" s="185">
        <v>167784249.27000001</v>
      </c>
      <c r="E237" s="185">
        <v>15886072.18</v>
      </c>
      <c r="F237" s="185">
        <v>15387976.810000001</v>
      </c>
      <c r="G237" s="185">
        <v>10481186.15</v>
      </c>
      <c r="H237" s="186">
        <v>12496.65</v>
      </c>
      <c r="I237" s="186">
        <v>498095.37</v>
      </c>
      <c r="J237" s="186">
        <v>10481186.15</v>
      </c>
      <c r="K237" s="195">
        <v>9.5</v>
      </c>
      <c r="L237" s="187">
        <v>96.9</v>
      </c>
      <c r="M237" s="390">
        <v>66</v>
      </c>
    </row>
    <row r="238" spans="1:13" s="1" customFormat="1" ht="13.5">
      <c r="A238" s="1058">
        <v>24</v>
      </c>
      <c r="B238" s="1059">
        <v>12</v>
      </c>
      <c r="C238" s="1060" t="s">
        <v>467</v>
      </c>
      <c r="D238" s="185">
        <v>60243050.689999998</v>
      </c>
      <c r="E238" s="185">
        <v>8629847.1999999993</v>
      </c>
      <c r="F238" s="185">
        <v>8562507.4600000009</v>
      </c>
      <c r="G238" s="185">
        <v>5543753.96</v>
      </c>
      <c r="H238" s="186">
        <v>0</v>
      </c>
      <c r="I238" s="186">
        <v>67339.740000000005</v>
      </c>
      <c r="J238" s="186">
        <v>5543753.96</v>
      </c>
      <c r="K238" s="195">
        <v>14.3</v>
      </c>
      <c r="L238" s="187">
        <v>99.2</v>
      </c>
      <c r="M238" s="390">
        <v>64.2</v>
      </c>
    </row>
    <row r="239" spans="1:13" s="1" customFormat="1" ht="13.5">
      <c r="A239" s="1058">
        <v>24</v>
      </c>
      <c r="B239" s="1059">
        <v>13</v>
      </c>
      <c r="C239" s="1060" t="s">
        <v>466</v>
      </c>
      <c r="D239" s="185">
        <v>207551452.78999999</v>
      </c>
      <c r="E239" s="185">
        <v>18680702.120000001</v>
      </c>
      <c r="F239" s="185">
        <v>18184277.620000001</v>
      </c>
      <c r="G239" s="185">
        <v>13288600.23</v>
      </c>
      <c r="H239" s="186">
        <v>0</v>
      </c>
      <c r="I239" s="186">
        <v>496424.5</v>
      </c>
      <c r="J239" s="186">
        <v>13288600.23</v>
      </c>
      <c r="K239" s="195">
        <v>9</v>
      </c>
      <c r="L239" s="187">
        <v>97.3</v>
      </c>
      <c r="M239" s="390">
        <v>71.099999999999994</v>
      </c>
    </row>
    <row r="240" spans="1:13" s="1" customFormat="1" ht="13.5">
      <c r="A240" s="1058">
        <v>24</v>
      </c>
      <c r="B240" s="1059">
        <v>14</v>
      </c>
      <c r="C240" s="1060" t="s">
        <v>465</v>
      </c>
      <c r="D240" s="185">
        <v>57912452.189999998</v>
      </c>
      <c r="E240" s="185">
        <v>8495853.2100000009</v>
      </c>
      <c r="F240" s="185">
        <v>8323835.0199999996</v>
      </c>
      <c r="G240" s="185">
        <v>5648476.8200000003</v>
      </c>
      <c r="H240" s="186">
        <v>0</v>
      </c>
      <c r="I240" s="186">
        <v>172018.19</v>
      </c>
      <c r="J240" s="186">
        <v>5648476.8200000003</v>
      </c>
      <c r="K240" s="195">
        <v>14.7</v>
      </c>
      <c r="L240" s="187">
        <v>98</v>
      </c>
      <c r="M240" s="390">
        <v>66.5</v>
      </c>
    </row>
    <row r="241" spans="1:13" s="1" customFormat="1" ht="13.5">
      <c r="A241" s="1058">
        <v>24</v>
      </c>
      <c r="B241" s="1059">
        <v>15</v>
      </c>
      <c r="C241" s="1060" t="s">
        <v>464</v>
      </c>
      <c r="D241" s="185">
        <v>187629426.40000001</v>
      </c>
      <c r="E241" s="185">
        <v>18440690.48</v>
      </c>
      <c r="F241" s="185">
        <v>18057810.739999998</v>
      </c>
      <c r="G241" s="185">
        <v>13089850.539999999</v>
      </c>
      <c r="H241" s="186">
        <v>0</v>
      </c>
      <c r="I241" s="186">
        <v>382879.74</v>
      </c>
      <c r="J241" s="186">
        <v>13089850.539999999</v>
      </c>
      <c r="K241" s="195">
        <v>9.8000000000000007</v>
      </c>
      <c r="L241" s="187">
        <v>97.9</v>
      </c>
      <c r="M241" s="390">
        <v>71</v>
      </c>
    </row>
    <row r="242" spans="1:13" s="1" customFormat="1" ht="13.5">
      <c r="A242" s="1058">
        <v>24</v>
      </c>
      <c r="B242" s="1059">
        <v>16</v>
      </c>
      <c r="C242" s="1060" t="s">
        <v>463</v>
      </c>
      <c r="D242" s="185">
        <v>140273452.91</v>
      </c>
      <c r="E242" s="185">
        <v>15639529.33</v>
      </c>
      <c r="F242" s="185">
        <v>15219798.1</v>
      </c>
      <c r="G242" s="185">
        <v>11006643.029999999</v>
      </c>
      <c r="H242" s="186">
        <v>164058.04</v>
      </c>
      <c r="I242" s="186">
        <v>419731.23</v>
      </c>
      <c r="J242" s="186">
        <v>11006643.029999999</v>
      </c>
      <c r="K242" s="195">
        <v>11.1</v>
      </c>
      <c r="L242" s="187">
        <v>97.3</v>
      </c>
      <c r="M242" s="390">
        <v>70.400000000000006</v>
      </c>
    </row>
    <row r="243" spans="1:13" s="1" customFormat="1" ht="13.5">
      <c r="A243" s="1058">
        <v>24</v>
      </c>
      <c r="B243" s="1059">
        <v>17</v>
      </c>
      <c r="C243" s="1060" t="s">
        <v>462</v>
      </c>
      <c r="D243" s="185">
        <v>209736058.52000001</v>
      </c>
      <c r="E243" s="185">
        <v>18849563.59</v>
      </c>
      <c r="F243" s="185">
        <v>14531038.949999999</v>
      </c>
      <c r="G243" s="185">
        <v>9744832.5299999993</v>
      </c>
      <c r="H243" s="186">
        <v>0</v>
      </c>
      <c r="I243" s="186">
        <v>4318524.6399999997</v>
      </c>
      <c r="J243" s="186">
        <v>9744832.5299999993</v>
      </c>
      <c r="K243" s="195">
        <v>9</v>
      </c>
      <c r="L243" s="187">
        <v>77.099999999999994</v>
      </c>
      <c r="M243" s="390">
        <v>51.7</v>
      </c>
    </row>
    <row r="244" spans="1:13" s="1" customFormat="1" ht="13.5">
      <c r="A244" s="1058">
        <v>26</v>
      </c>
      <c r="B244" s="1059">
        <v>1</v>
      </c>
      <c r="C244" s="1060" t="s">
        <v>461</v>
      </c>
      <c r="D244" s="185">
        <v>106036460.41</v>
      </c>
      <c r="E244" s="185">
        <v>9646175.1699999999</v>
      </c>
      <c r="F244" s="185">
        <v>9510752.9100000001</v>
      </c>
      <c r="G244" s="185">
        <v>6989302.6600000001</v>
      </c>
      <c r="H244" s="186">
        <v>0</v>
      </c>
      <c r="I244" s="186">
        <v>135422.26</v>
      </c>
      <c r="J244" s="186">
        <v>6989302.6600000001</v>
      </c>
      <c r="K244" s="195">
        <v>9.1</v>
      </c>
      <c r="L244" s="187">
        <v>98.6</v>
      </c>
      <c r="M244" s="390">
        <v>72.5</v>
      </c>
    </row>
    <row r="245" spans="1:13" s="1" customFormat="1" ht="13.5">
      <c r="A245" s="1058">
        <v>26</v>
      </c>
      <c r="B245" s="1059">
        <v>2</v>
      </c>
      <c r="C245" s="1060" t="s">
        <v>460</v>
      </c>
      <c r="D245" s="185">
        <v>114018591.97</v>
      </c>
      <c r="E245" s="185">
        <v>11730485.93</v>
      </c>
      <c r="F245" s="185">
        <v>11400962.779999999</v>
      </c>
      <c r="G245" s="185">
        <v>7995054.7599999998</v>
      </c>
      <c r="H245" s="186">
        <v>0</v>
      </c>
      <c r="I245" s="186">
        <v>329523.15000000002</v>
      </c>
      <c r="J245" s="186">
        <v>7995054.7599999998</v>
      </c>
      <c r="K245" s="195">
        <v>10.3</v>
      </c>
      <c r="L245" s="187">
        <v>97.2</v>
      </c>
      <c r="M245" s="390">
        <v>68.2</v>
      </c>
    </row>
    <row r="246" spans="1:13" s="1" customFormat="1" ht="13.5">
      <c r="A246" s="1058">
        <v>26</v>
      </c>
      <c r="B246" s="1059">
        <v>3</v>
      </c>
      <c r="C246" s="1060" t="s">
        <v>459</v>
      </c>
      <c r="D246" s="185">
        <v>69308245.930000007</v>
      </c>
      <c r="E246" s="185">
        <v>5925886.5999999996</v>
      </c>
      <c r="F246" s="185">
        <v>5778686.7800000003</v>
      </c>
      <c r="G246" s="185">
        <v>4191029.28</v>
      </c>
      <c r="H246" s="186">
        <v>0</v>
      </c>
      <c r="I246" s="186">
        <v>147199.82</v>
      </c>
      <c r="J246" s="186">
        <v>4191029.28</v>
      </c>
      <c r="K246" s="195">
        <v>8.6</v>
      </c>
      <c r="L246" s="187">
        <v>97.5</v>
      </c>
      <c r="M246" s="390">
        <v>70.7</v>
      </c>
    </row>
    <row r="247" spans="1:13" s="1" customFormat="1" ht="13.5">
      <c r="A247" s="1058">
        <v>26</v>
      </c>
      <c r="B247" s="1059">
        <v>4</v>
      </c>
      <c r="C247" s="1060" t="s">
        <v>458</v>
      </c>
      <c r="D247" s="185">
        <v>195051830.78999999</v>
      </c>
      <c r="E247" s="185">
        <v>25756239.440000001</v>
      </c>
      <c r="F247" s="185">
        <v>25095790.940000001</v>
      </c>
      <c r="G247" s="185">
        <v>16197650.109999999</v>
      </c>
      <c r="H247" s="186">
        <v>0</v>
      </c>
      <c r="I247" s="186">
        <v>660448.5</v>
      </c>
      <c r="J247" s="186">
        <v>16197650.109999999</v>
      </c>
      <c r="K247" s="195">
        <v>13.2</v>
      </c>
      <c r="L247" s="187">
        <v>97.4</v>
      </c>
      <c r="M247" s="390">
        <v>62.9</v>
      </c>
    </row>
    <row r="248" spans="1:13" s="1" customFormat="1" ht="13.5">
      <c r="A248" s="1058">
        <v>26</v>
      </c>
      <c r="B248" s="1059">
        <v>5</v>
      </c>
      <c r="C248" s="1060" t="s">
        <v>457</v>
      </c>
      <c r="D248" s="185">
        <v>121399816.7</v>
      </c>
      <c r="E248" s="185">
        <v>9764923.2599999998</v>
      </c>
      <c r="F248" s="185">
        <v>9415286.0199999996</v>
      </c>
      <c r="G248" s="185">
        <v>6465243.7699999996</v>
      </c>
      <c r="H248" s="186">
        <v>0</v>
      </c>
      <c r="I248" s="186">
        <v>349637.24</v>
      </c>
      <c r="J248" s="186">
        <v>6465243.7699999996</v>
      </c>
      <c r="K248" s="195">
        <v>8</v>
      </c>
      <c r="L248" s="187">
        <v>96.4</v>
      </c>
      <c r="M248" s="390">
        <v>66.2</v>
      </c>
    </row>
    <row r="249" spans="1:13" s="1" customFormat="1" ht="13.5">
      <c r="A249" s="1058">
        <v>26</v>
      </c>
      <c r="B249" s="1059">
        <v>6</v>
      </c>
      <c r="C249" s="1060" t="s">
        <v>456</v>
      </c>
      <c r="D249" s="185">
        <v>109121337.28</v>
      </c>
      <c r="E249" s="185">
        <v>7325223.1299999999</v>
      </c>
      <c r="F249" s="185">
        <v>7239509.25</v>
      </c>
      <c r="G249" s="185">
        <v>4926170.7</v>
      </c>
      <c r="H249" s="186">
        <v>0</v>
      </c>
      <c r="I249" s="186">
        <v>85713.88</v>
      </c>
      <c r="J249" s="186">
        <v>4926170.7</v>
      </c>
      <c r="K249" s="195">
        <v>6.7</v>
      </c>
      <c r="L249" s="187">
        <v>98.8</v>
      </c>
      <c r="M249" s="390">
        <v>67.2</v>
      </c>
    </row>
    <row r="250" spans="1:13" s="1" customFormat="1" ht="13.5">
      <c r="A250" s="1058">
        <v>26</v>
      </c>
      <c r="B250" s="1059">
        <v>7</v>
      </c>
      <c r="C250" s="1060" t="s">
        <v>455</v>
      </c>
      <c r="D250" s="185">
        <v>177478186.81999999</v>
      </c>
      <c r="E250" s="185">
        <v>10654299.220000001</v>
      </c>
      <c r="F250" s="185">
        <v>10642411.09</v>
      </c>
      <c r="G250" s="185">
        <v>7101701.9199999999</v>
      </c>
      <c r="H250" s="186">
        <v>0</v>
      </c>
      <c r="I250" s="186">
        <v>11888.13</v>
      </c>
      <c r="J250" s="186">
        <v>7101701.9199999999</v>
      </c>
      <c r="K250" s="195">
        <v>6</v>
      </c>
      <c r="L250" s="187">
        <v>99.9</v>
      </c>
      <c r="M250" s="390">
        <v>66.7</v>
      </c>
    </row>
    <row r="251" spans="1:13" s="1" customFormat="1" ht="13.5">
      <c r="A251" s="1058">
        <v>26</v>
      </c>
      <c r="B251" s="1059">
        <v>8</v>
      </c>
      <c r="C251" s="1060" t="s">
        <v>454</v>
      </c>
      <c r="D251" s="185">
        <v>57012735.469999999</v>
      </c>
      <c r="E251" s="185">
        <v>4472557.34</v>
      </c>
      <c r="F251" s="185">
        <v>4472557.34</v>
      </c>
      <c r="G251" s="185">
        <v>3089890.04</v>
      </c>
      <c r="H251" s="186">
        <v>0</v>
      </c>
      <c r="I251" s="186">
        <v>0</v>
      </c>
      <c r="J251" s="186">
        <v>3089890.04</v>
      </c>
      <c r="K251" s="195">
        <v>7.8</v>
      </c>
      <c r="L251" s="187">
        <v>100</v>
      </c>
      <c r="M251" s="390">
        <v>69.099999999999994</v>
      </c>
    </row>
    <row r="252" spans="1:13" s="1" customFormat="1" ht="13.5">
      <c r="A252" s="1058">
        <v>26</v>
      </c>
      <c r="B252" s="1059">
        <v>9</v>
      </c>
      <c r="C252" s="1060" t="s">
        <v>453</v>
      </c>
      <c r="D252" s="185">
        <v>101274352.83</v>
      </c>
      <c r="E252" s="185">
        <v>10725319.32</v>
      </c>
      <c r="F252" s="185">
        <v>10628319.300000001</v>
      </c>
      <c r="G252" s="185">
        <v>7735797.0099999998</v>
      </c>
      <c r="H252" s="186">
        <v>0</v>
      </c>
      <c r="I252" s="186">
        <v>97000.02</v>
      </c>
      <c r="J252" s="186">
        <v>7735797.0099999998</v>
      </c>
      <c r="K252" s="195">
        <v>10.6</v>
      </c>
      <c r="L252" s="187">
        <v>99.1</v>
      </c>
      <c r="M252" s="390">
        <v>72.099999999999994</v>
      </c>
    </row>
    <row r="253" spans="1:13" s="1" customFormat="1" ht="13.5">
      <c r="A253" s="1058">
        <v>26</v>
      </c>
      <c r="B253" s="1059">
        <v>10</v>
      </c>
      <c r="C253" s="1060" t="s">
        <v>452</v>
      </c>
      <c r="D253" s="185">
        <v>129888776.09999999</v>
      </c>
      <c r="E253" s="185">
        <v>10768515.43</v>
      </c>
      <c r="F253" s="185">
        <v>10592425.119999999</v>
      </c>
      <c r="G253" s="185">
        <v>8111078.1699999999</v>
      </c>
      <c r="H253" s="186">
        <v>0</v>
      </c>
      <c r="I253" s="186">
        <v>176090.31</v>
      </c>
      <c r="J253" s="186">
        <v>8111078.1699999999</v>
      </c>
      <c r="K253" s="195">
        <v>8.3000000000000007</v>
      </c>
      <c r="L253" s="187">
        <v>98.4</v>
      </c>
      <c r="M253" s="390">
        <v>75.3</v>
      </c>
    </row>
    <row r="254" spans="1:13" s="1" customFormat="1" ht="13.5">
      <c r="A254" s="1058">
        <v>26</v>
      </c>
      <c r="B254" s="1059">
        <v>11</v>
      </c>
      <c r="C254" s="1060" t="s">
        <v>451</v>
      </c>
      <c r="D254" s="185">
        <v>113890995.44</v>
      </c>
      <c r="E254" s="185">
        <v>11752880.34</v>
      </c>
      <c r="F254" s="185">
        <v>11741105.34</v>
      </c>
      <c r="G254" s="185">
        <v>8319786.0899999999</v>
      </c>
      <c r="H254" s="186">
        <v>0</v>
      </c>
      <c r="I254" s="186">
        <v>11775</v>
      </c>
      <c r="J254" s="186">
        <v>8319786.0899999999</v>
      </c>
      <c r="K254" s="195">
        <v>10.3</v>
      </c>
      <c r="L254" s="187">
        <v>99.9</v>
      </c>
      <c r="M254" s="390">
        <v>70.8</v>
      </c>
    </row>
    <row r="255" spans="1:13" s="1" customFormat="1" ht="13.5">
      <c r="A255" s="1058">
        <v>26</v>
      </c>
      <c r="B255" s="1059">
        <v>12</v>
      </c>
      <c r="C255" s="1060" t="s">
        <v>450</v>
      </c>
      <c r="D255" s="185">
        <v>75505085.730000004</v>
      </c>
      <c r="E255" s="185">
        <v>8973326.5199999996</v>
      </c>
      <c r="F255" s="185">
        <v>8973326.5199999996</v>
      </c>
      <c r="G255" s="185">
        <v>6554223.6200000001</v>
      </c>
      <c r="H255" s="186">
        <v>0</v>
      </c>
      <c r="I255" s="186">
        <v>0</v>
      </c>
      <c r="J255" s="186">
        <v>6554223.6200000001</v>
      </c>
      <c r="K255" s="195">
        <v>11.9</v>
      </c>
      <c r="L255" s="187">
        <v>100</v>
      </c>
      <c r="M255" s="390">
        <v>73</v>
      </c>
    </row>
    <row r="256" spans="1:13" s="1" customFormat="1" ht="13.5">
      <c r="A256" s="1058">
        <v>26</v>
      </c>
      <c r="B256" s="1059">
        <v>13</v>
      </c>
      <c r="C256" s="1060" t="s">
        <v>449</v>
      </c>
      <c r="D256" s="185">
        <v>72223067.810000002</v>
      </c>
      <c r="E256" s="185">
        <v>6282141.96</v>
      </c>
      <c r="F256" s="185">
        <v>6282141.96</v>
      </c>
      <c r="G256" s="185">
        <v>4525107.55</v>
      </c>
      <c r="H256" s="186">
        <v>0</v>
      </c>
      <c r="I256" s="186">
        <v>0</v>
      </c>
      <c r="J256" s="186">
        <v>4525107.55</v>
      </c>
      <c r="K256" s="195">
        <v>8.6999999999999993</v>
      </c>
      <c r="L256" s="187">
        <v>100</v>
      </c>
      <c r="M256" s="390">
        <v>72</v>
      </c>
    </row>
    <row r="257" spans="1:13" s="1" customFormat="1" ht="13.5">
      <c r="A257" s="1058">
        <v>28</v>
      </c>
      <c r="B257" s="1059">
        <v>1</v>
      </c>
      <c r="C257" s="1060" t="s">
        <v>448</v>
      </c>
      <c r="D257" s="185">
        <v>103463101.95999999</v>
      </c>
      <c r="E257" s="185">
        <v>8163665.6799999997</v>
      </c>
      <c r="F257" s="185">
        <v>7878447.9000000004</v>
      </c>
      <c r="G257" s="185">
        <v>5528158.8499999996</v>
      </c>
      <c r="H257" s="186">
        <v>0</v>
      </c>
      <c r="I257" s="186">
        <v>285217.78000000003</v>
      </c>
      <c r="J257" s="186">
        <v>5528158.8499999996</v>
      </c>
      <c r="K257" s="195">
        <v>7.9</v>
      </c>
      <c r="L257" s="187">
        <v>96.5</v>
      </c>
      <c r="M257" s="390">
        <v>67.7</v>
      </c>
    </row>
    <row r="258" spans="1:13" s="1" customFormat="1" ht="13.5">
      <c r="A258" s="1058">
        <v>28</v>
      </c>
      <c r="B258" s="1059">
        <v>2</v>
      </c>
      <c r="C258" s="1060" t="s">
        <v>447</v>
      </c>
      <c r="D258" s="185">
        <v>66797633.310000002</v>
      </c>
      <c r="E258" s="185">
        <v>6379391.1200000001</v>
      </c>
      <c r="F258" s="185">
        <v>6187184.1699999999</v>
      </c>
      <c r="G258" s="185">
        <v>4625674.92</v>
      </c>
      <c r="H258" s="186">
        <v>0</v>
      </c>
      <c r="I258" s="186">
        <v>192206.95</v>
      </c>
      <c r="J258" s="186">
        <v>4625674.92</v>
      </c>
      <c r="K258" s="195">
        <v>9.6</v>
      </c>
      <c r="L258" s="187">
        <v>97</v>
      </c>
      <c r="M258" s="390">
        <v>72.5</v>
      </c>
    </row>
    <row r="259" spans="1:13" s="1" customFormat="1" ht="13.5">
      <c r="A259" s="1058">
        <v>28</v>
      </c>
      <c r="B259" s="1059">
        <v>3</v>
      </c>
      <c r="C259" s="1060" t="s">
        <v>446</v>
      </c>
      <c r="D259" s="185">
        <v>98336490.799999997</v>
      </c>
      <c r="E259" s="185">
        <v>11702574.76</v>
      </c>
      <c r="F259" s="185">
        <v>9554740.4399999995</v>
      </c>
      <c r="G259" s="185">
        <v>6583640.0300000003</v>
      </c>
      <c r="H259" s="186">
        <v>0</v>
      </c>
      <c r="I259" s="186">
        <v>2147834.3199999998</v>
      </c>
      <c r="J259" s="186">
        <v>6583640.0300000003</v>
      </c>
      <c r="K259" s="195">
        <v>11.9</v>
      </c>
      <c r="L259" s="187">
        <v>81.599999999999994</v>
      </c>
      <c r="M259" s="390">
        <v>56.3</v>
      </c>
    </row>
    <row r="260" spans="1:13" s="1" customFormat="1" ht="13.5">
      <c r="A260" s="1058">
        <v>28</v>
      </c>
      <c r="B260" s="1059">
        <v>4</v>
      </c>
      <c r="C260" s="1060" t="s">
        <v>445</v>
      </c>
      <c r="D260" s="185">
        <v>93527114.430000007</v>
      </c>
      <c r="E260" s="185">
        <v>9736549.2899999991</v>
      </c>
      <c r="F260" s="185">
        <v>9226528.0800000001</v>
      </c>
      <c r="G260" s="185">
        <v>6028647.2800000003</v>
      </c>
      <c r="H260" s="186">
        <v>0</v>
      </c>
      <c r="I260" s="186">
        <v>510021.21</v>
      </c>
      <c r="J260" s="186">
        <v>6028647.2800000003</v>
      </c>
      <c r="K260" s="195">
        <v>10.4</v>
      </c>
      <c r="L260" s="187">
        <v>94.8</v>
      </c>
      <c r="M260" s="390">
        <v>61.9</v>
      </c>
    </row>
    <row r="261" spans="1:13" s="1" customFormat="1" ht="13.5">
      <c r="A261" s="1058">
        <v>28</v>
      </c>
      <c r="B261" s="1059">
        <v>5</v>
      </c>
      <c r="C261" s="1060" t="s">
        <v>444</v>
      </c>
      <c r="D261" s="185">
        <v>149094758.75999999</v>
      </c>
      <c r="E261" s="185">
        <v>9532422.0500000007</v>
      </c>
      <c r="F261" s="185">
        <v>9505116.0500000007</v>
      </c>
      <c r="G261" s="185">
        <v>6640476.4000000004</v>
      </c>
      <c r="H261" s="186">
        <v>0</v>
      </c>
      <c r="I261" s="186">
        <v>27306</v>
      </c>
      <c r="J261" s="186">
        <v>6640476.4000000004</v>
      </c>
      <c r="K261" s="195">
        <v>6.4</v>
      </c>
      <c r="L261" s="187">
        <v>99.7</v>
      </c>
      <c r="M261" s="390">
        <v>69.7</v>
      </c>
    </row>
    <row r="262" spans="1:13" s="1" customFormat="1" ht="13.5">
      <c r="A262" s="1058">
        <v>28</v>
      </c>
      <c r="B262" s="1059">
        <v>6</v>
      </c>
      <c r="C262" s="1060" t="s">
        <v>443</v>
      </c>
      <c r="D262" s="185">
        <v>95726712.819999993</v>
      </c>
      <c r="E262" s="185">
        <v>8379293.9100000001</v>
      </c>
      <c r="F262" s="185">
        <v>8377571.9100000001</v>
      </c>
      <c r="G262" s="185">
        <v>5694354.1500000004</v>
      </c>
      <c r="H262" s="186">
        <v>0</v>
      </c>
      <c r="I262" s="186">
        <v>1722</v>
      </c>
      <c r="J262" s="186">
        <v>5694354.1500000004</v>
      </c>
      <c r="K262" s="195">
        <v>8.8000000000000007</v>
      </c>
      <c r="L262" s="187">
        <v>100</v>
      </c>
      <c r="M262" s="390">
        <v>68</v>
      </c>
    </row>
    <row r="263" spans="1:13" s="1" customFormat="1" ht="13.5">
      <c r="A263" s="1058">
        <v>28</v>
      </c>
      <c r="B263" s="1059">
        <v>7</v>
      </c>
      <c r="C263" s="1060" t="s">
        <v>442</v>
      </c>
      <c r="D263" s="185">
        <v>123982960.47</v>
      </c>
      <c r="E263" s="185">
        <v>10105298.210000001</v>
      </c>
      <c r="F263" s="185">
        <v>10034646.470000001</v>
      </c>
      <c r="G263" s="185">
        <v>7210232.1200000001</v>
      </c>
      <c r="H263" s="186">
        <v>0</v>
      </c>
      <c r="I263" s="186">
        <v>70651.740000000005</v>
      </c>
      <c r="J263" s="186">
        <v>7210232.1200000001</v>
      </c>
      <c r="K263" s="195">
        <v>8.1999999999999993</v>
      </c>
      <c r="L263" s="187">
        <v>99.3</v>
      </c>
      <c r="M263" s="390">
        <v>71.400000000000006</v>
      </c>
    </row>
    <row r="264" spans="1:13" s="1" customFormat="1" ht="13.5">
      <c r="A264" s="1058">
        <v>28</v>
      </c>
      <c r="B264" s="1059">
        <v>8</v>
      </c>
      <c r="C264" s="1060" t="s">
        <v>441</v>
      </c>
      <c r="D264" s="185">
        <v>93244422.280000001</v>
      </c>
      <c r="E264" s="185">
        <v>9246615.1300000008</v>
      </c>
      <c r="F264" s="185">
        <v>9246615.1300000008</v>
      </c>
      <c r="G264" s="185">
        <v>6269750.04</v>
      </c>
      <c r="H264" s="186">
        <v>0</v>
      </c>
      <c r="I264" s="186">
        <v>0</v>
      </c>
      <c r="J264" s="186">
        <v>6269750.04</v>
      </c>
      <c r="K264" s="195">
        <v>9.9</v>
      </c>
      <c r="L264" s="187">
        <v>100</v>
      </c>
      <c r="M264" s="390">
        <v>67.8</v>
      </c>
    </row>
    <row r="265" spans="1:13" s="1" customFormat="1" ht="13.5">
      <c r="A265" s="1058">
        <v>28</v>
      </c>
      <c r="B265" s="1059">
        <v>9</v>
      </c>
      <c r="C265" s="1060" t="s">
        <v>440</v>
      </c>
      <c r="D265" s="185">
        <v>60643615.850000001</v>
      </c>
      <c r="E265" s="185">
        <v>6274590.8899999997</v>
      </c>
      <c r="F265" s="185">
        <v>6085525.9000000004</v>
      </c>
      <c r="G265" s="185">
        <v>4155160.45</v>
      </c>
      <c r="H265" s="186">
        <v>0</v>
      </c>
      <c r="I265" s="186">
        <v>189064.99</v>
      </c>
      <c r="J265" s="186">
        <v>4155160.45</v>
      </c>
      <c r="K265" s="195">
        <v>10.3</v>
      </c>
      <c r="L265" s="187">
        <v>97</v>
      </c>
      <c r="M265" s="390">
        <v>66.2</v>
      </c>
    </row>
    <row r="266" spans="1:13" s="1" customFormat="1" ht="13.5">
      <c r="A266" s="1058">
        <v>28</v>
      </c>
      <c r="B266" s="1059">
        <v>10</v>
      </c>
      <c r="C266" s="1060" t="s">
        <v>439</v>
      </c>
      <c r="D266" s="185">
        <v>62925468.049999997</v>
      </c>
      <c r="E266" s="185">
        <v>6572977.21</v>
      </c>
      <c r="F266" s="185">
        <v>6557233.21</v>
      </c>
      <c r="G266" s="185">
        <v>4922556.59</v>
      </c>
      <c r="H266" s="186">
        <v>0</v>
      </c>
      <c r="I266" s="186">
        <v>15744</v>
      </c>
      <c r="J266" s="186">
        <v>4922556.59</v>
      </c>
      <c r="K266" s="195">
        <v>10.4</v>
      </c>
      <c r="L266" s="187">
        <v>99.8</v>
      </c>
      <c r="M266" s="390">
        <v>74.900000000000006</v>
      </c>
    </row>
    <row r="267" spans="1:13" s="1" customFormat="1" ht="13.5">
      <c r="A267" s="1058">
        <v>28</v>
      </c>
      <c r="B267" s="1059">
        <v>11</v>
      </c>
      <c r="C267" s="1060" t="s">
        <v>438</v>
      </c>
      <c r="D267" s="185">
        <v>60937987.280000001</v>
      </c>
      <c r="E267" s="185">
        <v>5254525.93</v>
      </c>
      <c r="F267" s="185">
        <v>4611607.75</v>
      </c>
      <c r="G267" s="185">
        <v>3300566.56</v>
      </c>
      <c r="H267" s="186">
        <v>0</v>
      </c>
      <c r="I267" s="186">
        <v>642918.18000000005</v>
      </c>
      <c r="J267" s="186">
        <v>3300566.56</v>
      </c>
      <c r="K267" s="195">
        <v>8.6</v>
      </c>
      <c r="L267" s="187">
        <v>87.8</v>
      </c>
      <c r="M267" s="390">
        <v>62.8</v>
      </c>
    </row>
    <row r="268" spans="1:13" s="1" customFormat="1" ht="13.5">
      <c r="A268" s="1058">
        <v>28</v>
      </c>
      <c r="B268" s="1059">
        <v>12</v>
      </c>
      <c r="C268" s="1060" t="s">
        <v>437</v>
      </c>
      <c r="D268" s="185">
        <v>49106389.490000002</v>
      </c>
      <c r="E268" s="185">
        <v>5836921.04</v>
      </c>
      <c r="F268" s="185">
        <v>5801312.54</v>
      </c>
      <c r="G268" s="185">
        <v>4108480.79</v>
      </c>
      <c r="H268" s="186">
        <v>0</v>
      </c>
      <c r="I268" s="186">
        <v>35608.5</v>
      </c>
      <c r="J268" s="186">
        <v>4108480.79</v>
      </c>
      <c r="K268" s="195">
        <v>11.9</v>
      </c>
      <c r="L268" s="187">
        <v>99.4</v>
      </c>
      <c r="M268" s="390">
        <v>70.400000000000006</v>
      </c>
    </row>
    <row r="269" spans="1:13" s="1" customFormat="1" ht="13.5">
      <c r="A269" s="1058">
        <v>28</v>
      </c>
      <c r="B269" s="1059">
        <v>13</v>
      </c>
      <c r="C269" s="1060" t="s">
        <v>436</v>
      </c>
      <c r="D269" s="185">
        <v>65935207.899999999</v>
      </c>
      <c r="E269" s="185">
        <v>4952578.63</v>
      </c>
      <c r="F269" s="185">
        <v>4880623.63</v>
      </c>
      <c r="G269" s="185">
        <v>3443934.94</v>
      </c>
      <c r="H269" s="186">
        <v>0</v>
      </c>
      <c r="I269" s="186">
        <v>71955</v>
      </c>
      <c r="J269" s="186">
        <v>3443934.94</v>
      </c>
      <c r="K269" s="195">
        <v>7.5</v>
      </c>
      <c r="L269" s="187">
        <v>98.5</v>
      </c>
      <c r="M269" s="390">
        <v>69.5</v>
      </c>
    </row>
    <row r="270" spans="1:13" s="1" customFormat="1" ht="13.5">
      <c r="A270" s="1058">
        <v>28</v>
      </c>
      <c r="B270" s="1059">
        <v>14</v>
      </c>
      <c r="C270" s="1060" t="s">
        <v>435</v>
      </c>
      <c r="D270" s="185">
        <v>168923704.34</v>
      </c>
      <c r="E270" s="185">
        <v>15502414.1</v>
      </c>
      <c r="F270" s="185">
        <v>15359128.25</v>
      </c>
      <c r="G270" s="185">
        <v>10733824.050000001</v>
      </c>
      <c r="H270" s="186">
        <v>0</v>
      </c>
      <c r="I270" s="186">
        <v>143285.85</v>
      </c>
      <c r="J270" s="186">
        <v>10733824.050000001</v>
      </c>
      <c r="K270" s="195">
        <v>9.1999999999999993</v>
      </c>
      <c r="L270" s="187">
        <v>99.1</v>
      </c>
      <c r="M270" s="390">
        <v>69.2</v>
      </c>
    </row>
    <row r="271" spans="1:13" s="1" customFormat="1" ht="13.5">
      <c r="A271" s="1058">
        <v>28</v>
      </c>
      <c r="B271" s="1059">
        <v>15</v>
      </c>
      <c r="C271" s="1060" t="s">
        <v>434</v>
      </c>
      <c r="D271" s="185">
        <v>159307335.33000001</v>
      </c>
      <c r="E271" s="185">
        <v>12117044.220000001</v>
      </c>
      <c r="F271" s="185">
        <v>12113344.220000001</v>
      </c>
      <c r="G271" s="185">
        <v>7876020.7400000002</v>
      </c>
      <c r="H271" s="186">
        <v>0</v>
      </c>
      <c r="I271" s="186">
        <v>3700</v>
      </c>
      <c r="J271" s="186">
        <v>7876020.7400000002</v>
      </c>
      <c r="K271" s="195">
        <v>7.6</v>
      </c>
      <c r="L271" s="187">
        <v>100</v>
      </c>
      <c r="M271" s="390">
        <v>65</v>
      </c>
    </row>
    <row r="272" spans="1:13" s="1" customFormat="1" ht="13.5">
      <c r="A272" s="1058">
        <v>28</v>
      </c>
      <c r="B272" s="1059">
        <v>16</v>
      </c>
      <c r="C272" s="1060" t="s">
        <v>433</v>
      </c>
      <c r="D272" s="185">
        <v>90456687.459999993</v>
      </c>
      <c r="E272" s="185">
        <v>8443716.5099999998</v>
      </c>
      <c r="F272" s="185">
        <v>8407137.5399999991</v>
      </c>
      <c r="G272" s="185">
        <v>5898715.0700000003</v>
      </c>
      <c r="H272" s="186">
        <v>24657.94</v>
      </c>
      <c r="I272" s="186">
        <v>36578.97</v>
      </c>
      <c r="J272" s="186">
        <v>5898715.0700000003</v>
      </c>
      <c r="K272" s="195">
        <v>9.3000000000000007</v>
      </c>
      <c r="L272" s="187">
        <v>99.6</v>
      </c>
      <c r="M272" s="390">
        <v>69.900000000000006</v>
      </c>
    </row>
    <row r="273" spans="1:13" s="1" customFormat="1" ht="13.5">
      <c r="A273" s="1058">
        <v>28</v>
      </c>
      <c r="B273" s="1059">
        <v>17</v>
      </c>
      <c r="C273" s="1060" t="s">
        <v>432</v>
      </c>
      <c r="D273" s="185">
        <v>104655069.72</v>
      </c>
      <c r="E273" s="185">
        <v>7471058.8300000001</v>
      </c>
      <c r="F273" s="185">
        <v>7307423.8300000001</v>
      </c>
      <c r="G273" s="185">
        <v>5058477.5</v>
      </c>
      <c r="H273" s="186">
        <v>0</v>
      </c>
      <c r="I273" s="186">
        <v>163635</v>
      </c>
      <c r="J273" s="186">
        <v>5058477.5</v>
      </c>
      <c r="K273" s="195">
        <v>7.1</v>
      </c>
      <c r="L273" s="187">
        <v>97.8</v>
      </c>
      <c r="M273" s="390">
        <v>67.7</v>
      </c>
    </row>
    <row r="274" spans="1:13" s="1" customFormat="1" ht="13.5">
      <c r="A274" s="1058">
        <v>28</v>
      </c>
      <c r="B274" s="1059">
        <v>18</v>
      </c>
      <c r="C274" s="1060" t="s">
        <v>431</v>
      </c>
      <c r="D274" s="185">
        <v>41175458.729999997</v>
      </c>
      <c r="E274" s="185">
        <v>4608737.13</v>
      </c>
      <c r="F274" s="185">
        <v>4608737.13</v>
      </c>
      <c r="G274" s="185">
        <v>3385025.67</v>
      </c>
      <c r="H274" s="186">
        <v>0</v>
      </c>
      <c r="I274" s="186">
        <v>0</v>
      </c>
      <c r="J274" s="186">
        <v>3385025.67</v>
      </c>
      <c r="K274" s="195">
        <v>11.2</v>
      </c>
      <c r="L274" s="187">
        <v>100</v>
      </c>
      <c r="M274" s="390">
        <v>73.400000000000006</v>
      </c>
    </row>
    <row r="275" spans="1:13" s="1" customFormat="1" ht="13.5">
      <c r="A275" s="1058">
        <v>28</v>
      </c>
      <c r="B275" s="1059">
        <v>19</v>
      </c>
      <c r="C275" s="1060" t="s">
        <v>430</v>
      </c>
      <c r="D275" s="185">
        <v>54364029.859999999</v>
      </c>
      <c r="E275" s="185">
        <v>3999147.9</v>
      </c>
      <c r="F275" s="185">
        <v>3999147.9</v>
      </c>
      <c r="G275" s="185">
        <v>2715537.06</v>
      </c>
      <c r="H275" s="186">
        <v>0</v>
      </c>
      <c r="I275" s="186">
        <v>0</v>
      </c>
      <c r="J275" s="186">
        <v>2715537.06</v>
      </c>
      <c r="K275" s="195">
        <v>7.4</v>
      </c>
      <c r="L275" s="187">
        <v>100</v>
      </c>
      <c r="M275" s="390">
        <v>67.900000000000006</v>
      </c>
    </row>
    <row r="276" spans="1:13" s="1" customFormat="1" ht="13.5">
      <c r="A276" s="1058">
        <v>30</v>
      </c>
      <c r="B276" s="1059">
        <v>1</v>
      </c>
      <c r="C276" s="1060" t="s">
        <v>429</v>
      </c>
      <c r="D276" s="185">
        <v>60506043.210000001</v>
      </c>
      <c r="E276" s="185">
        <v>6449812.0700000003</v>
      </c>
      <c r="F276" s="185">
        <v>6437967.3200000003</v>
      </c>
      <c r="G276" s="185">
        <v>5371622.8899999997</v>
      </c>
      <c r="H276" s="186">
        <v>0</v>
      </c>
      <c r="I276" s="186">
        <v>11844.75</v>
      </c>
      <c r="J276" s="186">
        <v>5371622.8899999997</v>
      </c>
      <c r="K276" s="195">
        <v>10.7</v>
      </c>
      <c r="L276" s="187">
        <v>99.8</v>
      </c>
      <c r="M276" s="390">
        <v>83.3</v>
      </c>
    </row>
    <row r="277" spans="1:13" s="1" customFormat="1" ht="13.5">
      <c r="A277" s="1058">
        <v>30</v>
      </c>
      <c r="B277" s="1059">
        <v>2</v>
      </c>
      <c r="C277" s="1060" t="s">
        <v>428</v>
      </c>
      <c r="D277" s="185">
        <v>118057161.33</v>
      </c>
      <c r="E277" s="185">
        <v>10406057.98</v>
      </c>
      <c r="F277" s="185">
        <v>10353788.779999999</v>
      </c>
      <c r="G277" s="185">
        <v>7167836.4100000001</v>
      </c>
      <c r="H277" s="186">
        <v>0</v>
      </c>
      <c r="I277" s="186">
        <v>52269.2</v>
      </c>
      <c r="J277" s="186">
        <v>7167836.4100000001</v>
      </c>
      <c r="K277" s="195">
        <v>8.8000000000000007</v>
      </c>
      <c r="L277" s="187">
        <v>99.5</v>
      </c>
      <c r="M277" s="390">
        <v>68.900000000000006</v>
      </c>
    </row>
    <row r="278" spans="1:13" s="1" customFormat="1" ht="13.5">
      <c r="A278" s="1058">
        <v>30</v>
      </c>
      <c r="B278" s="1059">
        <v>3</v>
      </c>
      <c r="C278" s="1060" t="s">
        <v>427</v>
      </c>
      <c r="D278" s="185">
        <v>175219270.65000001</v>
      </c>
      <c r="E278" s="185">
        <v>19153994.109999999</v>
      </c>
      <c r="F278" s="185">
        <v>16821722.23</v>
      </c>
      <c r="G278" s="185">
        <v>11756186.939999999</v>
      </c>
      <c r="H278" s="186">
        <v>47084.4</v>
      </c>
      <c r="I278" s="186">
        <v>2332271.88</v>
      </c>
      <c r="J278" s="186">
        <v>11756186.939999999</v>
      </c>
      <c r="K278" s="195">
        <v>10.9</v>
      </c>
      <c r="L278" s="187">
        <v>87.8</v>
      </c>
      <c r="M278" s="390">
        <v>61.4</v>
      </c>
    </row>
    <row r="279" spans="1:13" s="1" customFormat="1" ht="13.5">
      <c r="A279" s="1058">
        <v>30</v>
      </c>
      <c r="B279" s="1059">
        <v>4</v>
      </c>
      <c r="C279" s="1060" t="s">
        <v>426</v>
      </c>
      <c r="D279" s="185">
        <v>102400633.53</v>
      </c>
      <c r="E279" s="185">
        <v>9461353.4299999997</v>
      </c>
      <c r="F279" s="185">
        <v>9421453.4399999995</v>
      </c>
      <c r="G279" s="185">
        <v>6563008.1799999997</v>
      </c>
      <c r="H279" s="186">
        <v>0</v>
      </c>
      <c r="I279" s="186">
        <v>39899.99</v>
      </c>
      <c r="J279" s="186">
        <v>6563008.1799999997</v>
      </c>
      <c r="K279" s="195">
        <v>9.1999999999999993</v>
      </c>
      <c r="L279" s="187">
        <v>99.6</v>
      </c>
      <c r="M279" s="390">
        <v>69.400000000000006</v>
      </c>
    </row>
    <row r="280" spans="1:13" s="1" customFormat="1" ht="13.5">
      <c r="A280" s="1058">
        <v>30</v>
      </c>
      <c r="B280" s="1059">
        <v>5</v>
      </c>
      <c r="C280" s="1060" t="s">
        <v>425</v>
      </c>
      <c r="D280" s="185">
        <v>54354689.950000003</v>
      </c>
      <c r="E280" s="185">
        <v>9354519.6799999997</v>
      </c>
      <c r="F280" s="185">
        <v>9320079.6799999997</v>
      </c>
      <c r="G280" s="185">
        <v>6675973.4000000004</v>
      </c>
      <c r="H280" s="186">
        <v>57391.4</v>
      </c>
      <c r="I280" s="186">
        <v>34440</v>
      </c>
      <c r="J280" s="186">
        <v>6675973.4000000004</v>
      </c>
      <c r="K280" s="195">
        <v>17.2</v>
      </c>
      <c r="L280" s="187">
        <v>99.6</v>
      </c>
      <c r="M280" s="390">
        <v>71.400000000000006</v>
      </c>
    </row>
    <row r="281" spans="1:13" s="1" customFormat="1" ht="13.5">
      <c r="A281" s="1058">
        <v>30</v>
      </c>
      <c r="B281" s="1059">
        <v>6</v>
      </c>
      <c r="C281" s="1060" t="s">
        <v>424</v>
      </c>
      <c r="D281" s="185">
        <v>100793019.53</v>
      </c>
      <c r="E281" s="185">
        <v>7464489.5800000001</v>
      </c>
      <c r="F281" s="185">
        <v>7454461.3899999997</v>
      </c>
      <c r="G281" s="185">
        <v>5305777.6100000003</v>
      </c>
      <c r="H281" s="186">
        <v>32102.66</v>
      </c>
      <c r="I281" s="186">
        <v>10028.19</v>
      </c>
      <c r="J281" s="186">
        <v>5305777.6100000003</v>
      </c>
      <c r="K281" s="195">
        <v>7.4</v>
      </c>
      <c r="L281" s="187">
        <v>99.9</v>
      </c>
      <c r="M281" s="390">
        <v>71.099999999999994</v>
      </c>
    </row>
    <row r="282" spans="1:13" s="1" customFormat="1" ht="13.5">
      <c r="A282" s="1058">
        <v>30</v>
      </c>
      <c r="B282" s="1059">
        <v>7</v>
      </c>
      <c r="C282" s="1060" t="s">
        <v>423</v>
      </c>
      <c r="D282" s="185">
        <v>80480209.200000003</v>
      </c>
      <c r="E282" s="185">
        <v>19177759.960000001</v>
      </c>
      <c r="F282" s="185">
        <v>16930099.5</v>
      </c>
      <c r="G282" s="185">
        <v>12668474.890000001</v>
      </c>
      <c r="H282" s="186">
        <v>0</v>
      </c>
      <c r="I282" s="186">
        <v>2247660.46</v>
      </c>
      <c r="J282" s="186">
        <v>12668474.890000001</v>
      </c>
      <c r="K282" s="195">
        <v>23.8</v>
      </c>
      <c r="L282" s="187">
        <v>88.3</v>
      </c>
      <c r="M282" s="390">
        <v>66.099999999999994</v>
      </c>
    </row>
    <row r="283" spans="1:13" s="1" customFormat="1" ht="13.5">
      <c r="A283" s="1058">
        <v>30</v>
      </c>
      <c r="B283" s="1059">
        <v>8</v>
      </c>
      <c r="C283" s="1060" t="s">
        <v>422</v>
      </c>
      <c r="D283" s="185">
        <v>75528313.140000001</v>
      </c>
      <c r="E283" s="185">
        <v>9237183.9000000004</v>
      </c>
      <c r="F283" s="185">
        <v>8571055.8100000005</v>
      </c>
      <c r="G283" s="185">
        <v>5786636.0700000003</v>
      </c>
      <c r="H283" s="186">
        <v>11459.5</v>
      </c>
      <c r="I283" s="186">
        <v>666128.09</v>
      </c>
      <c r="J283" s="186">
        <v>5786636.0700000003</v>
      </c>
      <c r="K283" s="195">
        <v>12.2</v>
      </c>
      <c r="L283" s="187">
        <v>92.8</v>
      </c>
      <c r="M283" s="390">
        <v>62.6</v>
      </c>
    </row>
    <row r="284" spans="1:13" s="1" customFormat="1" ht="13.5">
      <c r="A284" s="1058">
        <v>30</v>
      </c>
      <c r="B284" s="1059">
        <v>9</v>
      </c>
      <c r="C284" s="1060" t="s">
        <v>421</v>
      </c>
      <c r="D284" s="185">
        <v>105661514.08</v>
      </c>
      <c r="E284" s="185">
        <v>12896068.939999999</v>
      </c>
      <c r="F284" s="185">
        <v>11980013.779999999</v>
      </c>
      <c r="G284" s="185">
        <v>7696781.9400000004</v>
      </c>
      <c r="H284" s="186">
        <v>35696.06</v>
      </c>
      <c r="I284" s="186">
        <v>916055.16</v>
      </c>
      <c r="J284" s="186">
        <v>7696781.9400000004</v>
      </c>
      <c r="K284" s="195">
        <v>12.2</v>
      </c>
      <c r="L284" s="187">
        <v>92.9</v>
      </c>
      <c r="M284" s="390">
        <v>59.7</v>
      </c>
    </row>
    <row r="285" spans="1:13" s="1" customFormat="1" ht="13.5">
      <c r="A285" s="1058">
        <v>30</v>
      </c>
      <c r="B285" s="1059">
        <v>10</v>
      </c>
      <c r="C285" s="1060" t="s">
        <v>420</v>
      </c>
      <c r="D285" s="185">
        <v>123142713.25</v>
      </c>
      <c r="E285" s="185">
        <v>16722591.23</v>
      </c>
      <c r="F285" s="185">
        <v>15144278.65</v>
      </c>
      <c r="G285" s="185">
        <v>10378760.210000001</v>
      </c>
      <c r="H285" s="186">
        <v>0</v>
      </c>
      <c r="I285" s="186">
        <v>1578312.58</v>
      </c>
      <c r="J285" s="186">
        <v>10378760.210000001</v>
      </c>
      <c r="K285" s="195">
        <v>13.6</v>
      </c>
      <c r="L285" s="187">
        <v>90.6</v>
      </c>
      <c r="M285" s="390">
        <v>62.1</v>
      </c>
    </row>
    <row r="286" spans="1:13" s="1" customFormat="1" ht="13.5">
      <c r="A286" s="1058">
        <v>30</v>
      </c>
      <c r="B286" s="1059">
        <v>11</v>
      </c>
      <c r="C286" s="1060" t="s">
        <v>419</v>
      </c>
      <c r="D286" s="185">
        <v>92437734.340000004</v>
      </c>
      <c r="E286" s="185">
        <v>10544015.01</v>
      </c>
      <c r="F286" s="185">
        <v>9957451.4499999993</v>
      </c>
      <c r="G286" s="185">
        <v>6733786.1799999997</v>
      </c>
      <c r="H286" s="186">
        <v>0</v>
      </c>
      <c r="I286" s="186">
        <v>586563.56000000006</v>
      </c>
      <c r="J286" s="186">
        <v>6733786.1799999997</v>
      </c>
      <c r="K286" s="195">
        <v>11.4</v>
      </c>
      <c r="L286" s="187">
        <v>94.4</v>
      </c>
      <c r="M286" s="390">
        <v>63.9</v>
      </c>
    </row>
    <row r="287" spans="1:13" s="1" customFormat="1" ht="13.5">
      <c r="A287" s="1058">
        <v>30</v>
      </c>
      <c r="B287" s="1059">
        <v>12</v>
      </c>
      <c r="C287" s="1060" t="s">
        <v>418</v>
      </c>
      <c r="D287" s="185">
        <v>112250245.39</v>
      </c>
      <c r="E287" s="185">
        <v>10731235.83</v>
      </c>
      <c r="F287" s="185">
        <v>10731235.83</v>
      </c>
      <c r="G287" s="185">
        <v>7459977.79</v>
      </c>
      <c r="H287" s="186">
        <v>0</v>
      </c>
      <c r="I287" s="186">
        <v>0</v>
      </c>
      <c r="J287" s="186">
        <v>7459977.79</v>
      </c>
      <c r="K287" s="195">
        <v>9.6</v>
      </c>
      <c r="L287" s="187">
        <v>100</v>
      </c>
      <c r="M287" s="390">
        <v>69.5</v>
      </c>
    </row>
    <row r="288" spans="1:13" s="1" customFormat="1" ht="13.5">
      <c r="A288" s="1058">
        <v>30</v>
      </c>
      <c r="B288" s="1059">
        <v>13</v>
      </c>
      <c r="C288" s="1060" t="s">
        <v>417</v>
      </c>
      <c r="D288" s="185">
        <v>49399425.350000001</v>
      </c>
      <c r="E288" s="185">
        <v>7172621</v>
      </c>
      <c r="F288" s="185">
        <v>7172621</v>
      </c>
      <c r="G288" s="185">
        <v>4561727.28</v>
      </c>
      <c r="H288" s="186">
        <v>255904.87</v>
      </c>
      <c r="I288" s="186">
        <v>0</v>
      </c>
      <c r="J288" s="186">
        <v>4561727.28</v>
      </c>
      <c r="K288" s="195">
        <v>14.5</v>
      </c>
      <c r="L288" s="187">
        <v>100</v>
      </c>
      <c r="M288" s="390">
        <v>63.6</v>
      </c>
    </row>
    <row r="289" spans="1:13" s="1" customFormat="1" ht="13.5">
      <c r="A289" s="1058">
        <v>30</v>
      </c>
      <c r="B289" s="1059">
        <v>14</v>
      </c>
      <c r="C289" s="1060" t="s">
        <v>416</v>
      </c>
      <c r="D289" s="185">
        <v>56619077.549999997</v>
      </c>
      <c r="E289" s="185">
        <v>7614282.6200000001</v>
      </c>
      <c r="F289" s="185">
        <v>7574984.1200000001</v>
      </c>
      <c r="G289" s="185">
        <v>5607007.5800000001</v>
      </c>
      <c r="H289" s="186">
        <v>0</v>
      </c>
      <c r="I289" s="186">
        <v>39298.5</v>
      </c>
      <c r="J289" s="186">
        <v>5607007.5800000001</v>
      </c>
      <c r="K289" s="195">
        <v>13.4</v>
      </c>
      <c r="L289" s="187">
        <v>99.5</v>
      </c>
      <c r="M289" s="390">
        <v>73.599999999999994</v>
      </c>
    </row>
    <row r="290" spans="1:13" s="1" customFormat="1" ht="13.5">
      <c r="A290" s="1058">
        <v>30</v>
      </c>
      <c r="B290" s="1059">
        <v>15</v>
      </c>
      <c r="C290" s="1060" t="s">
        <v>415</v>
      </c>
      <c r="D290" s="185">
        <v>89622906.459999993</v>
      </c>
      <c r="E290" s="185">
        <v>16072852.029999999</v>
      </c>
      <c r="F290" s="185">
        <v>15476536.91</v>
      </c>
      <c r="G290" s="185">
        <v>11110133.84</v>
      </c>
      <c r="H290" s="186">
        <v>0</v>
      </c>
      <c r="I290" s="186">
        <v>596315.12</v>
      </c>
      <c r="J290" s="186">
        <v>11110133.84</v>
      </c>
      <c r="K290" s="195">
        <v>17.899999999999999</v>
      </c>
      <c r="L290" s="187">
        <v>96.3</v>
      </c>
      <c r="M290" s="390">
        <v>69.099999999999994</v>
      </c>
    </row>
    <row r="291" spans="1:13" s="1" customFormat="1" ht="13.5">
      <c r="A291" s="1058">
        <v>30</v>
      </c>
      <c r="B291" s="1059">
        <v>16</v>
      </c>
      <c r="C291" s="1060" t="s">
        <v>414</v>
      </c>
      <c r="D291" s="185">
        <v>59034744.340000004</v>
      </c>
      <c r="E291" s="185">
        <v>8042758.1200000001</v>
      </c>
      <c r="F291" s="185">
        <v>7411122.9000000004</v>
      </c>
      <c r="G291" s="185">
        <v>4752984.6500000004</v>
      </c>
      <c r="H291" s="186">
        <v>0</v>
      </c>
      <c r="I291" s="186">
        <v>631635.22</v>
      </c>
      <c r="J291" s="186">
        <v>4752984.6500000004</v>
      </c>
      <c r="K291" s="195">
        <v>13.6</v>
      </c>
      <c r="L291" s="187">
        <v>92.1</v>
      </c>
      <c r="M291" s="390">
        <v>59.1</v>
      </c>
    </row>
    <row r="292" spans="1:13" s="1" customFormat="1" ht="13.5">
      <c r="A292" s="1058">
        <v>30</v>
      </c>
      <c r="B292" s="1059">
        <v>17</v>
      </c>
      <c r="C292" s="1060" t="s">
        <v>413</v>
      </c>
      <c r="D292" s="185">
        <v>224213575.84</v>
      </c>
      <c r="E292" s="185">
        <v>15192381.4</v>
      </c>
      <c r="F292" s="185">
        <v>13878629.119999999</v>
      </c>
      <c r="G292" s="185">
        <v>10497625.82</v>
      </c>
      <c r="H292" s="186">
        <v>0</v>
      </c>
      <c r="I292" s="186">
        <v>1313752.28</v>
      </c>
      <c r="J292" s="186">
        <v>10497625.82</v>
      </c>
      <c r="K292" s="195">
        <v>6.8</v>
      </c>
      <c r="L292" s="187">
        <v>91.4</v>
      </c>
      <c r="M292" s="390">
        <v>69.099999999999994</v>
      </c>
    </row>
    <row r="293" spans="1:13" s="1" customFormat="1" ht="13.5">
      <c r="A293" s="1058">
        <v>30</v>
      </c>
      <c r="B293" s="1059">
        <v>18</v>
      </c>
      <c r="C293" s="1060" t="s">
        <v>412</v>
      </c>
      <c r="D293" s="185">
        <v>86992595.530000001</v>
      </c>
      <c r="E293" s="185">
        <v>9066477.3800000008</v>
      </c>
      <c r="F293" s="185">
        <v>9066477.3800000008</v>
      </c>
      <c r="G293" s="185">
        <v>6438669.0300000003</v>
      </c>
      <c r="H293" s="186">
        <v>0</v>
      </c>
      <c r="I293" s="186">
        <v>0</v>
      </c>
      <c r="J293" s="186">
        <v>6438669.0300000003</v>
      </c>
      <c r="K293" s="195">
        <v>10.4</v>
      </c>
      <c r="L293" s="187">
        <v>100</v>
      </c>
      <c r="M293" s="390">
        <v>71</v>
      </c>
    </row>
    <row r="294" spans="1:13" s="1" customFormat="1" ht="13.5">
      <c r="A294" s="1058">
        <v>30</v>
      </c>
      <c r="B294" s="1059">
        <v>19</v>
      </c>
      <c r="C294" s="1060" t="s">
        <v>411</v>
      </c>
      <c r="D294" s="185">
        <v>211731220.24000001</v>
      </c>
      <c r="E294" s="185">
        <v>26350318.059999999</v>
      </c>
      <c r="F294" s="185">
        <v>19459462.969999999</v>
      </c>
      <c r="G294" s="185">
        <v>12715695.58</v>
      </c>
      <c r="H294" s="186">
        <v>231332.25</v>
      </c>
      <c r="I294" s="186">
        <v>6890855.0899999999</v>
      </c>
      <c r="J294" s="186">
        <v>12715695.58</v>
      </c>
      <c r="K294" s="195">
        <v>12.4</v>
      </c>
      <c r="L294" s="187">
        <v>73.8</v>
      </c>
      <c r="M294" s="390">
        <v>48.3</v>
      </c>
    </row>
    <row r="295" spans="1:13" s="1" customFormat="1" ht="13.5">
      <c r="A295" s="1058">
        <v>30</v>
      </c>
      <c r="B295" s="1059">
        <v>20</v>
      </c>
      <c r="C295" s="1060" t="s">
        <v>410</v>
      </c>
      <c r="D295" s="185">
        <v>94151842.840000004</v>
      </c>
      <c r="E295" s="185">
        <v>8868822.0199999996</v>
      </c>
      <c r="F295" s="185">
        <v>8806654.6400000006</v>
      </c>
      <c r="G295" s="185">
        <v>5832106.2999999998</v>
      </c>
      <c r="H295" s="186">
        <v>0</v>
      </c>
      <c r="I295" s="186">
        <v>62167.38</v>
      </c>
      <c r="J295" s="186">
        <v>5832106.2999999998</v>
      </c>
      <c r="K295" s="195">
        <v>9.4</v>
      </c>
      <c r="L295" s="187">
        <v>99.3</v>
      </c>
      <c r="M295" s="390">
        <v>65.8</v>
      </c>
    </row>
    <row r="296" spans="1:13" s="1" customFormat="1" ht="13.5">
      <c r="A296" s="1058">
        <v>30</v>
      </c>
      <c r="B296" s="1059">
        <v>21</v>
      </c>
      <c r="C296" s="1060" t="s">
        <v>409</v>
      </c>
      <c r="D296" s="185">
        <v>457665774.35000002</v>
      </c>
      <c r="E296" s="185">
        <v>53859438.950000003</v>
      </c>
      <c r="F296" s="185">
        <v>51395524.259999998</v>
      </c>
      <c r="G296" s="185">
        <v>32667152.809999999</v>
      </c>
      <c r="H296" s="186">
        <v>0</v>
      </c>
      <c r="I296" s="186">
        <v>2463914.69</v>
      </c>
      <c r="J296" s="186">
        <v>32667152.809999999</v>
      </c>
      <c r="K296" s="195">
        <v>11.8</v>
      </c>
      <c r="L296" s="187">
        <v>95.4</v>
      </c>
      <c r="M296" s="390">
        <v>60.7</v>
      </c>
    </row>
    <row r="297" spans="1:13" s="1" customFormat="1" ht="13.5">
      <c r="A297" s="1058">
        <v>30</v>
      </c>
      <c r="B297" s="1059">
        <v>22</v>
      </c>
      <c r="C297" s="1060" t="s">
        <v>408</v>
      </c>
      <c r="D297" s="185">
        <v>91274357.780000001</v>
      </c>
      <c r="E297" s="185">
        <v>8879845.2699999996</v>
      </c>
      <c r="F297" s="185">
        <v>8775106.5199999996</v>
      </c>
      <c r="G297" s="185">
        <v>6091752.5499999998</v>
      </c>
      <c r="H297" s="186">
        <v>0</v>
      </c>
      <c r="I297" s="186">
        <v>104738.75</v>
      </c>
      <c r="J297" s="186">
        <v>6091752.5499999998</v>
      </c>
      <c r="K297" s="195">
        <v>9.6999999999999993</v>
      </c>
      <c r="L297" s="187">
        <v>98.8</v>
      </c>
      <c r="M297" s="390">
        <v>68.599999999999994</v>
      </c>
    </row>
    <row r="298" spans="1:13" s="1" customFormat="1" ht="13.5">
      <c r="A298" s="1058">
        <v>30</v>
      </c>
      <c r="B298" s="1059">
        <v>23</v>
      </c>
      <c r="C298" s="1060" t="s">
        <v>407</v>
      </c>
      <c r="D298" s="185">
        <v>125234700.95999999</v>
      </c>
      <c r="E298" s="185">
        <v>9127349.0099999998</v>
      </c>
      <c r="F298" s="185">
        <v>8847848.3300000001</v>
      </c>
      <c r="G298" s="185">
        <v>6046772.9199999999</v>
      </c>
      <c r="H298" s="186">
        <v>0</v>
      </c>
      <c r="I298" s="186">
        <v>279500.68</v>
      </c>
      <c r="J298" s="186">
        <v>6046772.9199999999</v>
      </c>
      <c r="K298" s="195">
        <v>7.3</v>
      </c>
      <c r="L298" s="187">
        <v>96.9</v>
      </c>
      <c r="M298" s="390">
        <v>66.2</v>
      </c>
    </row>
    <row r="299" spans="1:13" s="1" customFormat="1" ht="13.5">
      <c r="A299" s="1058">
        <v>30</v>
      </c>
      <c r="B299" s="1059">
        <v>24</v>
      </c>
      <c r="C299" s="1060" t="s">
        <v>406</v>
      </c>
      <c r="D299" s="185">
        <v>93974559.780000001</v>
      </c>
      <c r="E299" s="185">
        <v>10517311.57</v>
      </c>
      <c r="F299" s="185">
        <v>10281641.609999999</v>
      </c>
      <c r="G299" s="185">
        <v>6585216.8300000001</v>
      </c>
      <c r="H299" s="186">
        <v>0</v>
      </c>
      <c r="I299" s="186">
        <v>235669.96</v>
      </c>
      <c r="J299" s="186">
        <v>6585216.8300000001</v>
      </c>
      <c r="K299" s="195">
        <v>11.2</v>
      </c>
      <c r="L299" s="187">
        <v>97.8</v>
      </c>
      <c r="M299" s="390">
        <v>62.6</v>
      </c>
    </row>
    <row r="300" spans="1:13" s="1" customFormat="1" ht="13.5">
      <c r="A300" s="1058">
        <v>30</v>
      </c>
      <c r="B300" s="1059">
        <v>25</v>
      </c>
      <c r="C300" s="1060" t="s">
        <v>405</v>
      </c>
      <c r="D300" s="185">
        <v>94363577.849999994</v>
      </c>
      <c r="E300" s="185">
        <v>9937930.0099999998</v>
      </c>
      <c r="F300" s="185">
        <v>9755289.7699999996</v>
      </c>
      <c r="G300" s="185">
        <v>5498900.7599999998</v>
      </c>
      <c r="H300" s="186">
        <v>0</v>
      </c>
      <c r="I300" s="186">
        <v>182640.24</v>
      </c>
      <c r="J300" s="186">
        <v>5498900.7599999998</v>
      </c>
      <c r="K300" s="195">
        <v>10.5</v>
      </c>
      <c r="L300" s="187">
        <v>98.2</v>
      </c>
      <c r="M300" s="390">
        <v>55.3</v>
      </c>
    </row>
    <row r="301" spans="1:13" s="1" customFormat="1" ht="13.5">
      <c r="A301" s="1058">
        <v>30</v>
      </c>
      <c r="B301" s="1059">
        <v>26</v>
      </c>
      <c r="C301" s="1060" t="s">
        <v>404</v>
      </c>
      <c r="D301" s="185">
        <v>84834624.730000004</v>
      </c>
      <c r="E301" s="185">
        <v>6390039.25</v>
      </c>
      <c r="F301" s="185">
        <v>6390039.25</v>
      </c>
      <c r="G301" s="185">
        <v>4139632.93</v>
      </c>
      <c r="H301" s="186">
        <v>0</v>
      </c>
      <c r="I301" s="186">
        <v>0</v>
      </c>
      <c r="J301" s="186">
        <v>4139632.93</v>
      </c>
      <c r="K301" s="195">
        <v>7.5</v>
      </c>
      <c r="L301" s="187">
        <v>100</v>
      </c>
      <c r="M301" s="390">
        <v>64.8</v>
      </c>
    </row>
    <row r="302" spans="1:13" s="1" customFormat="1" ht="13.5">
      <c r="A302" s="1058">
        <v>30</v>
      </c>
      <c r="B302" s="1059">
        <v>27</v>
      </c>
      <c r="C302" s="1060" t="s">
        <v>403</v>
      </c>
      <c r="D302" s="185">
        <v>98528731.849999994</v>
      </c>
      <c r="E302" s="185">
        <v>9864797.25</v>
      </c>
      <c r="F302" s="185">
        <v>9828985.1899999995</v>
      </c>
      <c r="G302" s="185">
        <v>6698355.3799999999</v>
      </c>
      <c r="H302" s="186">
        <v>0</v>
      </c>
      <c r="I302" s="186">
        <v>35812.06</v>
      </c>
      <c r="J302" s="186">
        <v>6698355.3799999999</v>
      </c>
      <c r="K302" s="195">
        <v>10</v>
      </c>
      <c r="L302" s="187">
        <v>99.6</v>
      </c>
      <c r="M302" s="390">
        <v>67.900000000000006</v>
      </c>
    </row>
    <row r="303" spans="1:13" s="1" customFormat="1" ht="13.5">
      <c r="A303" s="1058">
        <v>30</v>
      </c>
      <c r="B303" s="1059">
        <v>28</v>
      </c>
      <c r="C303" s="1060" t="s">
        <v>402</v>
      </c>
      <c r="D303" s="185">
        <v>105884415.27</v>
      </c>
      <c r="E303" s="185">
        <v>9366249.8200000003</v>
      </c>
      <c r="F303" s="185">
        <v>9366249.8200000003</v>
      </c>
      <c r="G303" s="185">
        <v>6717619.7699999996</v>
      </c>
      <c r="H303" s="186">
        <v>0</v>
      </c>
      <c r="I303" s="186">
        <v>0</v>
      </c>
      <c r="J303" s="186">
        <v>6717619.7699999996</v>
      </c>
      <c r="K303" s="195">
        <v>8.8000000000000007</v>
      </c>
      <c r="L303" s="187">
        <v>100</v>
      </c>
      <c r="M303" s="390">
        <v>71.7</v>
      </c>
    </row>
    <row r="304" spans="1:13" s="1" customFormat="1" ht="13.5">
      <c r="A304" s="1058">
        <v>30</v>
      </c>
      <c r="B304" s="1059">
        <v>29</v>
      </c>
      <c r="C304" s="1060" t="s">
        <v>401</v>
      </c>
      <c r="D304" s="185">
        <v>76314425.329999998</v>
      </c>
      <c r="E304" s="185">
        <v>8411869.3699999992</v>
      </c>
      <c r="F304" s="185">
        <v>8010167.9500000002</v>
      </c>
      <c r="G304" s="185">
        <v>5844285.1900000004</v>
      </c>
      <c r="H304" s="186">
        <v>0</v>
      </c>
      <c r="I304" s="186">
        <v>401701.42</v>
      </c>
      <c r="J304" s="186">
        <v>5844285.1900000004</v>
      </c>
      <c r="K304" s="195">
        <v>11</v>
      </c>
      <c r="L304" s="187">
        <v>95.2</v>
      </c>
      <c r="M304" s="390">
        <v>69.5</v>
      </c>
    </row>
    <row r="305" spans="1:13" s="1" customFormat="1" ht="13.5">
      <c r="A305" s="1058">
        <v>30</v>
      </c>
      <c r="B305" s="1059">
        <v>30</v>
      </c>
      <c r="C305" s="1060" t="s">
        <v>400</v>
      </c>
      <c r="D305" s="185">
        <v>106454536.48</v>
      </c>
      <c r="E305" s="185">
        <v>14657187.73</v>
      </c>
      <c r="F305" s="185">
        <v>14548717.630000001</v>
      </c>
      <c r="G305" s="185">
        <v>11155402.699999999</v>
      </c>
      <c r="H305" s="186">
        <v>0</v>
      </c>
      <c r="I305" s="186">
        <v>108470.1</v>
      </c>
      <c r="J305" s="186">
        <v>11155402.699999999</v>
      </c>
      <c r="K305" s="195">
        <v>13.8</v>
      </c>
      <c r="L305" s="187">
        <v>99.3</v>
      </c>
      <c r="M305" s="390">
        <v>76.099999999999994</v>
      </c>
    </row>
    <row r="306" spans="1:13" s="1" customFormat="1" ht="13.5">
      <c r="A306" s="1058">
        <v>30</v>
      </c>
      <c r="B306" s="1059">
        <v>31</v>
      </c>
      <c r="C306" s="1060" t="s">
        <v>399</v>
      </c>
      <c r="D306" s="185">
        <v>86340642.549999997</v>
      </c>
      <c r="E306" s="185">
        <v>10232444.779999999</v>
      </c>
      <c r="F306" s="185">
        <v>10132444.779999999</v>
      </c>
      <c r="G306" s="185">
        <v>7415842.3799999999</v>
      </c>
      <c r="H306" s="186">
        <v>0</v>
      </c>
      <c r="I306" s="186">
        <v>100000</v>
      </c>
      <c r="J306" s="186">
        <v>7415842.3799999999</v>
      </c>
      <c r="K306" s="195">
        <v>11.9</v>
      </c>
      <c r="L306" s="187">
        <v>99</v>
      </c>
      <c r="M306" s="390">
        <v>72.5</v>
      </c>
    </row>
    <row r="307" spans="1:13" s="1" customFormat="1" ht="13.5">
      <c r="A307" s="1058">
        <v>32</v>
      </c>
      <c r="B307" s="1059">
        <v>1</v>
      </c>
      <c r="C307" s="1060" t="s">
        <v>398</v>
      </c>
      <c r="D307" s="185">
        <v>75620049</v>
      </c>
      <c r="E307" s="185">
        <v>8325282.5300000003</v>
      </c>
      <c r="F307" s="185">
        <v>6815061.3099999996</v>
      </c>
      <c r="G307" s="185">
        <v>4936551.3099999996</v>
      </c>
      <c r="H307" s="186">
        <v>0</v>
      </c>
      <c r="I307" s="186">
        <v>1510221.22</v>
      </c>
      <c r="J307" s="186">
        <v>4936551.3099999996</v>
      </c>
      <c r="K307" s="195">
        <v>11</v>
      </c>
      <c r="L307" s="187">
        <v>81.900000000000006</v>
      </c>
      <c r="M307" s="390">
        <v>59.3</v>
      </c>
    </row>
    <row r="308" spans="1:13" s="1" customFormat="1" ht="13.5">
      <c r="A308" s="1058">
        <v>32</v>
      </c>
      <c r="B308" s="1059">
        <v>2</v>
      </c>
      <c r="C308" s="1060" t="s">
        <v>397</v>
      </c>
      <c r="D308" s="185">
        <v>65062061.659999996</v>
      </c>
      <c r="E308" s="185">
        <v>9259671.6600000001</v>
      </c>
      <c r="F308" s="185">
        <v>8984529.9399999995</v>
      </c>
      <c r="G308" s="185">
        <v>6540777.6600000001</v>
      </c>
      <c r="H308" s="186">
        <v>0</v>
      </c>
      <c r="I308" s="186">
        <v>275141.71999999997</v>
      </c>
      <c r="J308" s="186">
        <v>6540777.6600000001</v>
      </c>
      <c r="K308" s="195">
        <v>14.2</v>
      </c>
      <c r="L308" s="187">
        <v>97</v>
      </c>
      <c r="M308" s="390">
        <v>70.599999999999994</v>
      </c>
    </row>
    <row r="309" spans="1:13" s="1" customFormat="1" ht="13.5">
      <c r="A309" s="1058">
        <v>32</v>
      </c>
      <c r="B309" s="1059">
        <v>3</v>
      </c>
      <c r="C309" s="1060" t="s">
        <v>396</v>
      </c>
      <c r="D309" s="185">
        <v>114704787.34999999</v>
      </c>
      <c r="E309" s="185">
        <v>13486221.67</v>
      </c>
      <c r="F309" s="185">
        <v>12424698.039999999</v>
      </c>
      <c r="G309" s="185">
        <v>9301381</v>
      </c>
      <c r="H309" s="186">
        <v>0</v>
      </c>
      <c r="I309" s="186">
        <v>1061523.6299999999</v>
      </c>
      <c r="J309" s="186">
        <v>9301381</v>
      </c>
      <c r="K309" s="195">
        <v>11.8</v>
      </c>
      <c r="L309" s="187">
        <v>92.1</v>
      </c>
      <c r="M309" s="390">
        <v>69</v>
      </c>
    </row>
    <row r="310" spans="1:13" s="1" customFormat="1" ht="13.5">
      <c r="A310" s="1058">
        <v>32</v>
      </c>
      <c r="B310" s="1059">
        <v>4</v>
      </c>
      <c r="C310" s="1060" t="s">
        <v>395</v>
      </c>
      <c r="D310" s="185">
        <v>107011456.77</v>
      </c>
      <c r="E310" s="185">
        <v>9504578.5800000001</v>
      </c>
      <c r="F310" s="185">
        <v>9365661.5800000001</v>
      </c>
      <c r="G310" s="185">
        <v>6519876.2800000003</v>
      </c>
      <c r="H310" s="186">
        <v>0</v>
      </c>
      <c r="I310" s="186">
        <v>138917</v>
      </c>
      <c r="J310" s="186">
        <v>6519876.2800000003</v>
      </c>
      <c r="K310" s="195">
        <v>8.9</v>
      </c>
      <c r="L310" s="187">
        <v>98.5</v>
      </c>
      <c r="M310" s="390">
        <v>68.599999999999994</v>
      </c>
    </row>
    <row r="311" spans="1:13" s="1" customFormat="1" ht="13.5">
      <c r="A311" s="1058">
        <v>32</v>
      </c>
      <c r="B311" s="1059">
        <v>5</v>
      </c>
      <c r="C311" s="1060" t="s">
        <v>394</v>
      </c>
      <c r="D311" s="185">
        <v>98541495.959999993</v>
      </c>
      <c r="E311" s="185">
        <v>11915077.26</v>
      </c>
      <c r="F311" s="185">
        <v>9200187.9100000001</v>
      </c>
      <c r="G311" s="185">
        <v>6430638.0499999998</v>
      </c>
      <c r="H311" s="186">
        <v>388574.12</v>
      </c>
      <c r="I311" s="186">
        <v>2714889.35</v>
      </c>
      <c r="J311" s="186">
        <v>6430638.0499999998</v>
      </c>
      <c r="K311" s="195">
        <v>12.1</v>
      </c>
      <c r="L311" s="187">
        <v>77.2</v>
      </c>
      <c r="M311" s="390">
        <v>54</v>
      </c>
    </row>
    <row r="312" spans="1:13" s="1" customFormat="1" ht="13.5">
      <c r="A312" s="1058">
        <v>32</v>
      </c>
      <c r="B312" s="1059">
        <v>6</v>
      </c>
      <c r="C312" s="1060" t="s">
        <v>393</v>
      </c>
      <c r="D312" s="185">
        <v>109697183.42</v>
      </c>
      <c r="E312" s="185">
        <v>11882046.539999999</v>
      </c>
      <c r="F312" s="185">
        <v>11724068.380000001</v>
      </c>
      <c r="G312" s="185">
        <v>8338992.8799999999</v>
      </c>
      <c r="H312" s="186">
        <v>53170</v>
      </c>
      <c r="I312" s="186">
        <v>157978.16</v>
      </c>
      <c r="J312" s="186">
        <v>8338992.8799999999</v>
      </c>
      <c r="K312" s="195">
        <v>10.8</v>
      </c>
      <c r="L312" s="187">
        <v>98.7</v>
      </c>
      <c r="M312" s="390">
        <v>70.2</v>
      </c>
    </row>
    <row r="313" spans="1:13" s="1" customFormat="1" ht="13.5">
      <c r="A313" s="1058">
        <v>32</v>
      </c>
      <c r="B313" s="1059">
        <v>7</v>
      </c>
      <c r="C313" s="1060" t="s">
        <v>392</v>
      </c>
      <c r="D313" s="185">
        <v>64180734.630000003</v>
      </c>
      <c r="E313" s="185">
        <v>6296383.2400000002</v>
      </c>
      <c r="F313" s="185">
        <v>6164756.4800000004</v>
      </c>
      <c r="G313" s="185">
        <v>4351112.6100000003</v>
      </c>
      <c r="H313" s="186">
        <v>0</v>
      </c>
      <c r="I313" s="186">
        <v>131626.76</v>
      </c>
      <c r="J313" s="186">
        <v>4351112.6100000003</v>
      </c>
      <c r="K313" s="195">
        <v>9.8000000000000007</v>
      </c>
      <c r="L313" s="187">
        <v>97.9</v>
      </c>
      <c r="M313" s="390">
        <v>69.099999999999994</v>
      </c>
    </row>
    <row r="314" spans="1:13" s="1" customFormat="1" ht="13.5">
      <c r="A314" s="1058">
        <v>32</v>
      </c>
      <c r="B314" s="1059">
        <v>8</v>
      </c>
      <c r="C314" s="1060" t="s">
        <v>391</v>
      </c>
      <c r="D314" s="185">
        <v>129670788.31999999</v>
      </c>
      <c r="E314" s="185">
        <v>10826140.16</v>
      </c>
      <c r="F314" s="185">
        <v>10685278.16</v>
      </c>
      <c r="G314" s="185">
        <v>7968941.2000000002</v>
      </c>
      <c r="H314" s="186">
        <v>0</v>
      </c>
      <c r="I314" s="186">
        <v>140862</v>
      </c>
      <c r="J314" s="186">
        <v>7968941.2000000002</v>
      </c>
      <c r="K314" s="195">
        <v>8.3000000000000007</v>
      </c>
      <c r="L314" s="187">
        <v>98.7</v>
      </c>
      <c r="M314" s="390">
        <v>73.599999999999994</v>
      </c>
    </row>
    <row r="315" spans="1:13" s="1" customFormat="1" ht="13.5">
      <c r="A315" s="1058">
        <v>32</v>
      </c>
      <c r="B315" s="1059">
        <v>9</v>
      </c>
      <c r="C315" s="1060" t="s">
        <v>390</v>
      </c>
      <c r="D315" s="185">
        <v>110136996.31999999</v>
      </c>
      <c r="E315" s="185">
        <v>19802460.109999999</v>
      </c>
      <c r="F315" s="185">
        <v>13790748.85</v>
      </c>
      <c r="G315" s="185">
        <v>10319701.74</v>
      </c>
      <c r="H315" s="186">
        <v>25452.74</v>
      </c>
      <c r="I315" s="186">
        <v>6011711.2599999998</v>
      </c>
      <c r="J315" s="186">
        <v>10319701.74</v>
      </c>
      <c r="K315" s="195">
        <v>18</v>
      </c>
      <c r="L315" s="187">
        <v>69.599999999999994</v>
      </c>
      <c r="M315" s="390">
        <v>52.1</v>
      </c>
    </row>
    <row r="316" spans="1:13" s="1" customFormat="1" ht="13.5">
      <c r="A316" s="1058">
        <v>32</v>
      </c>
      <c r="B316" s="1059">
        <v>10</v>
      </c>
      <c r="C316" s="1060" t="s">
        <v>389</v>
      </c>
      <c r="D316" s="185">
        <v>100631886.69</v>
      </c>
      <c r="E316" s="185">
        <v>12421497.92</v>
      </c>
      <c r="F316" s="185">
        <v>12421497.92</v>
      </c>
      <c r="G316" s="185">
        <v>9241712.4600000009</v>
      </c>
      <c r="H316" s="186">
        <v>9920.9500000000007</v>
      </c>
      <c r="I316" s="186">
        <v>0</v>
      </c>
      <c r="J316" s="186">
        <v>9241712.4600000009</v>
      </c>
      <c r="K316" s="195">
        <v>12.3</v>
      </c>
      <c r="L316" s="187">
        <v>100</v>
      </c>
      <c r="M316" s="390">
        <v>74.400000000000006</v>
      </c>
    </row>
    <row r="317" spans="1:13" s="1" customFormat="1" ht="13.5">
      <c r="A317" s="1058">
        <v>32</v>
      </c>
      <c r="B317" s="1059">
        <v>11</v>
      </c>
      <c r="C317" s="1060" t="s">
        <v>388</v>
      </c>
      <c r="D317" s="185">
        <v>122828519.34</v>
      </c>
      <c r="E317" s="185">
        <v>13811595.84</v>
      </c>
      <c r="F317" s="185">
        <v>13695098.24</v>
      </c>
      <c r="G317" s="185">
        <v>10042028.48</v>
      </c>
      <c r="H317" s="186">
        <v>17063.91</v>
      </c>
      <c r="I317" s="186">
        <v>116497.60000000001</v>
      </c>
      <c r="J317" s="186">
        <v>10042028.48</v>
      </c>
      <c r="K317" s="195">
        <v>11.2</v>
      </c>
      <c r="L317" s="187">
        <v>99.2</v>
      </c>
      <c r="M317" s="390">
        <v>72.7</v>
      </c>
    </row>
    <row r="318" spans="1:13" s="1" customFormat="1" ht="13.5">
      <c r="A318" s="1058">
        <v>32</v>
      </c>
      <c r="B318" s="1059">
        <v>12</v>
      </c>
      <c r="C318" s="1060" t="s">
        <v>387</v>
      </c>
      <c r="D318" s="185">
        <v>60352931.520000003</v>
      </c>
      <c r="E318" s="185">
        <v>7420260.96</v>
      </c>
      <c r="F318" s="185">
        <v>7420260.96</v>
      </c>
      <c r="G318" s="185">
        <v>5360094.51</v>
      </c>
      <c r="H318" s="186">
        <v>0.32</v>
      </c>
      <c r="I318" s="186">
        <v>0</v>
      </c>
      <c r="J318" s="186">
        <v>5360094.51</v>
      </c>
      <c r="K318" s="195">
        <v>12.3</v>
      </c>
      <c r="L318" s="187">
        <v>100</v>
      </c>
      <c r="M318" s="390">
        <v>72.2</v>
      </c>
    </row>
    <row r="319" spans="1:13" s="1" customFormat="1" ht="13.5">
      <c r="A319" s="1058">
        <v>32</v>
      </c>
      <c r="B319" s="1059">
        <v>13</v>
      </c>
      <c r="C319" s="1060" t="s">
        <v>386</v>
      </c>
      <c r="D319" s="185">
        <v>82912082.879999995</v>
      </c>
      <c r="E319" s="185">
        <v>8929756.7899999991</v>
      </c>
      <c r="F319" s="185">
        <v>8581836.5800000001</v>
      </c>
      <c r="G319" s="185">
        <v>5589627.25</v>
      </c>
      <c r="H319" s="186">
        <v>0</v>
      </c>
      <c r="I319" s="186">
        <v>347920.21</v>
      </c>
      <c r="J319" s="186">
        <v>5589627.25</v>
      </c>
      <c r="K319" s="195">
        <v>10.8</v>
      </c>
      <c r="L319" s="187">
        <v>96.1</v>
      </c>
      <c r="M319" s="390">
        <v>62.6</v>
      </c>
    </row>
    <row r="320" spans="1:13" s="1" customFormat="1" ht="13.5">
      <c r="A320" s="1058">
        <v>32</v>
      </c>
      <c r="B320" s="1059">
        <v>14</v>
      </c>
      <c r="C320" s="1060" t="s">
        <v>385</v>
      </c>
      <c r="D320" s="185">
        <v>161812644.43000001</v>
      </c>
      <c r="E320" s="185">
        <v>10239837.869999999</v>
      </c>
      <c r="F320" s="185">
        <v>10239837.869999999</v>
      </c>
      <c r="G320" s="185">
        <v>6793700.3399999999</v>
      </c>
      <c r="H320" s="186">
        <v>0</v>
      </c>
      <c r="I320" s="186">
        <v>0</v>
      </c>
      <c r="J320" s="186">
        <v>6793700.3399999999</v>
      </c>
      <c r="K320" s="195">
        <v>6.3</v>
      </c>
      <c r="L320" s="187">
        <v>100</v>
      </c>
      <c r="M320" s="390">
        <v>66.3</v>
      </c>
    </row>
    <row r="321" spans="1:13" s="1" customFormat="1" ht="13.5">
      <c r="A321" s="1058">
        <v>32</v>
      </c>
      <c r="B321" s="1059">
        <v>15</v>
      </c>
      <c r="C321" s="1060" t="s">
        <v>384</v>
      </c>
      <c r="D321" s="185">
        <v>136489721.25</v>
      </c>
      <c r="E321" s="185">
        <v>11456766.5</v>
      </c>
      <c r="F321" s="185">
        <v>9836763.1899999995</v>
      </c>
      <c r="G321" s="185">
        <v>6250165.54</v>
      </c>
      <c r="H321" s="186">
        <v>251210.31</v>
      </c>
      <c r="I321" s="186">
        <v>1620003.31</v>
      </c>
      <c r="J321" s="186">
        <v>6250165.54</v>
      </c>
      <c r="K321" s="195">
        <v>8.4</v>
      </c>
      <c r="L321" s="187">
        <v>85.9</v>
      </c>
      <c r="M321" s="390">
        <v>54.6</v>
      </c>
    </row>
    <row r="322" spans="1:13" s="1" customFormat="1" ht="13.5">
      <c r="A322" s="1058">
        <v>32</v>
      </c>
      <c r="B322" s="1059">
        <v>16</v>
      </c>
      <c r="C322" s="1060" t="s">
        <v>383</v>
      </c>
      <c r="D322" s="185">
        <v>84356614.010000005</v>
      </c>
      <c r="E322" s="185">
        <v>10910874.25</v>
      </c>
      <c r="F322" s="185">
        <v>8882233.3200000003</v>
      </c>
      <c r="G322" s="185">
        <v>5574855.2300000004</v>
      </c>
      <c r="H322" s="186">
        <v>1198776.3799999999</v>
      </c>
      <c r="I322" s="186">
        <v>2028640.93</v>
      </c>
      <c r="J322" s="186">
        <v>5574855.2300000004</v>
      </c>
      <c r="K322" s="195">
        <v>12.9</v>
      </c>
      <c r="L322" s="187">
        <v>81.400000000000006</v>
      </c>
      <c r="M322" s="390">
        <v>51.1</v>
      </c>
    </row>
    <row r="323" spans="1:13" s="1" customFormat="1" ht="13.5">
      <c r="A323" s="1058">
        <v>32</v>
      </c>
      <c r="B323" s="1059">
        <v>17</v>
      </c>
      <c r="C323" s="1060" t="s">
        <v>382</v>
      </c>
      <c r="D323" s="185">
        <v>76073205.739999995</v>
      </c>
      <c r="E323" s="185">
        <v>8059413.6200000001</v>
      </c>
      <c r="F323" s="185">
        <v>8018609.5999999996</v>
      </c>
      <c r="G323" s="185">
        <v>5872437.25</v>
      </c>
      <c r="H323" s="186">
        <v>0</v>
      </c>
      <c r="I323" s="186">
        <v>40804.019999999997</v>
      </c>
      <c r="J323" s="186">
        <v>5872437.25</v>
      </c>
      <c r="K323" s="195">
        <v>10.6</v>
      </c>
      <c r="L323" s="187">
        <v>99.5</v>
      </c>
      <c r="M323" s="390">
        <v>72.900000000000006</v>
      </c>
    </row>
    <row r="324" spans="1:13" ht="13.5">
      <c r="A324" s="1068">
        <v>32</v>
      </c>
      <c r="B324" s="1069">
        <v>18</v>
      </c>
      <c r="C324" s="1070" t="s">
        <v>381</v>
      </c>
      <c r="D324" s="393">
        <v>59992827.689999998</v>
      </c>
      <c r="E324" s="393">
        <v>7401617.04</v>
      </c>
      <c r="F324" s="393">
        <v>7388794.3899999997</v>
      </c>
      <c r="G324" s="393">
        <v>5279939.76</v>
      </c>
      <c r="H324" s="394">
        <v>0</v>
      </c>
      <c r="I324" s="394">
        <v>12822.65</v>
      </c>
      <c r="J324" s="394">
        <v>5279939.76</v>
      </c>
      <c r="K324" s="570">
        <v>12.3</v>
      </c>
      <c r="L324" s="395">
        <v>99.8</v>
      </c>
      <c r="M324" s="396">
        <v>71.3</v>
      </c>
    </row>
    <row r="325" spans="1:13" ht="15.75">
      <c r="A325" s="1031" t="s">
        <v>1165</v>
      </c>
    </row>
    <row r="326" spans="1:13" ht="13.5">
      <c r="A326" s="188" t="s">
        <v>1158</v>
      </c>
    </row>
  </sheetData>
  <mergeCells count="16">
    <mergeCell ref="K8:M8"/>
    <mergeCell ref="A2:M2"/>
    <mergeCell ref="F4:J4"/>
    <mergeCell ref="K4:M6"/>
    <mergeCell ref="F5:F7"/>
    <mergeCell ref="G5:H5"/>
    <mergeCell ref="I5:I7"/>
    <mergeCell ref="G6:G7"/>
    <mergeCell ref="H6:H7"/>
    <mergeCell ref="J6:J7"/>
    <mergeCell ref="A4:A8"/>
    <mergeCell ref="B4:B8"/>
    <mergeCell ref="C4:C8"/>
    <mergeCell ref="D4:D7"/>
    <mergeCell ref="E4:E7"/>
    <mergeCell ref="E8:J8"/>
  </mergeCells>
  <phoneticPr fontId="0" type="noConversion"/>
  <printOptions horizontalCentered="1"/>
  <pageMargins left="0.31496062992125984" right="0.35433070866141736" top="0.6692913385826772" bottom="0.62992125984251968" header="0.31496062992125984" footer="0.31496062992125984"/>
  <pageSetup paperSize="9" scale="8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rgb="FF92D050"/>
    <pageSetUpPr fitToPage="1"/>
  </sheetPr>
  <dimension ref="A2:I27"/>
  <sheetViews>
    <sheetView showGridLines="0" workbookViewId="0">
      <selection activeCell="M14" sqref="M14"/>
    </sheetView>
  </sheetViews>
  <sheetFormatPr defaultRowHeight="12.75"/>
  <cols>
    <col min="1" max="1" width="5.28515625" customWidth="1"/>
    <col min="2" max="2" width="19.28515625" customWidth="1"/>
    <col min="3" max="3" width="12.7109375" customWidth="1"/>
    <col min="4" max="4" width="13.7109375" bestFit="1" customWidth="1"/>
    <col min="5" max="5" width="13.140625" customWidth="1"/>
    <col min="6" max="6" width="14.5703125" customWidth="1"/>
    <col min="7" max="7" width="13.7109375" customWidth="1"/>
    <col min="8" max="8" width="14" customWidth="1"/>
    <col min="9" max="9" width="15.7109375" customWidth="1"/>
  </cols>
  <sheetData>
    <row r="2" spans="1:9" ht="13.15" customHeight="1">
      <c r="A2" s="2265" t="s">
        <v>975</v>
      </c>
      <c r="B2" s="2265"/>
      <c r="C2" s="2265"/>
      <c r="D2" s="2265"/>
      <c r="E2" s="2265"/>
      <c r="F2" s="2265"/>
      <c r="G2" s="2265"/>
      <c r="H2" s="2265"/>
      <c r="I2" s="2265"/>
    </row>
    <row r="4" spans="1:9" ht="13.15" customHeight="1">
      <c r="A4" s="1899" t="s">
        <v>41</v>
      </c>
      <c r="B4" s="1902" t="s">
        <v>68</v>
      </c>
      <c r="C4" s="1808" t="s">
        <v>959</v>
      </c>
      <c r="D4" s="2171" t="s">
        <v>45</v>
      </c>
      <c r="E4" s="1907" t="s">
        <v>46</v>
      </c>
      <c r="F4" s="1909" t="s">
        <v>47</v>
      </c>
      <c r="G4" s="1905" t="s">
        <v>48</v>
      </c>
      <c r="H4" s="1907" t="s">
        <v>49</v>
      </c>
      <c r="I4" s="1911" t="s">
        <v>50</v>
      </c>
    </row>
    <row r="5" spans="1:9" ht="33" customHeight="1">
      <c r="A5" s="1900"/>
      <c r="B5" s="1903"/>
      <c r="C5" s="1809"/>
      <c r="D5" s="2266"/>
      <c r="E5" s="2267"/>
      <c r="F5" s="2268"/>
      <c r="G5" s="2269"/>
      <c r="H5" s="2267"/>
      <c r="I5" s="2270"/>
    </row>
    <row r="6" spans="1:9" ht="13.5">
      <c r="A6" s="2128"/>
      <c r="B6" s="2259"/>
      <c r="C6" s="1809"/>
      <c r="D6" s="2271" t="s">
        <v>4</v>
      </c>
      <c r="E6" s="2119"/>
      <c r="F6" s="658" t="s">
        <v>5</v>
      </c>
      <c r="G6" s="2118" t="s">
        <v>4</v>
      </c>
      <c r="H6" s="2119"/>
      <c r="I6" s="605" t="s">
        <v>5</v>
      </c>
    </row>
    <row r="7" spans="1:9" s="11" customFormat="1">
      <c r="A7" s="398" t="s">
        <v>887</v>
      </c>
      <c r="B7" s="403" t="s">
        <v>888</v>
      </c>
      <c r="C7" s="428" t="s">
        <v>889</v>
      </c>
      <c r="D7" s="399" t="s">
        <v>890</v>
      </c>
      <c r="E7" s="400" t="s">
        <v>891</v>
      </c>
      <c r="F7" s="401" t="s">
        <v>892</v>
      </c>
      <c r="G7" s="398" t="s">
        <v>893</v>
      </c>
      <c r="H7" s="400" t="s">
        <v>894</v>
      </c>
      <c r="I7" s="402" t="s">
        <v>932</v>
      </c>
    </row>
    <row r="8" spans="1:9" s="11" customFormat="1" ht="19.899999999999999" customHeight="1">
      <c r="A8" s="420"/>
      <c r="B8" s="1563" t="s">
        <v>933</v>
      </c>
      <c r="C8" s="429">
        <v>25754378</v>
      </c>
      <c r="D8" s="182">
        <v>5427666219.1300001</v>
      </c>
      <c r="E8" s="189">
        <v>210.7</v>
      </c>
      <c r="F8" s="191">
        <v>15.9</v>
      </c>
      <c r="G8" s="414">
        <v>5324033138.0500002</v>
      </c>
      <c r="H8" s="189">
        <v>206.7</v>
      </c>
      <c r="I8" s="421">
        <v>15.6</v>
      </c>
    </row>
    <row r="9" spans="1:9" s="11" customFormat="1" ht="19.899999999999999" customHeight="1">
      <c r="A9" s="389" t="s">
        <v>6</v>
      </c>
      <c r="B9" s="193" t="s">
        <v>26</v>
      </c>
      <c r="C9" s="430">
        <v>1962651</v>
      </c>
      <c r="D9" s="185">
        <v>278947044.32999998</v>
      </c>
      <c r="E9" s="190">
        <v>142.13</v>
      </c>
      <c r="F9" s="192">
        <v>10.6</v>
      </c>
      <c r="G9" s="416">
        <v>277801544.32999998</v>
      </c>
      <c r="H9" s="190">
        <v>141.5</v>
      </c>
      <c r="I9" s="422">
        <v>10.6</v>
      </c>
    </row>
    <row r="10" spans="1:9" s="11" customFormat="1" ht="19.899999999999999" customHeight="1">
      <c r="A10" s="389" t="s">
        <v>7</v>
      </c>
      <c r="B10" s="193" t="s">
        <v>42</v>
      </c>
      <c r="C10" s="430">
        <v>1317113</v>
      </c>
      <c r="D10" s="185">
        <v>282746265.63999999</v>
      </c>
      <c r="E10" s="190">
        <v>214.67</v>
      </c>
      <c r="F10" s="192">
        <v>16</v>
      </c>
      <c r="G10" s="416">
        <v>279866265.63999999</v>
      </c>
      <c r="H10" s="190">
        <v>212.5</v>
      </c>
      <c r="I10" s="422">
        <v>15.8</v>
      </c>
    </row>
    <row r="11" spans="1:9" s="11" customFormat="1" ht="19.899999999999999" customHeight="1">
      <c r="A11" s="389" t="s">
        <v>8</v>
      </c>
      <c r="B11" s="193" t="s">
        <v>27</v>
      </c>
      <c r="C11" s="430">
        <v>1575810</v>
      </c>
      <c r="D11" s="185">
        <v>536622133.52999997</v>
      </c>
      <c r="E11" s="190">
        <v>340.54</v>
      </c>
      <c r="F11" s="192">
        <v>23.9</v>
      </c>
      <c r="G11" s="416">
        <v>532652633.52999997</v>
      </c>
      <c r="H11" s="190">
        <v>338</v>
      </c>
      <c r="I11" s="422">
        <v>23.8</v>
      </c>
    </row>
    <row r="12" spans="1:9" s="11" customFormat="1" ht="19.899999999999999" customHeight="1">
      <c r="A12" s="389" t="s">
        <v>9</v>
      </c>
      <c r="B12" s="193" t="s">
        <v>28</v>
      </c>
      <c r="C12" s="430">
        <v>743664</v>
      </c>
      <c r="D12" s="185">
        <v>111085409.90000001</v>
      </c>
      <c r="E12" s="190">
        <v>149.38</v>
      </c>
      <c r="F12" s="192">
        <v>11.5</v>
      </c>
      <c r="G12" s="416">
        <v>109285409.90000001</v>
      </c>
      <c r="H12" s="190">
        <v>147</v>
      </c>
      <c r="I12" s="422">
        <v>11.4</v>
      </c>
    </row>
    <row r="13" spans="1:9" s="11" customFormat="1" ht="19.899999999999999" customHeight="1">
      <c r="A13" s="389" t="s">
        <v>1</v>
      </c>
      <c r="B13" s="193" t="s">
        <v>29</v>
      </c>
      <c r="C13" s="430">
        <v>1645880</v>
      </c>
      <c r="D13" s="185">
        <v>258422718.00999999</v>
      </c>
      <c r="E13" s="190">
        <v>157.01</v>
      </c>
      <c r="F13" s="192">
        <v>12.3</v>
      </c>
      <c r="G13" s="416">
        <v>257422718.00999999</v>
      </c>
      <c r="H13" s="190">
        <v>156.4</v>
      </c>
      <c r="I13" s="422">
        <v>12.3</v>
      </c>
    </row>
    <row r="14" spans="1:9" s="11" customFormat="1" ht="19.899999999999999" customHeight="1">
      <c r="A14" s="389" t="s">
        <v>2</v>
      </c>
      <c r="B14" s="193" t="s">
        <v>30</v>
      </c>
      <c r="C14" s="430">
        <v>2439419</v>
      </c>
      <c r="D14" s="185">
        <v>489355121.42000002</v>
      </c>
      <c r="E14" s="190">
        <v>200.6</v>
      </c>
      <c r="F14" s="192">
        <v>17.2</v>
      </c>
      <c r="G14" s="416">
        <v>488155121.42000002</v>
      </c>
      <c r="H14" s="190">
        <v>200.1</v>
      </c>
      <c r="I14" s="422">
        <v>17.2</v>
      </c>
    </row>
    <row r="15" spans="1:9" s="11" customFormat="1" ht="19.899999999999999" customHeight="1">
      <c r="A15" s="389" t="s">
        <v>10</v>
      </c>
      <c r="B15" s="193" t="s">
        <v>31</v>
      </c>
      <c r="C15" s="430">
        <v>3173829</v>
      </c>
      <c r="D15" s="185">
        <v>856451329.71000004</v>
      </c>
      <c r="E15" s="190">
        <v>269.85000000000002</v>
      </c>
      <c r="F15" s="192">
        <v>19</v>
      </c>
      <c r="G15" s="416">
        <v>824918931.01999998</v>
      </c>
      <c r="H15" s="190">
        <v>259.89999999999998</v>
      </c>
      <c r="I15" s="422">
        <v>18.3</v>
      </c>
    </row>
    <row r="16" spans="1:9" s="11" customFormat="1" ht="19.899999999999999" customHeight="1">
      <c r="A16" s="389" t="s">
        <v>11</v>
      </c>
      <c r="B16" s="193" t="s">
        <v>32</v>
      </c>
      <c r="C16" s="430">
        <v>848935</v>
      </c>
      <c r="D16" s="185">
        <v>116062101.78</v>
      </c>
      <c r="E16" s="190">
        <v>136.71</v>
      </c>
      <c r="F16" s="192">
        <v>11.2</v>
      </c>
      <c r="G16" s="416">
        <v>113520101.78</v>
      </c>
      <c r="H16" s="190">
        <v>133.69999999999999</v>
      </c>
      <c r="I16" s="422">
        <v>11</v>
      </c>
    </row>
    <row r="17" spans="1:9" s="11" customFormat="1" ht="19.899999999999999" customHeight="1">
      <c r="A17" s="389" t="s">
        <v>12</v>
      </c>
      <c r="B17" s="193" t="s">
        <v>33</v>
      </c>
      <c r="C17" s="430">
        <v>1772508</v>
      </c>
      <c r="D17" s="185">
        <v>359209658.61000001</v>
      </c>
      <c r="E17" s="190">
        <v>202.66</v>
      </c>
      <c r="F17" s="192">
        <v>16</v>
      </c>
      <c r="G17" s="416">
        <v>357709658.61000001</v>
      </c>
      <c r="H17" s="190">
        <v>201.8</v>
      </c>
      <c r="I17" s="422">
        <v>16</v>
      </c>
    </row>
    <row r="18" spans="1:9" s="11" customFormat="1" ht="19.899999999999999" customHeight="1">
      <c r="A18" s="389" t="s">
        <v>13</v>
      </c>
      <c r="B18" s="193" t="s">
        <v>34</v>
      </c>
      <c r="C18" s="430">
        <v>744116</v>
      </c>
      <c r="D18" s="185">
        <v>262230292.06</v>
      </c>
      <c r="E18" s="190">
        <v>352.41</v>
      </c>
      <c r="F18" s="192">
        <v>25.6</v>
      </c>
      <c r="G18" s="416">
        <v>260230292.06</v>
      </c>
      <c r="H18" s="190">
        <v>349.7</v>
      </c>
      <c r="I18" s="422">
        <v>25.5</v>
      </c>
    </row>
    <row r="19" spans="1:9" s="11" customFormat="1" ht="19.899999999999999" customHeight="1">
      <c r="A19" s="389" t="s">
        <v>14</v>
      </c>
      <c r="B19" s="193" t="s">
        <v>35</v>
      </c>
      <c r="C19" s="430">
        <v>1505831</v>
      </c>
      <c r="D19" s="185">
        <v>271520556.19999999</v>
      </c>
      <c r="E19" s="190">
        <v>180.31</v>
      </c>
      <c r="F19" s="192">
        <v>13</v>
      </c>
      <c r="G19" s="416">
        <v>263988973.81</v>
      </c>
      <c r="H19" s="190">
        <v>175.3</v>
      </c>
      <c r="I19" s="422">
        <v>12.7</v>
      </c>
    </row>
    <row r="20" spans="1:9" s="11" customFormat="1" ht="19.899999999999999" customHeight="1">
      <c r="A20" s="389" t="s">
        <v>15</v>
      </c>
      <c r="B20" s="193" t="s">
        <v>36</v>
      </c>
      <c r="C20" s="430">
        <v>1994235</v>
      </c>
      <c r="D20" s="185">
        <v>337872082.98000002</v>
      </c>
      <c r="E20" s="190">
        <v>169.42</v>
      </c>
      <c r="F20" s="192">
        <v>14.6</v>
      </c>
      <c r="G20" s="416">
        <v>330983182.98000002</v>
      </c>
      <c r="H20" s="190">
        <v>166</v>
      </c>
      <c r="I20" s="422">
        <v>14.3</v>
      </c>
    </row>
    <row r="21" spans="1:9" s="11" customFormat="1" ht="19.899999999999999" customHeight="1">
      <c r="A21" s="389" t="s">
        <v>16</v>
      </c>
      <c r="B21" s="193" t="s">
        <v>37</v>
      </c>
      <c r="C21" s="430">
        <v>1031211</v>
      </c>
      <c r="D21" s="185">
        <v>192052263.30000001</v>
      </c>
      <c r="E21" s="190">
        <v>186.24</v>
      </c>
      <c r="F21" s="192">
        <v>13.3</v>
      </c>
      <c r="G21" s="416">
        <v>189772263.30000001</v>
      </c>
      <c r="H21" s="190">
        <v>184</v>
      </c>
      <c r="I21" s="422">
        <v>13.2</v>
      </c>
    </row>
    <row r="22" spans="1:9" s="11" customFormat="1" ht="19.899999999999999" customHeight="1">
      <c r="A22" s="389" t="s">
        <v>17</v>
      </c>
      <c r="B22" s="193" t="s">
        <v>43</v>
      </c>
      <c r="C22" s="430">
        <v>1126664</v>
      </c>
      <c r="D22" s="185">
        <v>232072777.11000001</v>
      </c>
      <c r="E22" s="190">
        <v>205.98</v>
      </c>
      <c r="F22" s="192">
        <v>13.3</v>
      </c>
      <c r="G22" s="416">
        <v>227327777.11000001</v>
      </c>
      <c r="H22" s="190">
        <v>201.8</v>
      </c>
      <c r="I22" s="422">
        <v>13</v>
      </c>
    </row>
    <row r="23" spans="1:9" ht="19.899999999999999" customHeight="1">
      <c r="A23" s="389" t="s">
        <v>18</v>
      </c>
      <c r="B23" s="193" t="s">
        <v>38</v>
      </c>
      <c r="C23" s="430">
        <v>2729903</v>
      </c>
      <c r="D23" s="185">
        <v>624799139.79999995</v>
      </c>
      <c r="E23" s="190">
        <v>228.87</v>
      </c>
      <c r="F23" s="192">
        <v>17.899999999999999</v>
      </c>
      <c r="G23" s="416">
        <v>598324939.79999995</v>
      </c>
      <c r="H23" s="190">
        <v>219.2</v>
      </c>
      <c r="I23" s="422">
        <v>17.100000000000001</v>
      </c>
    </row>
    <row r="24" spans="1:9" ht="19.899999999999999" customHeight="1">
      <c r="A24" s="392" t="s">
        <v>19</v>
      </c>
      <c r="B24" s="427" t="s">
        <v>39</v>
      </c>
      <c r="C24" s="431">
        <v>1142609</v>
      </c>
      <c r="D24" s="393">
        <v>218217324.75</v>
      </c>
      <c r="E24" s="423">
        <v>190.98</v>
      </c>
      <c r="F24" s="424">
        <v>12.4</v>
      </c>
      <c r="G24" s="418">
        <v>212073324.75</v>
      </c>
      <c r="H24" s="423">
        <v>185.6</v>
      </c>
      <c r="I24" s="425">
        <v>12</v>
      </c>
    </row>
    <row r="26" spans="1:9" ht="13.5">
      <c r="A26" s="106" t="s">
        <v>934</v>
      </c>
      <c r="B26" s="106" t="s">
        <v>935</v>
      </c>
      <c r="C26" s="106"/>
      <c r="D26" s="106"/>
      <c r="E26" s="106"/>
      <c r="F26" s="106"/>
      <c r="G26" s="106"/>
      <c r="H26" s="106"/>
      <c r="I26" s="106"/>
    </row>
    <row r="27" spans="1:9" ht="13.5">
      <c r="A27" s="106"/>
      <c r="B27" s="106" t="s">
        <v>936</v>
      </c>
      <c r="C27" s="106"/>
      <c r="D27" s="106"/>
      <c r="E27" s="106"/>
      <c r="F27" s="106"/>
      <c r="G27" s="106"/>
      <c r="H27" s="106"/>
      <c r="I27" s="106"/>
    </row>
  </sheetData>
  <mergeCells count="12">
    <mergeCell ref="A2:I2"/>
    <mergeCell ref="A4:A6"/>
    <mergeCell ref="B4:B6"/>
    <mergeCell ref="D4:D5"/>
    <mergeCell ref="E4:E5"/>
    <mergeCell ref="C4:C6"/>
    <mergeCell ref="F4:F5"/>
    <mergeCell ref="G4:G5"/>
    <mergeCell ref="H4:H5"/>
    <mergeCell ref="I4:I5"/>
    <mergeCell ref="D6:E6"/>
    <mergeCell ref="G6:H6"/>
  </mergeCells>
  <phoneticPr fontId="0" type="noConversion"/>
  <pageMargins left="0.62" right="0.75" top="0.86" bottom="1" header="0.5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  <pageSetUpPr fitToPage="1"/>
  </sheetPr>
  <dimension ref="A1:I26"/>
  <sheetViews>
    <sheetView showGridLines="0" zoomScaleNormal="100" workbookViewId="0">
      <selection activeCell="O3" sqref="O3"/>
    </sheetView>
  </sheetViews>
  <sheetFormatPr defaultColWidth="9.140625" defaultRowHeight="12.75"/>
  <cols>
    <col min="1" max="1" width="5.85546875" style="12" customWidth="1"/>
    <col min="2" max="2" width="15.7109375" style="12" customWidth="1"/>
    <col min="3" max="4" width="12.42578125" style="12" bestFit="1" customWidth="1"/>
    <col min="5" max="5" width="10.5703125" style="12" bestFit="1" customWidth="1"/>
    <col min="6" max="6" width="12.42578125" style="12" bestFit="1" customWidth="1"/>
    <col min="7" max="7" width="7.140625" style="12" bestFit="1" customWidth="1"/>
    <col min="8" max="8" width="7.42578125" style="12" bestFit="1" customWidth="1"/>
    <col min="9" max="9" width="10.7109375" style="12" customWidth="1"/>
    <col min="10" max="16384" width="9.140625" style="12"/>
  </cols>
  <sheetData>
    <row r="1" spans="1:9" ht="26.25" customHeight="1">
      <c r="A1" s="1847" t="s">
        <v>1157</v>
      </c>
      <c r="B1" s="1847"/>
      <c r="C1" s="1847"/>
      <c r="D1" s="1847"/>
      <c r="E1" s="1847"/>
      <c r="F1" s="1847"/>
      <c r="G1" s="1847"/>
      <c r="H1" s="1847"/>
      <c r="I1" s="1847"/>
    </row>
    <row r="2" spans="1:9" ht="22.5" customHeight="1"/>
    <row r="3" spans="1:9" ht="13.5" customHeight="1">
      <c r="A3" s="1798" t="s">
        <v>41</v>
      </c>
      <c r="B3" s="1801" t="s">
        <v>68</v>
      </c>
      <c r="C3" s="1857" t="s">
        <v>1036</v>
      </c>
      <c r="D3" s="1859" t="s">
        <v>1037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9.25" customHeight="1">
      <c r="A4" s="1799"/>
      <c r="B4" s="1802"/>
      <c r="C4" s="1858"/>
      <c r="D4" s="1860"/>
      <c r="E4" s="326" t="s">
        <v>24</v>
      </c>
      <c r="F4" s="330" t="s">
        <v>25</v>
      </c>
      <c r="G4" s="1856"/>
      <c r="H4" s="326" t="s">
        <v>931</v>
      </c>
      <c r="I4" s="1849"/>
    </row>
    <row r="5" spans="1:9" ht="13.5">
      <c r="A5" s="1800"/>
      <c r="B5" s="1803"/>
      <c r="C5" s="1850" t="s">
        <v>885</v>
      </c>
      <c r="D5" s="1806"/>
      <c r="E5" s="1806"/>
      <c r="F5" s="1807"/>
      <c r="G5" s="1853" t="s">
        <v>886</v>
      </c>
      <c r="H5" s="1854"/>
      <c r="I5" s="322" t="s">
        <v>885</v>
      </c>
    </row>
    <row r="6" spans="1:9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s="1" customFormat="1" ht="19.899999999999999" customHeight="1">
      <c r="A7" s="231"/>
      <c r="B7" s="76" t="s">
        <v>933</v>
      </c>
      <c r="C7" s="567">
        <v>63582263264.010002</v>
      </c>
      <c r="D7" s="159">
        <v>63086584137.209999</v>
      </c>
      <c r="E7" s="158">
        <v>141694061.52000001</v>
      </c>
      <c r="F7" s="332">
        <v>62944890075.690002</v>
      </c>
      <c r="G7" s="328">
        <v>100</v>
      </c>
      <c r="H7" s="150">
        <v>99.2</v>
      </c>
      <c r="I7" s="232">
        <v>1648.7</v>
      </c>
    </row>
    <row r="8" spans="1:9" s="1" customFormat="1" ht="19.899999999999999" customHeight="1">
      <c r="A8" s="233" t="s">
        <v>6</v>
      </c>
      <c r="B8" s="246" t="s">
        <v>26</v>
      </c>
      <c r="C8" s="568">
        <v>4405622838.8299999</v>
      </c>
      <c r="D8" s="160">
        <v>4400824135.0100002</v>
      </c>
      <c r="E8" s="155">
        <v>11700644.310000001</v>
      </c>
      <c r="F8" s="334">
        <v>4389123490.6999998</v>
      </c>
      <c r="G8" s="64">
        <v>7</v>
      </c>
      <c r="H8" s="157">
        <v>99.9</v>
      </c>
      <c r="I8" s="234">
        <v>1522.1</v>
      </c>
    </row>
    <row r="9" spans="1:9" s="1" customFormat="1" ht="19.899999999999999" customHeight="1">
      <c r="A9" s="233" t="s">
        <v>7</v>
      </c>
      <c r="B9" s="246" t="s">
        <v>42</v>
      </c>
      <c r="C9" s="568">
        <v>3583036701.4400001</v>
      </c>
      <c r="D9" s="160">
        <v>3556706281.1999998</v>
      </c>
      <c r="E9" s="155">
        <v>5078726.63</v>
      </c>
      <c r="F9" s="334">
        <v>3551627554.5699997</v>
      </c>
      <c r="G9" s="64">
        <v>5.7</v>
      </c>
      <c r="H9" s="157">
        <v>99.3</v>
      </c>
      <c r="I9" s="234">
        <v>1724.9</v>
      </c>
    </row>
    <row r="10" spans="1:9" s="1" customFormat="1" ht="19.899999999999999" customHeight="1">
      <c r="A10" s="233" t="s">
        <v>8</v>
      </c>
      <c r="B10" s="246" t="s">
        <v>27</v>
      </c>
      <c r="C10" s="568">
        <v>3559273870.4200001</v>
      </c>
      <c r="D10" s="160">
        <v>3522871843.1900001</v>
      </c>
      <c r="E10" s="155">
        <v>5115542.1900000004</v>
      </c>
      <c r="F10" s="334">
        <v>3517756301</v>
      </c>
      <c r="G10" s="64">
        <v>5.6</v>
      </c>
      <c r="H10" s="157">
        <v>99</v>
      </c>
      <c r="I10" s="234">
        <v>1681.4</v>
      </c>
    </row>
    <row r="11" spans="1:9" s="1" customFormat="1" ht="19.899999999999999" customHeight="1">
      <c r="A11" s="233" t="s">
        <v>9</v>
      </c>
      <c r="B11" s="246" t="s">
        <v>28</v>
      </c>
      <c r="C11" s="568">
        <v>1743174484.5799999</v>
      </c>
      <c r="D11" s="160">
        <v>1719605822.53</v>
      </c>
      <c r="E11" s="155">
        <v>8304022.4800000004</v>
      </c>
      <c r="F11" s="334">
        <v>1711301800.05</v>
      </c>
      <c r="G11" s="64">
        <v>2.7</v>
      </c>
      <c r="H11" s="157">
        <v>98.6</v>
      </c>
      <c r="I11" s="234">
        <v>1707.4</v>
      </c>
    </row>
    <row r="12" spans="1:9" s="1" customFormat="1" ht="19.899999999999999" customHeight="1">
      <c r="A12" s="233" t="s">
        <v>1</v>
      </c>
      <c r="B12" s="246" t="s">
        <v>29</v>
      </c>
      <c r="C12" s="568">
        <v>3849612128.1599998</v>
      </c>
      <c r="D12" s="160">
        <v>3813530641.5900002</v>
      </c>
      <c r="E12" s="155">
        <v>13225132.01</v>
      </c>
      <c r="F12" s="334">
        <v>3800305509.5799999</v>
      </c>
      <c r="G12" s="64">
        <v>6</v>
      </c>
      <c r="H12" s="157">
        <v>99.1</v>
      </c>
      <c r="I12" s="234">
        <v>1564.2</v>
      </c>
    </row>
    <row r="13" spans="1:9" s="1" customFormat="1" ht="19.899999999999999" customHeight="1">
      <c r="A13" s="233" t="s">
        <v>2</v>
      </c>
      <c r="B13" s="246" t="s">
        <v>30</v>
      </c>
      <c r="C13" s="568">
        <v>5630615886.9499998</v>
      </c>
      <c r="D13" s="160">
        <v>5552376471.7299995</v>
      </c>
      <c r="E13" s="155">
        <v>3537785.62</v>
      </c>
      <c r="F13" s="334">
        <v>5548838686.1099997</v>
      </c>
      <c r="G13" s="64">
        <v>8.8000000000000007</v>
      </c>
      <c r="H13" s="157">
        <v>98.6</v>
      </c>
      <c r="I13" s="234">
        <v>1628.1</v>
      </c>
    </row>
    <row r="14" spans="1:9" s="1" customFormat="1" ht="19.899999999999999" customHeight="1">
      <c r="A14" s="233" t="s">
        <v>10</v>
      </c>
      <c r="B14" s="246" t="s">
        <v>31</v>
      </c>
      <c r="C14" s="568">
        <v>9118297123.9799995</v>
      </c>
      <c r="D14" s="160">
        <v>9059903300.3700008</v>
      </c>
      <c r="E14" s="155">
        <v>6745376.8200000003</v>
      </c>
      <c r="F14" s="334">
        <v>9053157923.5500011</v>
      </c>
      <c r="G14" s="64">
        <v>14.4</v>
      </c>
      <c r="H14" s="157">
        <v>99.4</v>
      </c>
      <c r="I14" s="234">
        <v>1670</v>
      </c>
    </row>
    <row r="15" spans="1:9" s="1" customFormat="1" ht="19.899999999999999" customHeight="1">
      <c r="A15" s="233" t="s">
        <v>11</v>
      </c>
      <c r="B15" s="246" t="s">
        <v>32</v>
      </c>
      <c r="C15" s="568">
        <v>1440232263.8699999</v>
      </c>
      <c r="D15" s="160">
        <v>1420842672.3</v>
      </c>
      <c r="E15" s="155">
        <v>3103732.79</v>
      </c>
      <c r="F15" s="334">
        <v>1417738939.51</v>
      </c>
      <c r="G15" s="64">
        <v>2.2999999999999998</v>
      </c>
      <c r="H15" s="157">
        <v>98.7</v>
      </c>
      <c r="I15" s="234">
        <v>1454.6</v>
      </c>
    </row>
    <row r="16" spans="1:9" s="1" customFormat="1" ht="19.899999999999999" customHeight="1">
      <c r="A16" s="233" t="s">
        <v>12</v>
      </c>
      <c r="B16" s="246" t="s">
        <v>33</v>
      </c>
      <c r="C16" s="568">
        <v>3754221887.3600001</v>
      </c>
      <c r="D16" s="160">
        <v>3725681725.4499998</v>
      </c>
      <c r="E16" s="155">
        <v>8549501.5600000005</v>
      </c>
      <c r="F16" s="334">
        <v>3717132223.8899999</v>
      </c>
      <c r="G16" s="64">
        <v>5.9</v>
      </c>
      <c r="H16" s="157">
        <v>99.2</v>
      </c>
      <c r="I16" s="234">
        <v>1756.4</v>
      </c>
    </row>
    <row r="17" spans="1:9" s="1" customFormat="1" ht="19.899999999999999" customHeight="1">
      <c r="A17" s="233" t="s">
        <v>13</v>
      </c>
      <c r="B17" s="246" t="s">
        <v>34</v>
      </c>
      <c r="C17" s="568">
        <v>1972740182.8399999</v>
      </c>
      <c r="D17" s="160">
        <v>1962784187.21</v>
      </c>
      <c r="E17" s="155">
        <v>5338997.58</v>
      </c>
      <c r="F17" s="334">
        <v>1957445189.6300001</v>
      </c>
      <c r="G17" s="64">
        <v>3.1</v>
      </c>
      <c r="H17" s="157">
        <v>99.5</v>
      </c>
      <c r="I17" s="234">
        <v>1672.9</v>
      </c>
    </row>
    <row r="18" spans="1:9" s="1" customFormat="1" ht="19.899999999999999" customHeight="1">
      <c r="A18" s="233" t="s">
        <v>14</v>
      </c>
      <c r="B18" s="246" t="s">
        <v>35</v>
      </c>
      <c r="C18" s="568">
        <v>4321389923.5299997</v>
      </c>
      <c r="D18" s="160">
        <v>4308493865.8199997</v>
      </c>
      <c r="E18" s="155">
        <v>6759949.7599999998</v>
      </c>
      <c r="F18" s="334">
        <v>4301733916.0599995</v>
      </c>
      <c r="G18" s="64">
        <v>6.8</v>
      </c>
      <c r="H18" s="157">
        <v>99.7</v>
      </c>
      <c r="I18" s="234">
        <v>1836</v>
      </c>
    </row>
    <row r="19" spans="1:9" s="1" customFormat="1" ht="19.899999999999999" customHeight="1">
      <c r="A19" s="233" t="s">
        <v>15</v>
      </c>
      <c r="B19" s="246" t="s">
        <v>36</v>
      </c>
      <c r="C19" s="568">
        <v>6681643115.2799997</v>
      </c>
      <c r="D19" s="160">
        <v>6622412124.4200001</v>
      </c>
      <c r="E19" s="155">
        <v>6244316.4400000004</v>
      </c>
      <c r="F19" s="334">
        <v>6616167807.9800005</v>
      </c>
      <c r="G19" s="64">
        <v>10.5</v>
      </c>
      <c r="H19" s="157">
        <v>99.1</v>
      </c>
      <c r="I19" s="234">
        <v>1474.2</v>
      </c>
    </row>
    <row r="20" spans="1:9" s="1" customFormat="1" ht="19.899999999999999" customHeight="1">
      <c r="A20" s="233" t="s">
        <v>16</v>
      </c>
      <c r="B20" s="246" t="s">
        <v>37</v>
      </c>
      <c r="C20" s="568">
        <v>2036333521.8900001</v>
      </c>
      <c r="D20" s="160">
        <v>2025831710.3</v>
      </c>
      <c r="E20" s="155">
        <v>6199854.71</v>
      </c>
      <c r="F20" s="334">
        <v>2019631855.5899999</v>
      </c>
      <c r="G20" s="64">
        <v>3.2</v>
      </c>
      <c r="H20" s="157">
        <v>99.5</v>
      </c>
      <c r="I20" s="234">
        <v>1654.2</v>
      </c>
    </row>
    <row r="21" spans="1:9" s="1" customFormat="1" ht="19.899999999999999" customHeight="1">
      <c r="A21" s="233" t="s">
        <v>17</v>
      </c>
      <c r="B21" s="246" t="s">
        <v>43</v>
      </c>
      <c r="C21" s="568">
        <v>2591125266.5599999</v>
      </c>
      <c r="D21" s="160">
        <v>2550892982.0900002</v>
      </c>
      <c r="E21" s="155">
        <v>18073324.870000001</v>
      </c>
      <c r="F21" s="334">
        <v>2532819657.2200003</v>
      </c>
      <c r="G21" s="64">
        <v>4</v>
      </c>
      <c r="H21" s="157">
        <v>98.4</v>
      </c>
      <c r="I21" s="234">
        <v>1800.8</v>
      </c>
    </row>
    <row r="22" spans="1:9" s="1" customFormat="1" ht="19.899999999999999" customHeight="1">
      <c r="A22" s="233" t="s">
        <v>18</v>
      </c>
      <c r="B22" s="246" t="s">
        <v>38</v>
      </c>
      <c r="C22" s="568">
        <v>6186571093.0699997</v>
      </c>
      <c r="D22" s="160">
        <v>6167551224.79</v>
      </c>
      <c r="E22" s="155">
        <v>17229492.760000002</v>
      </c>
      <c r="F22" s="334">
        <v>6150321732.0299997</v>
      </c>
      <c r="G22" s="64">
        <v>9.8000000000000007</v>
      </c>
      <c r="H22" s="157">
        <v>99.7</v>
      </c>
      <c r="I22" s="234">
        <v>1763.9</v>
      </c>
    </row>
    <row r="23" spans="1:9" s="1" customFormat="1" ht="19.899999999999999" customHeight="1">
      <c r="A23" s="235" t="s">
        <v>19</v>
      </c>
      <c r="B23" s="247" t="s">
        <v>39</v>
      </c>
      <c r="C23" s="569">
        <v>2708372975.25</v>
      </c>
      <c r="D23" s="151">
        <v>2676275149.21</v>
      </c>
      <c r="E23" s="149">
        <v>16487660.99</v>
      </c>
      <c r="F23" s="336">
        <v>2659787488.2200003</v>
      </c>
      <c r="G23" s="329">
        <v>4.2</v>
      </c>
      <c r="H23" s="130">
        <v>98.8</v>
      </c>
      <c r="I23" s="238">
        <v>1585.4</v>
      </c>
    </row>
    <row r="24" spans="1:9">
      <c r="G24" s="338" t="s">
        <v>3</v>
      </c>
    </row>
    <row r="25" spans="1:9" s="1" customFormat="1" ht="13.5">
      <c r="A25" s="91" t="s">
        <v>934</v>
      </c>
      <c r="B25" s="92" t="s">
        <v>1159</v>
      </c>
      <c r="C25" s="91"/>
      <c r="D25" s="91"/>
      <c r="E25" s="91"/>
      <c r="F25" s="91"/>
      <c r="G25" s="91"/>
      <c r="H25" s="91"/>
      <c r="I25" s="91"/>
    </row>
    <row r="26" spans="1:9" s="1" customFormat="1" ht="13.5">
      <c r="A26" s="91"/>
      <c r="B26" s="92" t="s">
        <v>936</v>
      </c>
      <c r="C26" s="91"/>
      <c r="D26" s="91"/>
      <c r="E26" s="91"/>
      <c r="F26" s="91"/>
      <c r="G26" s="91"/>
      <c r="H26" s="91"/>
      <c r="I26" s="91"/>
    </row>
  </sheetData>
  <mergeCells count="10">
    <mergeCell ref="A1:I1"/>
    <mergeCell ref="I3:I4"/>
    <mergeCell ref="C5:F5"/>
    <mergeCell ref="E3:F3"/>
    <mergeCell ref="A3:A5"/>
    <mergeCell ref="B3:B5"/>
    <mergeCell ref="G5:H5"/>
    <mergeCell ref="G3:G4"/>
    <mergeCell ref="C3:C4"/>
    <mergeCell ref="D3:D4"/>
  </mergeCells>
  <phoneticPr fontId="0" type="noConversion"/>
  <printOptions horizontalCentered="1"/>
  <pageMargins left="0.62" right="0.70866141732283472" top="1.1000000000000001" bottom="0.98425196850393704" header="0.51181102362204722" footer="0.51181102362204722"/>
  <pageSetup paperSize="9" scale="95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showGridLines="0" zoomScaleNormal="100" workbookViewId="0">
      <selection activeCell="N14" sqref="N14"/>
    </sheetView>
  </sheetViews>
  <sheetFormatPr defaultRowHeight="12.75"/>
  <cols>
    <col min="1" max="1" width="6.5703125" customWidth="1"/>
    <col min="2" max="2" width="51.7109375" customWidth="1"/>
    <col min="3" max="4" width="12.5703125" bestFit="1" customWidth="1"/>
    <col min="5" max="5" width="12.28515625" customWidth="1"/>
    <col min="6" max="6" width="11.7109375" bestFit="1" customWidth="1"/>
    <col min="7" max="7" width="13.5703125" customWidth="1"/>
    <col min="8" max="8" width="12.85546875" customWidth="1"/>
    <col min="9" max="9" width="11.7109375" bestFit="1" customWidth="1"/>
    <col min="10" max="10" width="13.28515625" customWidth="1"/>
  </cols>
  <sheetData>
    <row r="1" spans="1:10">
      <c r="A1" s="1889" t="s">
        <v>978</v>
      </c>
      <c r="B1" s="1889"/>
      <c r="C1" s="1889"/>
      <c r="D1" s="1889"/>
      <c r="E1" s="1889"/>
      <c r="F1" s="1889"/>
      <c r="G1" s="1889"/>
      <c r="H1" s="1889"/>
      <c r="I1" s="1889"/>
      <c r="J1" s="1889"/>
    </row>
    <row r="2" spans="1:10" ht="13.5">
      <c r="A2" s="181"/>
      <c r="B2" s="179"/>
      <c r="C2" s="180"/>
      <c r="D2" s="180"/>
      <c r="E2" s="180"/>
      <c r="F2" s="180"/>
      <c r="G2" s="180"/>
      <c r="H2" s="180"/>
      <c r="I2" s="180"/>
      <c r="J2" s="180"/>
    </row>
    <row r="3" spans="1:10" ht="13.5">
      <c r="A3" s="1899" t="s">
        <v>881</v>
      </c>
      <c r="B3" s="1902" t="s">
        <v>68</v>
      </c>
      <c r="C3" s="1899" t="s">
        <v>0</v>
      </c>
      <c r="D3" s="2129" t="s">
        <v>21</v>
      </c>
      <c r="E3" s="2129"/>
      <c r="F3" s="2129"/>
      <c r="G3" s="2129"/>
      <c r="H3" s="2129"/>
      <c r="I3" s="2129"/>
      <c r="J3" s="2130"/>
    </row>
    <row r="4" spans="1:10" ht="13.5">
      <c r="A4" s="1900"/>
      <c r="B4" s="1903"/>
      <c r="C4" s="1900"/>
      <c r="D4" s="2131" t="s">
        <v>739</v>
      </c>
      <c r="E4" s="2133" t="s">
        <v>734</v>
      </c>
      <c r="F4" s="2134"/>
      <c r="G4" s="2134"/>
      <c r="H4" s="2135"/>
      <c r="I4" s="2136" t="s">
        <v>740</v>
      </c>
      <c r="J4" s="571" t="s">
        <v>734</v>
      </c>
    </row>
    <row r="5" spans="1:10" ht="13.15" customHeight="1">
      <c r="A5" s="1900"/>
      <c r="B5" s="1903"/>
      <c r="C5" s="1900"/>
      <c r="D5" s="2131"/>
      <c r="E5" s="2132" t="s">
        <v>1162</v>
      </c>
      <c r="F5" s="2131" t="s">
        <v>1163</v>
      </c>
      <c r="G5" s="2131" t="s">
        <v>1164</v>
      </c>
      <c r="H5" s="2132" t="s">
        <v>976</v>
      </c>
      <c r="I5" s="2136"/>
      <c r="J5" s="2139" t="s">
        <v>977</v>
      </c>
    </row>
    <row r="6" spans="1:10" ht="28.9" customHeight="1">
      <c r="A6" s="1900"/>
      <c r="B6" s="1903"/>
      <c r="C6" s="2128"/>
      <c r="D6" s="2132"/>
      <c r="E6" s="2138"/>
      <c r="F6" s="2132"/>
      <c r="G6" s="2132"/>
      <c r="H6" s="2138"/>
      <c r="I6" s="2137"/>
      <c r="J6" s="2140"/>
    </row>
    <row r="7" spans="1:10" ht="13.5">
      <c r="A7" s="2128"/>
      <c r="B7" s="2259"/>
      <c r="C7" s="2141" t="s">
        <v>885</v>
      </c>
      <c r="D7" s="2142"/>
      <c r="E7" s="2142"/>
      <c r="F7" s="2142"/>
      <c r="G7" s="2142"/>
      <c r="H7" s="2142"/>
      <c r="I7" s="2142"/>
      <c r="J7" s="2143"/>
    </row>
    <row r="8" spans="1:10">
      <c r="A8" s="398" t="s">
        <v>887</v>
      </c>
      <c r="B8" s="606" t="s">
        <v>888</v>
      </c>
      <c r="C8" s="398" t="s">
        <v>889</v>
      </c>
      <c r="D8" s="398" t="s">
        <v>890</v>
      </c>
      <c r="E8" s="398" t="s">
        <v>891</v>
      </c>
      <c r="F8" s="398" t="s">
        <v>892</v>
      </c>
      <c r="G8" s="398" t="s">
        <v>893</v>
      </c>
      <c r="H8" s="398" t="s">
        <v>894</v>
      </c>
      <c r="I8" s="398" t="s">
        <v>932</v>
      </c>
      <c r="J8" s="428" t="s">
        <v>966</v>
      </c>
    </row>
    <row r="9" spans="1:10" ht="19.899999999999999" customHeight="1">
      <c r="A9" s="387"/>
      <c r="B9" s="1565" t="s">
        <v>933</v>
      </c>
      <c r="C9" s="414">
        <v>34172719054.970001</v>
      </c>
      <c r="D9" s="183">
        <v>28745052835.84</v>
      </c>
      <c r="E9" s="183">
        <v>17941322161.650002</v>
      </c>
      <c r="F9" s="183">
        <v>2124722530.77</v>
      </c>
      <c r="G9" s="183">
        <v>1136171026.3299999</v>
      </c>
      <c r="H9" s="183">
        <v>743124267.5</v>
      </c>
      <c r="I9" s="183">
        <v>5427666219.1300001</v>
      </c>
      <c r="J9" s="415">
        <v>841970128.61000001</v>
      </c>
    </row>
    <row r="10" spans="1:10" ht="19.899999999999999" customHeight="1">
      <c r="A10" s="389" t="s">
        <v>895</v>
      </c>
      <c r="B10" s="404" t="s">
        <v>99</v>
      </c>
      <c r="C10" s="416">
        <v>182909864.59</v>
      </c>
      <c r="D10" s="186">
        <v>75347880.480000004</v>
      </c>
      <c r="E10" s="186">
        <v>6182697.6600000001</v>
      </c>
      <c r="F10" s="186">
        <v>3119571.73</v>
      </c>
      <c r="G10" s="186">
        <v>697245.84</v>
      </c>
      <c r="H10" s="186">
        <v>59321666.090000004</v>
      </c>
      <c r="I10" s="186">
        <v>107561984.11</v>
      </c>
      <c r="J10" s="417">
        <v>101339422.02</v>
      </c>
    </row>
    <row r="11" spans="1:10" ht="19.899999999999999" customHeight="1">
      <c r="A11" s="389" t="s">
        <v>896</v>
      </c>
      <c r="B11" s="404" t="s">
        <v>100</v>
      </c>
      <c r="C11" s="416">
        <v>83340829.900000006</v>
      </c>
      <c r="D11" s="186">
        <v>83260829.900000006</v>
      </c>
      <c r="E11" s="186">
        <v>7610372.4100000001</v>
      </c>
      <c r="F11" s="186">
        <v>1335210.5900000001</v>
      </c>
      <c r="G11" s="186">
        <v>49242745.780000001</v>
      </c>
      <c r="H11" s="186">
        <v>0</v>
      </c>
      <c r="I11" s="186">
        <v>80000</v>
      </c>
      <c r="J11" s="417">
        <v>0</v>
      </c>
    </row>
    <row r="12" spans="1:10" ht="19.899999999999999" customHeight="1">
      <c r="A12" s="389" t="s">
        <v>897</v>
      </c>
      <c r="B12" s="404" t="s">
        <v>101</v>
      </c>
      <c r="C12" s="416">
        <v>491084.71</v>
      </c>
      <c r="D12" s="186">
        <v>132141.62</v>
      </c>
      <c r="E12" s="186">
        <v>0</v>
      </c>
      <c r="F12" s="186">
        <v>0</v>
      </c>
      <c r="G12" s="186">
        <v>960</v>
      </c>
      <c r="H12" s="186">
        <v>40000</v>
      </c>
      <c r="I12" s="186">
        <v>358943.09</v>
      </c>
      <c r="J12" s="417">
        <v>358943.09</v>
      </c>
    </row>
    <row r="13" spans="1:10" ht="19.899999999999999" customHeight="1">
      <c r="A13" s="389" t="s">
        <v>898</v>
      </c>
      <c r="B13" s="404" t="s">
        <v>126</v>
      </c>
      <c r="C13" s="416">
        <v>344269.08</v>
      </c>
      <c r="D13" s="186">
        <v>344269.08</v>
      </c>
      <c r="E13" s="186">
        <v>332361.25</v>
      </c>
      <c r="F13" s="186">
        <v>0</v>
      </c>
      <c r="G13" s="186">
        <v>0</v>
      </c>
      <c r="H13" s="186">
        <v>0</v>
      </c>
      <c r="I13" s="186">
        <v>0</v>
      </c>
      <c r="J13" s="417">
        <v>0</v>
      </c>
    </row>
    <row r="14" spans="1:10" ht="19.899999999999999" customHeight="1">
      <c r="A14" s="389" t="s">
        <v>899</v>
      </c>
      <c r="B14" s="404" t="s">
        <v>102</v>
      </c>
      <c r="C14" s="416">
        <v>12839221.73</v>
      </c>
      <c r="D14" s="186">
        <v>10808163.48</v>
      </c>
      <c r="E14" s="186">
        <v>267649.68</v>
      </c>
      <c r="F14" s="186">
        <v>0</v>
      </c>
      <c r="G14" s="186">
        <v>0</v>
      </c>
      <c r="H14" s="186">
        <v>10211014.279999999</v>
      </c>
      <c r="I14" s="186">
        <v>2031058.25</v>
      </c>
      <c r="J14" s="417">
        <v>0</v>
      </c>
    </row>
    <row r="15" spans="1:10" ht="13.5">
      <c r="A15" s="389" t="s">
        <v>900</v>
      </c>
      <c r="B15" s="404" t="s">
        <v>103</v>
      </c>
      <c r="C15" s="416">
        <v>407852.79</v>
      </c>
      <c r="D15" s="186">
        <v>67852.789999999994</v>
      </c>
      <c r="E15" s="186">
        <v>2706.29</v>
      </c>
      <c r="F15" s="186">
        <v>0</v>
      </c>
      <c r="G15" s="186">
        <v>0</v>
      </c>
      <c r="H15" s="186">
        <v>0</v>
      </c>
      <c r="I15" s="186">
        <v>340000</v>
      </c>
      <c r="J15" s="417">
        <v>0</v>
      </c>
    </row>
    <row r="16" spans="1:10" ht="19.899999999999999" customHeight="1">
      <c r="A16" s="389" t="s">
        <v>902</v>
      </c>
      <c r="B16" s="404" t="s">
        <v>354</v>
      </c>
      <c r="C16" s="416">
        <v>668902.36</v>
      </c>
      <c r="D16" s="186">
        <v>668902.36</v>
      </c>
      <c r="E16" s="186">
        <v>454350.1</v>
      </c>
      <c r="F16" s="186">
        <v>0</v>
      </c>
      <c r="G16" s="186">
        <v>0</v>
      </c>
      <c r="H16" s="186">
        <v>0</v>
      </c>
      <c r="I16" s="186">
        <v>0</v>
      </c>
      <c r="J16" s="417">
        <v>0</v>
      </c>
    </row>
    <row r="17" spans="1:10" ht="19.899999999999999" customHeight="1">
      <c r="A17" s="389" t="s">
        <v>903</v>
      </c>
      <c r="B17" s="404" t="s">
        <v>104</v>
      </c>
      <c r="C17" s="416">
        <v>5378714012.0100002</v>
      </c>
      <c r="D17" s="186">
        <v>2130621302.01</v>
      </c>
      <c r="E17" s="186">
        <v>461358405.56</v>
      </c>
      <c r="F17" s="186">
        <v>77739515.329999998</v>
      </c>
      <c r="G17" s="186">
        <v>7549945.1500000004</v>
      </c>
      <c r="H17" s="186">
        <v>2808937.63</v>
      </c>
      <c r="I17" s="186">
        <v>3248092710</v>
      </c>
      <c r="J17" s="417">
        <v>243853553.06999999</v>
      </c>
    </row>
    <row r="18" spans="1:10" ht="19.899999999999999" customHeight="1">
      <c r="A18" s="389" t="s">
        <v>904</v>
      </c>
      <c r="B18" s="404" t="s">
        <v>105</v>
      </c>
      <c r="C18" s="416">
        <v>25684694.859999999</v>
      </c>
      <c r="D18" s="186">
        <v>9068514.3800000008</v>
      </c>
      <c r="E18" s="186">
        <v>2525295.96</v>
      </c>
      <c r="F18" s="186">
        <v>1249639.33</v>
      </c>
      <c r="G18" s="186">
        <v>34756.639999999999</v>
      </c>
      <c r="H18" s="186">
        <v>1124625.05</v>
      </c>
      <c r="I18" s="186">
        <v>16616180.48</v>
      </c>
      <c r="J18" s="417">
        <v>8656650.9800000004</v>
      </c>
    </row>
    <row r="19" spans="1:10" ht="19.899999999999999" customHeight="1">
      <c r="A19" s="389" t="s">
        <v>905</v>
      </c>
      <c r="B19" s="404" t="s">
        <v>106</v>
      </c>
      <c r="C19" s="416">
        <v>296085006.29000002</v>
      </c>
      <c r="D19" s="186">
        <v>212724636.24000001</v>
      </c>
      <c r="E19" s="186">
        <v>75344490.260000005</v>
      </c>
      <c r="F19" s="186">
        <v>115421.71</v>
      </c>
      <c r="G19" s="186">
        <v>109970.77</v>
      </c>
      <c r="H19" s="186">
        <v>47372</v>
      </c>
      <c r="I19" s="186">
        <v>83360370.049999997</v>
      </c>
      <c r="J19" s="417">
        <v>15299933.960000001</v>
      </c>
    </row>
    <row r="20" spans="1:10" ht="19.899999999999999" customHeight="1">
      <c r="A20" s="389" t="s">
        <v>906</v>
      </c>
      <c r="B20" s="404" t="s">
        <v>107</v>
      </c>
      <c r="C20" s="416">
        <v>759598086.52999997</v>
      </c>
      <c r="D20" s="186">
        <v>589354095.84000003</v>
      </c>
      <c r="E20" s="186">
        <v>393164043.67000002</v>
      </c>
      <c r="F20" s="186">
        <v>2299552.63</v>
      </c>
      <c r="G20" s="186">
        <v>627950.46</v>
      </c>
      <c r="H20" s="186">
        <v>35637128.810000002</v>
      </c>
      <c r="I20" s="186">
        <v>170243990.69</v>
      </c>
      <c r="J20" s="417">
        <v>150788820.22</v>
      </c>
    </row>
    <row r="21" spans="1:10" ht="19.899999999999999" customHeight="1">
      <c r="A21" s="389" t="s">
        <v>907</v>
      </c>
      <c r="B21" s="404" t="s">
        <v>108</v>
      </c>
      <c r="C21" s="416">
        <v>17624209.16</v>
      </c>
      <c r="D21" s="186">
        <v>954887.36</v>
      </c>
      <c r="E21" s="186">
        <v>0</v>
      </c>
      <c r="F21" s="186">
        <v>5093.45</v>
      </c>
      <c r="G21" s="186">
        <v>0</v>
      </c>
      <c r="H21" s="186">
        <v>576613.85</v>
      </c>
      <c r="I21" s="186">
        <v>16669321.800000001</v>
      </c>
      <c r="J21" s="417">
        <v>16484229.33</v>
      </c>
    </row>
    <row r="22" spans="1:10" ht="19.899999999999999" customHeight="1">
      <c r="A22" s="389" t="s">
        <v>908</v>
      </c>
      <c r="B22" s="404" t="s">
        <v>217</v>
      </c>
      <c r="C22" s="416">
        <v>1617534</v>
      </c>
      <c r="D22" s="186">
        <v>1117534</v>
      </c>
      <c r="E22" s="186">
        <v>0</v>
      </c>
      <c r="F22" s="186">
        <v>212000</v>
      </c>
      <c r="G22" s="186">
        <v>905534</v>
      </c>
      <c r="H22" s="186">
        <v>0</v>
      </c>
      <c r="I22" s="186">
        <v>500000</v>
      </c>
      <c r="J22" s="417">
        <v>0</v>
      </c>
    </row>
    <row r="23" spans="1:10" ht="19.899999999999999" customHeight="1">
      <c r="A23" s="389" t="s">
        <v>909</v>
      </c>
      <c r="B23" s="404" t="s">
        <v>109</v>
      </c>
      <c r="C23" s="416">
        <v>3648487761.6199999</v>
      </c>
      <c r="D23" s="186">
        <v>3465091234.98</v>
      </c>
      <c r="E23" s="186">
        <v>2410390597.6900001</v>
      </c>
      <c r="F23" s="186">
        <v>5056971.3099999996</v>
      </c>
      <c r="G23" s="186">
        <v>123174135.51000001</v>
      </c>
      <c r="H23" s="186">
        <v>6325199.04</v>
      </c>
      <c r="I23" s="186">
        <v>183396526.63999999</v>
      </c>
      <c r="J23" s="417">
        <v>31202213.98</v>
      </c>
    </row>
    <row r="24" spans="1:10" ht="19.899999999999999" customHeight="1">
      <c r="A24" s="389" t="s">
        <v>911</v>
      </c>
      <c r="B24" s="404" t="s">
        <v>111</v>
      </c>
      <c r="C24" s="416">
        <v>36454508.289999999</v>
      </c>
      <c r="D24" s="186">
        <v>2407898.0499999998</v>
      </c>
      <c r="E24" s="186">
        <v>30441.56</v>
      </c>
      <c r="F24" s="186">
        <v>65000</v>
      </c>
      <c r="G24" s="186">
        <v>1632.55</v>
      </c>
      <c r="H24" s="186">
        <v>0</v>
      </c>
      <c r="I24" s="186">
        <v>34046610.240000002</v>
      </c>
      <c r="J24" s="417">
        <v>0</v>
      </c>
    </row>
    <row r="25" spans="1:10" ht="19.899999999999999" customHeight="1">
      <c r="A25" s="389" t="s">
        <v>914</v>
      </c>
      <c r="B25" s="404" t="s">
        <v>112</v>
      </c>
      <c r="C25" s="416">
        <v>1864796571.04</v>
      </c>
      <c r="D25" s="186">
        <v>1765165126.3800001</v>
      </c>
      <c r="E25" s="186">
        <v>1537683701.3099999</v>
      </c>
      <c r="F25" s="186">
        <v>5114116.26</v>
      </c>
      <c r="G25" s="186">
        <v>55109080.020000003</v>
      </c>
      <c r="H25" s="186">
        <v>2674067.71</v>
      </c>
      <c r="I25" s="186">
        <v>99631444.659999996</v>
      </c>
      <c r="J25" s="417">
        <v>1647710.82</v>
      </c>
    </row>
    <row r="26" spans="1:10" ht="19.899999999999999" customHeight="1">
      <c r="A26" s="389" t="s">
        <v>915</v>
      </c>
      <c r="B26" s="404" t="s">
        <v>113</v>
      </c>
      <c r="C26" s="416">
        <v>68913811.049999997</v>
      </c>
      <c r="D26" s="186">
        <v>68913811.049999997</v>
      </c>
      <c r="E26" s="186">
        <v>3192533.28</v>
      </c>
      <c r="F26" s="186">
        <v>36290107.460000001</v>
      </c>
      <c r="G26" s="186">
        <v>0</v>
      </c>
      <c r="H26" s="186">
        <v>0</v>
      </c>
      <c r="I26" s="186">
        <v>0</v>
      </c>
      <c r="J26" s="417">
        <v>0</v>
      </c>
    </row>
    <row r="27" spans="1:10" ht="27">
      <c r="A27" s="389" t="s">
        <v>916</v>
      </c>
      <c r="B27" s="404" t="s">
        <v>356</v>
      </c>
      <c r="C27" s="416">
        <v>6422897.5199999996</v>
      </c>
      <c r="D27" s="186">
        <v>6422897.5199999996</v>
      </c>
      <c r="E27" s="186">
        <v>408.76</v>
      </c>
      <c r="F27" s="186">
        <v>0</v>
      </c>
      <c r="G27" s="186">
        <v>0</v>
      </c>
      <c r="H27" s="186">
        <v>0</v>
      </c>
      <c r="I27" s="186">
        <v>0</v>
      </c>
      <c r="J27" s="417">
        <v>0</v>
      </c>
    </row>
    <row r="28" spans="1:10" ht="19.899999999999999" customHeight="1">
      <c r="A28" s="389" t="s">
        <v>917</v>
      </c>
      <c r="B28" s="404" t="s">
        <v>357</v>
      </c>
      <c r="C28" s="416">
        <v>91052017.569999993</v>
      </c>
      <c r="D28" s="186">
        <v>91052017.569999993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417">
        <v>0</v>
      </c>
    </row>
    <row r="29" spans="1:10" ht="19.899999999999999" customHeight="1">
      <c r="A29" s="389" t="s">
        <v>918</v>
      </c>
      <c r="B29" s="404" t="s">
        <v>114</v>
      </c>
      <c r="C29" s="416">
        <v>295664334.25999999</v>
      </c>
      <c r="D29" s="186">
        <v>292841859.13</v>
      </c>
      <c r="E29" s="186">
        <v>88225.73</v>
      </c>
      <c r="F29" s="186">
        <v>505046.92</v>
      </c>
      <c r="G29" s="186">
        <v>55406.16</v>
      </c>
      <c r="H29" s="186">
        <v>0</v>
      </c>
      <c r="I29" s="186">
        <v>2822475.13</v>
      </c>
      <c r="J29" s="417">
        <v>1922181.31</v>
      </c>
    </row>
    <row r="30" spans="1:10" ht="19.899999999999999" customHeight="1">
      <c r="A30" s="389" t="s">
        <v>919</v>
      </c>
      <c r="B30" s="404" t="s">
        <v>115</v>
      </c>
      <c r="C30" s="416">
        <v>10522555113.459999</v>
      </c>
      <c r="D30" s="186">
        <v>10101566523.120001</v>
      </c>
      <c r="E30" s="186">
        <v>7729824460.0200005</v>
      </c>
      <c r="F30" s="186">
        <v>799639218.73000002</v>
      </c>
      <c r="G30" s="186">
        <v>67499203.370000005</v>
      </c>
      <c r="H30" s="186">
        <v>376097594.25999999</v>
      </c>
      <c r="I30" s="186">
        <v>420988590.33999997</v>
      </c>
      <c r="J30" s="417">
        <v>136288019.19</v>
      </c>
    </row>
    <row r="31" spans="1:10" ht="19.899999999999999" customHeight="1">
      <c r="A31" s="389" t="s">
        <v>921</v>
      </c>
      <c r="B31" s="404" t="s">
        <v>116</v>
      </c>
      <c r="C31" s="416">
        <v>1370608096.4200001</v>
      </c>
      <c r="D31" s="186">
        <v>824551350.80999994</v>
      </c>
      <c r="E31" s="186">
        <v>934717.97</v>
      </c>
      <c r="F31" s="186">
        <v>28574571.68</v>
      </c>
      <c r="G31" s="186">
        <v>1154240.6599999999</v>
      </c>
      <c r="H31" s="186">
        <v>9230127.4700000007</v>
      </c>
      <c r="I31" s="186">
        <v>546056745.61000001</v>
      </c>
      <c r="J31" s="417">
        <v>31777038.690000001</v>
      </c>
    </row>
    <row r="32" spans="1:10" ht="19.899999999999999" customHeight="1">
      <c r="A32" s="389" t="s">
        <v>922</v>
      </c>
      <c r="B32" s="404" t="s">
        <v>117</v>
      </c>
      <c r="C32" s="416">
        <v>3525549588.5100002</v>
      </c>
      <c r="D32" s="186">
        <v>3398317432.48</v>
      </c>
      <c r="E32" s="186">
        <v>2344340219.02</v>
      </c>
      <c r="F32" s="186">
        <v>243485153.5</v>
      </c>
      <c r="G32" s="186">
        <v>7877454.4900000002</v>
      </c>
      <c r="H32" s="186">
        <v>86670742.909999996</v>
      </c>
      <c r="I32" s="186">
        <v>127232156.03</v>
      </c>
      <c r="J32" s="417">
        <v>19006502.350000001</v>
      </c>
    </row>
    <row r="33" spans="1:10" ht="19.899999999999999" customHeight="1">
      <c r="A33" s="389" t="s">
        <v>923</v>
      </c>
      <c r="B33" s="404" t="s">
        <v>118</v>
      </c>
      <c r="C33" s="416">
        <v>1362719521.3499999</v>
      </c>
      <c r="D33" s="186">
        <v>1334613995.6700001</v>
      </c>
      <c r="E33" s="186">
        <v>941255562.96000004</v>
      </c>
      <c r="F33" s="186">
        <v>111142610.23999999</v>
      </c>
      <c r="G33" s="186">
        <v>21640419.859999999</v>
      </c>
      <c r="H33" s="186">
        <v>128052628.65000001</v>
      </c>
      <c r="I33" s="186">
        <v>28105525.68</v>
      </c>
      <c r="J33" s="417">
        <v>9242554.3499999996</v>
      </c>
    </row>
    <row r="34" spans="1:10" ht="19.899999999999999" customHeight="1">
      <c r="A34" s="389" t="s">
        <v>924</v>
      </c>
      <c r="B34" s="404" t="s">
        <v>119</v>
      </c>
      <c r="C34" s="416">
        <v>2364790881.9499998</v>
      </c>
      <c r="D34" s="186">
        <v>2242877562.6500001</v>
      </c>
      <c r="E34" s="186">
        <v>1465626203.1800001</v>
      </c>
      <c r="F34" s="186">
        <v>427688365.23000002</v>
      </c>
      <c r="G34" s="186">
        <v>32125602.100000001</v>
      </c>
      <c r="H34" s="186">
        <v>4055618.36</v>
      </c>
      <c r="I34" s="186">
        <v>121913319.3</v>
      </c>
      <c r="J34" s="417">
        <v>16981636.66</v>
      </c>
    </row>
    <row r="35" spans="1:10" ht="19.899999999999999" customHeight="1">
      <c r="A35" s="389" t="s">
        <v>925</v>
      </c>
      <c r="B35" s="404" t="s">
        <v>120</v>
      </c>
      <c r="C35" s="416">
        <v>1840110357.76</v>
      </c>
      <c r="D35" s="186">
        <v>1797813835.6700001</v>
      </c>
      <c r="E35" s="186">
        <v>539713644.22000003</v>
      </c>
      <c r="F35" s="186">
        <v>240394097.09999999</v>
      </c>
      <c r="G35" s="186">
        <v>765157133.74000001</v>
      </c>
      <c r="H35" s="186">
        <v>17910388.440000001</v>
      </c>
      <c r="I35" s="186">
        <v>42296522.090000004</v>
      </c>
      <c r="J35" s="417">
        <v>4650030.71</v>
      </c>
    </row>
    <row r="36" spans="1:10" ht="19.899999999999999" customHeight="1">
      <c r="A36" s="389" t="s">
        <v>926</v>
      </c>
      <c r="B36" s="404" t="s">
        <v>121</v>
      </c>
      <c r="C36" s="416">
        <v>110140013.45</v>
      </c>
      <c r="D36" s="186">
        <v>46140353.009999998</v>
      </c>
      <c r="E36" s="186">
        <v>638537.61</v>
      </c>
      <c r="F36" s="186">
        <v>2742721.88</v>
      </c>
      <c r="G36" s="186">
        <v>185150.98</v>
      </c>
      <c r="H36" s="186">
        <v>1346078.57</v>
      </c>
      <c r="I36" s="186">
        <v>63999660.439999998</v>
      </c>
      <c r="J36" s="417">
        <v>38203674.640000001</v>
      </c>
    </row>
    <row r="37" spans="1:10" ht="19.899999999999999" customHeight="1">
      <c r="A37" s="389" t="s">
        <v>927</v>
      </c>
      <c r="B37" s="404" t="s">
        <v>122</v>
      </c>
      <c r="C37" s="416">
        <v>174338981.11000001</v>
      </c>
      <c r="D37" s="186">
        <v>136041933.81999999</v>
      </c>
      <c r="E37" s="186">
        <v>1478642.3</v>
      </c>
      <c r="F37" s="186">
        <v>122576894.65000001</v>
      </c>
      <c r="G37" s="186">
        <v>639456.9</v>
      </c>
      <c r="H37" s="186">
        <v>738375.29</v>
      </c>
      <c r="I37" s="186">
        <v>38297047.289999999</v>
      </c>
      <c r="J37" s="417">
        <v>11171447.630000001</v>
      </c>
    </row>
    <row r="38" spans="1:10" ht="27">
      <c r="A38" s="389" t="s">
        <v>928</v>
      </c>
      <c r="B38" s="404" t="s">
        <v>123</v>
      </c>
      <c r="C38" s="416">
        <v>136500</v>
      </c>
      <c r="D38" s="186">
        <v>136500</v>
      </c>
      <c r="E38" s="186">
        <v>0</v>
      </c>
      <c r="F38" s="186">
        <v>84500</v>
      </c>
      <c r="G38" s="186">
        <v>0</v>
      </c>
      <c r="H38" s="186">
        <v>0</v>
      </c>
      <c r="I38" s="186">
        <v>0</v>
      </c>
      <c r="J38" s="417">
        <v>0</v>
      </c>
    </row>
    <row r="39" spans="1:10" ht="19.899999999999999" customHeight="1">
      <c r="A39" s="392" t="s">
        <v>929</v>
      </c>
      <c r="B39" s="405" t="s">
        <v>124</v>
      </c>
      <c r="C39" s="418">
        <v>129652531.59999999</v>
      </c>
      <c r="D39" s="394">
        <v>56627494.390000001</v>
      </c>
      <c r="E39" s="394">
        <v>18881893.199999999</v>
      </c>
      <c r="F39" s="394">
        <v>15287151.039999999</v>
      </c>
      <c r="G39" s="394">
        <v>2383001.35</v>
      </c>
      <c r="H39" s="394">
        <v>256089.09</v>
      </c>
      <c r="I39" s="394">
        <v>73025037.209999993</v>
      </c>
      <c r="J39" s="419">
        <v>3095565.61</v>
      </c>
    </row>
    <row r="40" spans="1:10" ht="15.75">
      <c r="A40" s="1031" t="s">
        <v>1165</v>
      </c>
      <c r="B40" s="179"/>
      <c r="C40" s="180"/>
      <c r="D40" s="180"/>
      <c r="E40" s="180"/>
      <c r="F40" s="180"/>
      <c r="G40" s="180"/>
      <c r="H40" s="180"/>
      <c r="I40" s="180"/>
      <c r="J40" s="180"/>
    </row>
    <row r="41" spans="1:10" ht="13.5">
      <c r="A41" s="188" t="s">
        <v>1158</v>
      </c>
      <c r="B41" s="179"/>
      <c r="C41" s="180"/>
      <c r="D41" s="180"/>
      <c r="E41" s="180"/>
      <c r="F41" s="180"/>
      <c r="G41" s="180"/>
      <c r="H41" s="180"/>
      <c r="I41" s="180"/>
      <c r="J41" s="180"/>
    </row>
  </sheetData>
  <mergeCells count="14">
    <mergeCell ref="A1:J1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  <mergeCell ref="H5:H6"/>
    <mergeCell ref="J5:J6"/>
    <mergeCell ref="C7:J7"/>
  </mergeCells>
  <pageMargins left="0.70866141732283472" right="0.70866141732283472" top="0.74803149606299213" bottom="0.55118110236220474" header="0.31496062992125984" footer="0.31496062992125984"/>
  <pageSetup paperSize="9" scale="66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0"/>
  <sheetViews>
    <sheetView showGridLines="0" topLeftCell="A90" zoomScaleNormal="100" zoomScaleSheetLayoutView="100" workbookViewId="0">
      <selection activeCell="A109" sqref="A109"/>
    </sheetView>
  </sheetViews>
  <sheetFormatPr defaultColWidth="9.140625" defaultRowHeight="13.5"/>
  <cols>
    <col min="1" max="1" width="31.140625" style="1107" customWidth="1"/>
    <col min="2" max="4" width="13.140625" style="1107" bestFit="1" customWidth="1"/>
    <col min="5" max="5" width="11.42578125" style="1107" bestFit="1" customWidth="1"/>
    <col min="6" max="6" width="10.28515625" style="1107" bestFit="1" customWidth="1"/>
    <col min="7" max="7" width="9.5703125" style="1107" bestFit="1" customWidth="1"/>
    <col min="8" max="8" width="13.28515625" style="1107" customWidth="1"/>
    <col min="9" max="12" width="9.28515625" style="1107" bestFit="1" customWidth="1"/>
    <col min="13" max="14" width="9.140625" style="1107"/>
    <col min="15" max="16384" width="9.140625" style="1513"/>
  </cols>
  <sheetData>
    <row r="1" spans="1:12" ht="28.15" customHeight="1">
      <c r="A1" s="2273" t="s">
        <v>1125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3"/>
      <c r="L1" s="2273"/>
    </row>
    <row r="2" spans="1:12" ht="67.5">
      <c r="A2" s="1994" t="s">
        <v>218</v>
      </c>
      <c r="B2" s="1290" t="s">
        <v>1080</v>
      </c>
      <c r="C2" s="1290" t="s">
        <v>1081</v>
      </c>
      <c r="D2" s="1290" t="s">
        <v>1082</v>
      </c>
      <c r="E2" s="1290" t="s">
        <v>1083</v>
      </c>
      <c r="F2" s="1290" t="s">
        <v>1084</v>
      </c>
      <c r="G2" s="1290" t="s">
        <v>1085</v>
      </c>
      <c r="H2" s="1290" t="s">
        <v>1086</v>
      </c>
      <c r="I2" s="1290" t="s">
        <v>1087</v>
      </c>
      <c r="J2" s="1292" t="s">
        <v>219</v>
      </c>
      <c r="K2" s="1290" t="s">
        <v>1079</v>
      </c>
      <c r="L2" s="1290" t="s">
        <v>221</v>
      </c>
    </row>
    <row r="3" spans="1:12">
      <c r="A3" s="1994"/>
      <c r="B3" s="2005" t="s">
        <v>4</v>
      </c>
      <c r="C3" s="2005"/>
      <c r="D3" s="2005"/>
      <c r="E3" s="2005"/>
      <c r="F3" s="2005"/>
      <c r="G3" s="2005"/>
      <c r="H3" s="2005"/>
      <c r="I3" s="2005"/>
      <c r="J3" s="2005" t="s">
        <v>5</v>
      </c>
      <c r="K3" s="2005"/>
      <c r="L3" s="2005"/>
    </row>
    <row r="4" spans="1:12">
      <c r="A4" s="1122" t="s">
        <v>887</v>
      </c>
      <c r="B4" s="1600" t="s">
        <v>888</v>
      </c>
      <c r="C4" s="1600" t="s">
        <v>889</v>
      </c>
      <c r="D4" s="1600" t="s">
        <v>890</v>
      </c>
      <c r="E4" s="1122" t="s">
        <v>891</v>
      </c>
      <c r="F4" s="1600" t="s">
        <v>892</v>
      </c>
      <c r="G4" s="1122" t="s">
        <v>893</v>
      </c>
      <c r="H4" s="1600" t="s">
        <v>894</v>
      </c>
      <c r="I4" s="1122" t="s">
        <v>932</v>
      </c>
      <c r="J4" s="1600" t="s">
        <v>966</v>
      </c>
      <c r="K4" s="1122" t="s">
        <v>967</v>
      </c>
      <c r="L4" s="1600" t="s">
        <v>969</v>
      </c>
    </row>
    <row r="5" spans="1:12">
      <c r="A5" s="1098" t="s">
        <v>222</v>
      </c>
      <c r="B5" s="1590">
        <f>108010279664.71</f>
        <v>108010279664.71001</v>
      </c>
      <c r="C5" s="1590">
        <f>111045555017.25</f>
        <v>111045555017.25</v>
      </c>
      <c r="D5" s="1590">
        <f>110606001808.38</f>
        <v>110606001808.38</v>
      </c>
      <c r="E5" s="1590">
        <f>526091944.01</f>
        <v>526091944.00999999</v>
      </c>
      <c r="F5" s="1590">
        <f>155059512.24</f>
        <v>155059512.24000001</v>
      </c>
      <c r="G5" s="1590">
        <f>38940306.19</f>
        <v>38940306.189999998</v>
      </c>
      <c r="H5" s="1590">
        <f>92437463.58</f>
        <v>92437463.579999998</v>
      </c>
      <c r="I5" s="1590">
        <f>4607666.49</f>
        <v>4607666.49</v>
      </c>
      <c r="J5" s="1591">
        <v>100</v>
      </c>
      <c r="K5" s="1591">
        <v>102.81017266315968</v>
      </c>
      <c r="L5" s="1597"/>
    </row>
    <row r="6" spans="1:12" ht="27">
      <c r="A6" s="1098" t="s">
        <v>223</v>
      </c>
      <c r="B6" s="1590">
        <f>B5-B23-B52</f>
        <v>59764580212.200012</v>
      </c>
      <c r="C6" s="1590">
        <f>C5-C23-C52</f>
        <v>62942159576.779999</v>
      </c>
      <c r="D6" s="1590">
        <f>D5-D23-D52</f>
        <v>62500875386.450012</v>
      </c>
      <c r="E6" s="1590">
        <f>E5</f>
        <v>526091944.00999999</v>
      </c>
      <c r="F6" s="1590">
        <f>F5</f>
        <v>155059512.24000001</v>
      </c>
      <c r="G6" s="1590">
        <f>G5</f>
        <v>38940306.189999998</v>
      </c>
      <c r="H6" s="1590">
        <f>H5</f>
        <v>92437463.579999998</v>
      </c>
      <c r="I6" s="1590">
        <f>I5</f>
        <v>4607666.49</v>
      </c>
      <c r="J6" s="1591">
        <v>56.681385911396866</v>
      </c>
      <c r="K6" s="1591">
        <v>105.31682704588182</v>
      </c>
      <c r="L6" s="1591">
        <v>100</v>
      </c>
    </row>
    <row r="7" spans="1:12" ht="27">
      <c r="A7" s="1653" t="s">
        <v>1117</v>
      </c>
      <c r="B7" s="1593">
        <f>2121970796.3</f>
        <v>2121970796.3</v>
      </c>
      <c r="C7" s="1593">
        <f>2578553218.05</f>
        <v>2578553218.0500002</v>
      </c>
      <c r="D7" s="1593">
        <f>2580280743.61</f>
        <v>2580280743.6100001</v>
      </c>
      <c r="E7" s="1593">
        <f>0</f>
        <v>0</v>
      </c>
      <c r="F7" s="1593">
        <f>0</f>
        <v>0</v>
      </c>
      <c r="G7" s="1593">
        <f>0</f>
        <v>0</v>
      </c>
      <c r="H7" s="1593">
        <f>0</f>
        <v>0</v>
      </c>
      <c r="I7" s="1593">
        <f>0</f>
        <v>0</v>
      </c>
      <c r="J7" s="1594">
        <v>2.3220679275721063</v>
      </c>
      <c r="K7" s="1594">
        <v>121.51690412262627</v>
      </c>
      <c r="L7" s="1594">
        <v>4.0967028068119458</v>
      </c>
    </row>
    <row r="8" spans="1:12" ht="27">
      <c r="A8" s="1653" t="s">
        <v>1118</v>
      </c>
      <c r="B8" s="1593">
        <f>552100750.25</f>
        <v>552100750.25</v>
      </c>
      <c r="C8" s="1593">
        <f>538035322.88</f>
        <v>538035322.88</v>
      </c>
      <c r="D8" s="1593">
        <f>537787127.49</f>
        <v>537787127.49000001</v>
      </c>
      <c r="E8" s="1593">
        <f>0</f>
        <v>0</v>
      </c>
      <c r="F8" s="1593">
        <f>0</f>
        <v>0</v>
      </c>
      <c r="G8" s="1593">
        <f>0</f>
        <v>0</v>
      </c>
      <c r="H8" s="1593">
        <f>0</f>
        <v>0</v>
      </c>
      <c r="I8" s="1593">
        <f>0</f>
        <v>0</v>
      </c>
      <c r="J8" s="1594">
        <v>0.48451765835779803</v>
      </c>
      <c r="K8" s="1594">
        <v>97.452380319419788</v>
      </c>
      <c r="L8" s="1594">
        <v>0.85480912396035214</v>
      </c>
    </row>
    <row r="9" spans="1:12" ht="27">
      <c r="A9" s="1653" t="s">
        <v>1119</v>
      </c>
      <c r="B9" s="1593">
        <f>20212872392.71</f>
        <v>20212872392.709999</v>
      </c>
      <c r="C9" s="1593">
        <f>21506602560</f>
        <v>21506602560</v>
      </c>
      <c r="D9" s="1593">
        <f>21155286851</f>
        <v>21155286851</v>
      </c>
      <c r="E9" s="1593">
        <f>0</f>
        <v>0</v>
      </c>
      <c r="F9" s="1593">
        <f>0</f>
        <v>0</v>
      </c>
      <c r="G9" s="1593">
        <f>0</f>
        <v>0</v>
      </c>
      <c r="H9" s="1593">
        <f>0</f>
        <v>0</v>
      </c>
      <c r="I9" s="1593">
        <f>0</f>
        <v>0</v>
      </c>
      <c r="J9" s="1594">
        <v>19.367369145625982</v>
      </c>
      <c r="K9" s="1594">
        <v>106.4005260714781</v>
      </c>
      <c r="L9" s="1594">
        <v>34.16883485506272</v>
      </c>
    </row>
    <row r="10" spans="1:12" ht="27">
      <c r="A10" s="1653" t="s">
        <v>1120</v>
      </c>
      <c r="B10" s="1593">
        <f>5407120141.5</f>
        <v>5407120141.5</v>
      </c>
      <c r="C10" s="1593">
        <f>5766165879</f>
        <v>5766165879</v>
      </c>
      <c r="D10" s="1593">
        <f>5672254823</f>
        <v>5672254823</v>
      </c>
      <c r="E10" s="1593">
        <f>0</f>
        <v>0</v>
      </c>
      <c r="F10" s="1593">
        <f>0</f>
        <v>0</v>
      </c>
      <c r="G10" s="1593">
        <f>0</f>
        <v>0</v>
      </c>
      <c r="H10" s="1593">
        <f>0</f>
        <v>0</v>
      </c>
      <c r="I10" s="1593">
        <f>0</f>
        <v>0</v>
      </c>
      <c r="J10" s="1594">
        <v>5.1926129579020737</v>
      </c>
      <c r="K10" s="1594">
        <v>106.64023968589676</v>
      </c>
      <c r="L10" s="1594">
        <v>9.1610550349263793</v>
      </c>
    </row>
    <row r="11" spans="1:12">
      <c r="A11" s="1653" t="s">
        <v>80</v>
      </c>
      <c r="B11" s="1593">
        <f>22514752</f>
        <v>22514752</v>
      </c>
      <c r="C11" s="1593">
        <f>22790413.01</f>
        <v>22790413.010000002</v>
      </c>
      <c r="D11" s="1593">
        <f>22789173.57</f>
        <v>22789173.57</v>
      </c>
      <c r="E11" s="1593">
        <f>605402.97</f>
        <v>605402.97</v>
      </c>
      <c r="F11" s="1593">
        <f>7617.41</f>
        <v>7617.41</v>
      </c>
      <c r="G11" s="1593">
        <f>16588.92</f>
        <v>16588.919999999998</v>
      </c>
      <c r="H11" s="1593">
        <f>49486.89</f>
        <v>49486.89</v>
      </c>
      <c r="I11" s="1593">
        <f>0</f>
        <v>0</v>
      </c>
      <c r="J11" s="1594">
        <v>2.0523480662021726E-2</v>
      </c>
      <c r="K11" s="1594">
        <v>101.22435730138177</v>
      </c>
      <c r="L11" s="1594">
        <v>3.6208501842392479E-2</v>
      </c>
    </row>
    <row r="12" spans="1:12">
      <c r="A12" s="1653" t="s">
        <v>81</v>
      </c>
      <c r="B12" s="1593">
        <f>9835187195.27</f>
        <v>9835187195.2700005</v>
      </c>
      <c r="C12" s="1595">
        <f>9989809401.58</f>
        <v>9989809401.5799999</v>
      </c>
      <c r="D12" s="1593">
        <f>9989723871.47</f>
        <v>9989723871.4699993</v>
      </c>
      <c r="E12" s="1593">
        <f>234525176.96</f>
        <v>234525176.96000001</v>
      </c>
      <c r="F12" s="1593">
        <f>131633220.73</f>
        <v>131633220.73</v>
      </c>
      <c r="G12" s="1593">
        <f>34116118.36</f>
        <v>34116118.359999999</v>
      </c>
      <c r="H12" s="1593">
        <f>77234847.29</f>
        <v>77234847.290000007</v>
      </c>
      <c r="I12" s="1593">
        <f>3609599.56</f>
        <v>3609599.56</v>
      </c>
      <c r="J12" s="1594">
        <v>8.9961362253790043</v>
      </c>
      <c r="K12" s="1594">
        <v>101.5721328251318</v>
      </c>
      <c r="L12" s="1594">
        <v>15.871411894270851</v>
      </c>
    </row>
    <row r="13" spans="1:12">
      <c r="A13" s="1653" t="s">
        <v>226</v>
      </c>
      <c r="B13" s="1593">
        <f>4606361</f>
        <v>4606361</v>
      </c>
      <c r="C13" s="1595">
        <f>4626574.75</f>
        <v>4626574.75</v>
      </c>
      <c r="D13" s="1593">
        <f>4626574.39</f>
        <v>4626574.3899999997</v>
      </c>
      <c r="E13" s="1593">
        <f>0</f>
        <v>0</v>
      </c>
      <c r="F13" s="1593">
        <f>24765.95</f>
        <v>24765.95</v>
      </c>
      <c r="G13" s="1593">
        <f>1452.4</f>
        <v>1452.4</v>
      </c>
      <c r="H13" s="1593">
        <f>405.86</f>
        <v>405.86</v>
      </c>
      <c r="I13" s="1593">
        <f>0</f>
        <v>0</v>
      </c>
      <c r="J13" s="1594">
        <v>4.1663754567045031E-3</v>
      </c>
      <c r="K13" s="1594">
        <v>100.43882253258049</v>
      </c>
      <c r="L13" s="1594">
        <v>7.3505179693688022E-3</v>
      </c>
    </row>
    <row r="14" spans="1:12">
      <c r="A14" s="1653" t="s">
        <v>227</v>
      </c>
      <c r="B14" s="1593">
        <f>358279902</f>
        <v>358279902</v>
      </c>
      <c r="C14" s="1595">
        <f>343868661.61</f>
        <v>343868661.61000001</v>
      </c>
      <c r="D14" s="1593">
        <f>343868700.81</f>
        <v>343868700.81</v>
      </c>
      <c r="E14" s="1593">
        <f>287393862.27</f>
        <v>287393862.26999998</v>
      </c>
      <c r="F14" s="1593">
        <f>297936.95</f>
        <v>297936.95</v>
      </c>
      <c r="G14" s="1593">
        <f>428449.21</f>
        <v>428449.21</v>
      </c>
      <c r="H14" s="1593">
        <f>1566477.23</f>
        <v>1566477.23</v>
      </c>
      <c r="I14" s="1593">
        <f>0</f>
        <v>0</v>
      </c>
      <c r="J14" s="1594">
        <v>0.30966449900365922</v>
      </c>
      <c r="K14" s="1594">
        <v>95.977658721699655</v>
      </c>
      <c r="L14" s="1594">
        <v>0.54632485431411326</v>
      </c>
    </row>
    <row r="15" spans="1:12" ht="27">
      <c r="A15" s="1653" t="s">
        <v>228</v>
      </c>
      <c r="B15" s="1593">
        <f>49154771</f>
        <v>49154771</v>
      </c>
      <c r="C15" s="1595">
        <f>91596271.79</f>
        <v>91596271.790000007</v>
      </c>
      <c r="D15" s="1593">
        <f>91361208.85</f>
        <v>91361208.849999994</v>
      </c>
      <c r="E15" s="1593">
        <f>0</f>
        <v>0</v>
      </c>
      <c r="F15" s="1593">
        <f>0</f>
        <v>0</v>
      </c>
      <c r="G15" s="1593">
        <f>55155.76</f>
        <v>55155.76</v>
      </c>
      <c r="H15" s="1593">
        <f>162787.95</f>
        <v>162787.95000000001</v>
      </c>
      <c r="I15" s="1593">
        <f>0</f>
        <v>0</v>
      </c>
      <c r="J15" s="1594">
        <v>8.2485311344313861E-2</v>
      </c>
      <c r="K15" s="1594">
        <v>186.34258674503843</v>
      </c>
      <c r="L15" s="1594">
        <v>0.14552451394405411</v>
      </c>
    </row>
    <row r="16" spans="1:12">
      <c r="A16" s="1653" t="s">
        <v>229</v>
      </c>
      <c r="B16" s="1593">
        <f>178578906.24</f>
        <v>178578906.24000001</v>
      </c>
      <c r="C16" s="1595">
        <f>230475384.87</f>
        <v>230475384.87</v>
      </c>
      <c r="D16" s="1593">
        <f>229263161.34</f>
        <v>229263161.34</v>
      </c>
      <c r="E16" s="1593">
        <f>0</f>
        <v>0</v>
      </c>
      <c r="F16" s="1593">
        <f>0</f>
        <v>0</v>
      </c>
      <c r="G16" s="1593">
        <f>1902922.64</f>
        <v>1902922.64</v>
      </c>
      <c r="H16" s="1593">
        <f>5402305.13</f>
        <v>5402305.1299999999</v>
      </c>
      <c r="I16" s="1593">
        <f>0</f>
        <v>0</v>
      </c>
      <c r="J16" s="1594">
        <v>0.20755030206674871</v>
      </c>
      <c r="K16" s="1594">
        <v>129.06081111296206</v>
      </c>
      <c r="L16" s="1594">
        <v>0.36617012574672558</v>
      </c>
    </row>
    <row r="17" spans="1:12">
      <c r="A17" s="1653" t="s">
        <v>86</v>
      </c>
      <c r="B17" s="1593">
        <f>1700145476.72</f>
        <v>1700145476.72</v>
      </c>
      <c r="C17" s="1595">
        <f>2460003510.59</f>
        <v>2460003510.5900002</v>
      </c>
      <c r="D17" s="1593">
        <f>2467715162.6</f>
        <v>2467715162.5999999</v>
      </c>
      <c r="E17" s="1593">
        <f>0</f>
        <v>0</v>
      </c>
      <c r="F17" s="1593">
        <f>0</f>
        <v>0</v>
      </c>
      <c r="G17" s="1593">
        <f>168986</f>
        <v>168986</v>
      </c>
      <c r="H17" s="1593">
        <f>136461.25</f>
        <v>136461.25</v>
      </c>
      <c r="I17" s="1593">
        <f>0</f>
        <v>0</v>
      </c>
      <c r="J17" s="1594">
        <v>2.2153102032835612</v>
      </c>
      <c r="K17" s="1594">
        <v>144.69370676066814</v>
      </c>
      <c r="L17" s="1594">
        <v>3.908355746181801</v>
      </c>
    </row>
    <row r="18" spans="1:12">
      <c r="A18" s="1653" t="s">
        <v>696</v>
      </c>
      <c r="B18" s="1593">
        <f>334502083</f>
        <v>334502083</v>
      </c>
      <c r="C18" s="1595">
        <f>369119300.42</f>
        <v>369119300.42000002</v>
      </c>
      <c r="D18" s="1593">
        <f>369102167.32</f>
        <v>369102167.31999999</v>
      </c>
      <c r="E18" s="1593">
        <f>0</f>
        <v>0</v>
      </c>
      <c r="F18" s="1593">
        <f>0</f>
        <v>0</v>
      </c>
      <c r="G18" s="1593">
        <f>5427</f>
        <v>5427</v>
      </c>
      <c r="H18" s="1593">
        <f>0</f>
        <v>0</v>
      </c>
      <c r="I18" s="1593">
        <f>0</f>
        <v>0</v>
      </c>
      <c r="J18" s="1594">
        <v>0.33240349004753988</v>
      </c>
      <c r="K18" s="1594">
        <v>110.34887947768026</v>
      </c>
      <c r="L18" s="1594">
        <v>0.58644206506726193</v>
      </c>
    </row>
    <row r="19" spans="1:12">
      <c r="A19" s="1653" t="s">
        <v>695</v>
      </c>
      <c r="B19" s="1593">
        <f>9580706</f>
        <v>9580706</v>
      </c>
      <c r="C19" s="1595">
        <f>9281227.32</f>
        <v>9281227.3200000003</v>
      </c>
      <c r="D19" s="1593">
        <f>9281227.32</f>
        <v>9281227.3200000003</v>
      </c>
      <c r="E19" s="1593">
        <f>0</f>
        <v>0</v>
      </c>
      <c r="F19" s="1593">
        <f>0</f>
        <v>0</v>
      </c>
      <c r="G19" s="1593">
        <f>0</f>
        <v>0</v>
      </c>
      <c r="H19" s="1593">
        <f>0</f>
        <v>0</v>
      </c>
      <c r="I19" s="1593">
        <f>0</f>
        <v>0</v>
      </c>
      <c r="J19" s="1594">
        <v>8.358035869655691E-3</v>
      </c>
      <c r="K19" s="1594">
        <v>96.87414810557803</v>
      </c>
      <c r="L19" s="1594">
        <v>1.4745644862531757E-2</v>
      </c>
    </row>
    <row r="20" spans="1:12">
      <c r="A20" s="1653" t="s">
        <v>694</v>
      </c>
      <c r="B20" s="1593">
        <f>132652</f>
        <v>132652</v>
      </c>
      <c r="C20" s="1595">
        <f>345520.28</f>
        <v>345520.28</v>
      </c>
      <c r="D20" s="1593">
        <f>345520.28</f>
        <v>345520.28</v>
      </c>
      <c r="E20" s="1593">
        <f>0</f>
        <v>0</v>
      </c>
      <c r="F20" s="1593">
        <f>0</f>
        <v>0</v>
      </c>
      <c r="G20" s="1593">
        <f>1382.5</f>
        <v>1382.5</v>
      </c>
      <c r="H20" s="1593">
        <f>30932.52</f>
        <v>30932.52</v>
      </c>
      <c r="I20" s="1593">
        <f>0</f>
        <v>0</v>
      </c>
      <c r="J20" s="1594">
        <v>3.1115183308897532E-4</v>
      </c>
      <c r="K20" s="1594">
        <v>260.47121792358956</v>
      </c>
      <c r="L20" s="1594">
        <v>5.4894887992922622E-4</v>
      </c>
    </row>
    <row r="21" spans="1:12">
      <c r="A21" s="1653" t="s">
        <v>90</v>
      </c>
      <c r="B21" s="1593">
        <f>5041182412.64</f>
        <v>5041182412.6400003</v>
      </c>
      <c r="C21" s="1595">
        <f>5096536275.51</f>
        <v>5096536275.5100002</v>
      </c>
      <c r="D21" s="1593">
        <f>5093656086.08</f>
        <v>5093656086.0799999</v>
      </c>
      <c r="E21" s="1593">
        <f>0</f>
        <v>0</v>
      </c>
      <c r="F21" s="1593">
        <f>23649.77</f>
        <v>23649.77</v>
      </c>
      <c r="G21" s="1593">
        <f>0</f>
        <v>0</v>
      </c>
      <c r="H21" s="1593">
        <f>0</f>
        <v>0</v>
      </c>
      <c r="I21" s="1593">
        <f>0</f>
        <v>0</v>
      </c>
      <c r="J21" s="1594">
        <v>4.5895905286062968</v>
      </c>
      <c r="K21" s="1594">
        <v>101.09803332510262</v>
      </c>
      <c r="L21" s="1594">
        <v>8.0971741512824806</v>
      </c>
    </row>
    <row r="22" spans="1:12">
      <c r="A22" s="1653" t="s">
        <v>231</v>
      </c>
      <c r="B22" s="1593">
        <f>B6-SUM(B7:B21)</f>
        <v>13936650913.570015</v>
      </c>
      <c r="C22" s="1593">
        <f t="shared" ref="C22:I22" si="0">C6-SUM(C7:C21)</f>
        <v>13934350055.119995</v>
      </c>
      <c r="D22" s="1593">
        <f t="shared" si="0"/>
        <v>13933532987.320023</v>
      </c>
      <c r="E22" s="1593">
        <f t="shared" si="0"/>
        <v>3567501.8100000024</v>
      </c>
      <c r="F22" s="1593">
        <f t="shared" si="0"/>
        <v>23072321.430000007</v>
      </c>
      <c r="G22" s="1593">
        <f t="shared" si="0"/>
        <v>2243823.3999999985</v>
      </c>
      <c r="H22" s="1593">
        <f t="shared" si="0"/>
        <v>7853759.4599999934</v>
      </c>
      <c r="I22" s="1593">
        <f t="shared" si="0"/>
        <v>998066.93000000017</v>
      </c>
      <c r="J22" s="1594">
        <v>12.548318618386309</v>
      </c>
      <c r="K22" s="1594">
        <v>99.983490592795292</v>
      </c>
      <c r="L22" s="1594">
        <v>22.138341214877091</v>
      </c>
    </row>
    <row r="23" spans="1:12">
      <c r="A23" s="1098" t="s">
        <v>1121</v>
      </c>
      <c r="B23" s="1590">
        <f>B24+B48+B50</f>
        <v>26353857912.510002</v>
      </c>
      <c r="C23" s="1590">
        <f>C24+C48+C50</f>
        <v>25313482230.470001</v>
      </c>
      <c r="D23" s="1590">
        <f>D24+D48+D50</f>
        <v>25319701274.93</v>
      </c>
      <c r="E23" s="1654" t="s">
        <v>232</v>
      </c>
      <c r="F23" s="1654" t="s">
        <v>232</v>
      </c>
      <c r="G23" s="1654" t="s">
        <v>232</v>
      </c>
      <c r="H23" s="1654" t="s">
        <v>232</v>
      </c>
      <c r="I23" s="1654" t="s">
        <v>232</v>
      </c>
      <c r="J23" s="1591">
        <v>22.795583512134062</v>
      </c>
      <c r="K23" s="1591">
        <v>96.052283178068805</v>
      </c>
      <c r="L23" s="1091"/>
    </row>
    <row r="24" spans="1:12" ht="27">
      <c r="A24" s="1098" t="s">
        <v>233</v>
      </c>
      <c r="B24" s="1590">
        <f>B25+B32+B39</f>
        <v>21151025767.460003</v>
      </c>
      <c r="C24" s="1590">
        <f>C25+C32+C39</f>
        <v>21199513141.720001</v>
      </c>
      <c r="D24" s="1590">
        <f>D25+D32+D39</f>
        <v>21205845820.830002</v>
      </c>
      <c r="E24" s="1654" t="s">
        <v>232</v>
      </c>
      <c r="F24" s="1654" t="s">
        <v>232</v>
      </c>
      <c r="G24" s="1654" t="s">
        <v>232</v>
      </c>
      <c r="H24" s="1654" t="s">
        <v>232</v>
      </c>
      <c r="I24" s="1654" t="s">
        <v>232</v>
      </c>
      <c r="J24" s="1591">
        <v>19.090825507087459</v>
      </c>
      <c r="K24" s="1591">
        <v>100.22924360640037</v>
      </c>
      <c r="L24" s="1534"/>
    </row>
    <row r="25" spans="1:12">
      <c r="A25" s="1655" t="s">
        <v>693</v>
      </c>
      <c r="B25" s="1590">
        <f>B26+B28+B30</f>
        <v>17592519945.93</v>
      </c>
      <c r="C25" s="1590">
        <f>C26+C28+C30</f>
        <v>17536480543.329998</v>
      </c>
      <c r="D25" s="1590">
        <f>D26+D28+D30</f>
        <v>17575984200.470001</v>
      </c>
      <c r="E25" s="1654" t="s">
        <v>232</v>
      </c>
      <c r="F25" s="1654" t="s">
        <v>232</v>
      </c>
      <c r="G25" s="1654" t="s">
        <v>232</v>
      </c>
      <c r="H25" s="1654" t="s">
        <v>232</v>
      </c>
      <c r="I25" s="1654" t="s">
        <v>232</v>
      </c>
      <c r="J25" s="1591">
        <v>15.792149933967057</v>
      </c>
      <c r="K25" s="1591">
        <v>99.681458922472515</v>
      </c>
      <c r="L25" s="1534"/>
    </row>
    <row r="26" spans="1:12">
      <c r="A26" s="1653" t="s">
        <v>234</v>
      </c>
      <c r="B26" s="1593">
        <f>16117360751.5</f>
        <v>16117360751.5</v>
      </c>
      <c r="C26" s="1595">
        <f>16072160686.96</f>
        <v>16072160686.959999</v>
      </c>
      <c r="D26" s="1593">
        <f>16106097903.32</f>
        <v>16106097903.32</v>
      </c>
      <c r="E26" s="1654" t="s">
        <v>232</v>
      </c>
      <c r="F26" s="1654" t="s">
        <v>232</v>
      </c>
      <c r="G26" s="1654" t="s">
        <v>232</v>
      </c>
      <c r="H26" s="1654" t="s">
        <v>232</v>
      </c>
      <c r="I26" s="1654" t="s">
        <v>232</v>
      </c>
      <c r="J26" s="1594">
        <v>14.473484043970354</v>
      </c>
      <c r="K26" s="1594">
        <v>99.719556661683626</v>
      </c>
      <c r="L26" s="1534"/>
    </row>
    <row r="27" spans="1:12">
      <c r="A27" s="1653" t="s">
        <v>235</v>
      </c>
      <c r="B27" s="1593">
        <f>4241845.36</f>
        <v>4241845.3600000003</v>
      </c>
      <c r="C27" s="1593">
        <f>2759309.93</f>
        <v>2759309.93</v>
      </c>
      <c r="D27" s="1593">
        <f>2759339.13</f>
        <v>2759339.13</v>
      </c>
      <c r="E27" s="1654" t="s">
        <v>232</v>
      </c>
      <c r="F27" s="1654" t="s">
        <v>232</v>
      </c>
      <c r="G27" s="1654" t="s">
        <v>232</v>
      </c>
      <c r="H27" s="1654" t="s">
        <v>232</v>
      </c>
      <c r="I27" s="1654" t="s">
        <v>232</v>
      </c>
      <c r="J27" s="1594">
        <v>2.4848450075929326E-3</v>
      </c>
      <c r="K27" s="1594">
        <v>65.049753015984535</v>
      </c>
      <c r="L27" s="1534"/>
    </row>
    <row r="28" spans="1:12">
      <c r="A28" s="1653" t="s">
        <v>236</v>
      </c>
      <c r="B28" s="1593">
        <f>1457379321.91</f>
        <v>1457379321.9100001</v>
      </c>
      <c r="C28" s="1595">
        <f>1447783060.61</f>
        <v>1447783060.6099999</v>
      </c>
      <c r="D28" s="1593">
        <f>1453276951.52</f>
        <v>1453276951.52</v>
      </c>
      <c r="E28" s="1654" t="s">
        <v>232</v>
      </c>
      <c r="F28" s="1654" t="s">
        <v>232</v>
      </c>
      <c r="G28" s="1654" t="s">
        <v>232</v>
      </c>
      <c r="H28" s="1654" t="s">
        <v>232</v>
      </c>
      <c r="I28" s="1654" t="s">
        <v>232</v>
      </c>
      <c r="J28" s="1594">
        <v>1.3037739875180947</v>
      </c>
      <c r="K28" s="1594">
        <v>99.341539902774002</v>
      </c>
      <c r="L28" s="1534"/>
    </row>
    <row r="29" spans="1:12">
      <c r="A29" s="1653" t="s">
        <v>235</v>
      </c>
      <c r="B29" s="1593">
        <f>40391846.87</f>
        <v>40391846.869999997</v>
      </c>
      <c r="C29" s="1593">
        <f>51847067.98</f>
        <v>51847067.979999997</v>
      </c>
      <c r="D29" s="1593">
        <f>51845883.98</f>
        <v>51845883.979999997</v>
      </c>
      <c r="E29" s="1654" t="s">
        <v>232</v>
      </c>
      <c r="F29" s="1654" t="s">
        <v>232</v>
      </c>
      <c r="G29" s="1654" t="s">
        <v>232</v>
      </c>
      <c r="H29" s="1654" t="s">
        <v>232</v>
      </c>
      <c r="I29" s="1654" t="s">
        <v>232</v>
      </c>
      <c r="J29" s="1594">
        <v>4.6689908454188904E-2</v>
      </c>
      <c r="K29" s="1594">
        <v>128.36023108046606</v>
      </c>
      <c r="L29" s="1534"/>
    </row>
    <row r="30" spans="1:12" ht="27">
      <c r="A30" s="1653" t="s">
        <v>363</v>
      </c>
      <c r="B30" s="1593">
        <f>17779872.52</f>
        <v>17779872.52</v>
      </c>
      <c r="C30" s="1595">
        <f>16536795.76</f>
        <v>16536795.76</v>
      </c>
      <c r="D30" s="1593">
        <f>16609345.63</f>
        <v>16609345.630000001</v>
      </c>
      <c r="E30" s="1654" t="s">
        <v>232</v>
      </c>
      <c r="F30" s="1654" t="s">
        <v>232</v>
      </c>
      <c r="G30" s="1654" t="s">
        <v>232</v>
      </c>
      <c r="H30" s="1654" t="s">
        <v>232</v>
      </c>
      <c r="I30" s="1654" t="s">
        <v>232</v>
      </c>
      <c r="J30" s="1594">
        <v>1.4891902478609925E-2</v>
      </c>
      <c r="K30" s="1594">
        <v>93.008517026195193</v>
      </c>
      <c r="L30" s="1534"/>
    </row>
    <row r="31" spans="1:12">
      <c r="A31" s="1653" t="s">
        <v>235</v>
      </c>
      <c r="B31" s="1593">
        <f>2055208.74</f>
        <v>2055208.74</v>
      </c>
      <c r="C31" s="1593">
        <f>2044417.66</f>
        <v>2044417.66</v>
      </c>
      <c r="D31" s="1593">
        <f>1940014.64</f>
        <v>1940014.64</v>
      </c>
      <c r="E31" s="1654" t="s">
        <v>232</v>
      </c>
      <c r="F31" s="1654" t="s">
        <v>232</v>
      </c>
      <c r="G31" s="1654" t="s">
        <v>232</v>
      </c>
      <c r="H31" s="1654" t="s">
        <v>232</v>
      </c>
      <c r="I31" s="1654" t="s">
        <v>232</v>
      </c>
      <c r="J31" s="1594">
        <v>1.8410621295759356E-3</v>
      </c>
      <c r="K31" s="1594">
        <v>99.474939951841577</v>
      </c>
      <c r="L31" s="1534"/>
    </row>
    <row r="32" spans="1:12">
      <c r="A32" s="1655" t="s">
        <v>692</v>
      </c>
      <c r="B32" s="1590">
        <f>B33+B35+B37</f>
        <v>2284028388.29</v>
      </c>
      <c r="C32" s="1590">
        <f>C33+C35+C37</f>
        <v>2249544625.6000004</v>
      </c>
      <c r="D32" s="1590">
        <f>D33+D35+D37</f>
        <v>2260128180.48</v>
      </c>
      <c r="E32" s="1654" t="s">
        <v>232</v>
      </c>
      <c r="F32" s="1654" t="s">
        <v>232</v>
      </c>
      <c r="G32" s="1654" t="s">
        <v>232</v>
      </c>
      <c r="H32" s="1654" t="s">
        <v>232</v>
      </c>
      <c r="I32" s="1654" t="s">
        <v>232</v>
      </c>
      <c r="J32" s="1591">
        <v>2.0257853862323012</v>
      </c>
      <c r="K32" s="1591">
        <v>98.490221799921812</v>
      </c>
      <c r="L32" s="1534"/>
    </row>
    <row r="33" spans="1:12">
      <c r="A33" s="1653" t="s">
        <v>234</v>
      </c>
      <c r="B33" s="1593">
        <f>2027145937.55</f>
        <v>2027145937.55</v>
      </c>
      <c r="C33" s="1593">
        <f>2015546733.8</f>
        <v>2015546733.8</v>
      </c>
      <c r="D33" s="1593">
        <f>2020951622.05</f>
        <v>2020951622.05</v>
      </c>
      <c r="E33" s="1654" t="s">
        <v>232</v>
      </c>
      <c r="F33" s="1654" t="s">
        <v>232</v>
      </c>
      <c r="G33" s="1654" t="s">
        <v>232</v>
      </c>
      <c r="H33" s="1654" t="s">
        <v>232</v>
      </c>
      <c r="I33" s="1654" t="s">
        <v>232</v>
      </c>
      <c r="J33" s="1594">
        <v>1.8150629563577774</v>
      </c>
      <c r="K33" s="1594">
        <v>99.427806181334006</v>
      </c>
      <c r="L33" s="1534"/>
    </row>
    <row r="34" spans="1:12">
      <c r="A34" s="1653" t="s">
        <v>235</v>
      </c>
      <c r="B34" s="1593">
        <f>33618028.08</f>
        <v>33618028.079999998</v>
      </c>
      <c r="C34" s="1595">
        <f>33006067.91</f>
        <v>33006067.91</v>
      </c>
      <c r="D34" s="1593">
        <f>33005750.98</f>
        <v>33005750.98</v>
      </c>
      <c r="E34" s="1654" t="s">
        <v>232</v>
      </c>
      <c r="F34" s="1654" t="s">
        <v>232</v>
      </c>
      <c r="G34" s="1654" t="s">
        <v>232</v>
      </c>
      <c r="H34" s="1654" t="s">
        <v>232</v>
      </c>
      <c r="I34" s="1654" t="s">
        <v>232</v>
      </c>
      <c r="J34" s="1594">
        <v>2.972299783172121E-2</v>
      </c>
      <c r="K34" s="1594">
        <v>98.179666670086263</v>
      </c>
      <c r="L34" s="1534"/>
    </row>
    <row r="35" spans="1:12">
      <c r="A35" s="1653" t="s">
        <v>236</v>
      </c>
      <c r="B35" s="1593">
        <f>198716233.24</f>
        <v>198716233.24000001</v>
      </c>
      <c r="C35" s="1593">
        <f>190352307.27</f>
        <v>190352307.27000001</v>
      </c>
      <c r="D35" s="1593">
        <f>191435413.05</f>
        <v>191435413.05000001</v>
      </c>
      <c r="E35" s="1654" t="s">
        <v>232</v>
      </c>
      <c r="F35" s="1654" t="s">
        <v>232</v>
      </c>
      <c r="G35" s="1654" t="s">
        <v>232</v>
      </c>
      <c r="H35" s="1654" t="s">
        <v>232</v>
      </c>
      <c r="I35" s="1654" t="s">
        <v>232</v>
      </c>
      <c r="J35" s="1594">
        <v>0.17141821411980909</v>
      </c>
      <c r="K35" s="1594">
        <v>95.791020273669105</v>
      </c>
      <c r="L35" s="1534"/>
    </row>
    <row r="36" spans="1:12">
      <c r="A36" s="1653" t="s">
        <v>235</v>
      </c>
      <c r="B36" s="1593">
        <f>18578466</f>
        <v>18578466</v>
      </c>
      <c r="C36" s="1595">
        <f>10717420.44</f>
        <v>10717420.439999999</v>
      </c>
      <c r="D36" s="1593">
        <f>10740316.24</f>
        <v>10740316.24</v>
      </c>
      <c r="E36" s="1654" t="s">
        <v>232</v>
      </c>
      <c r="F36" s="1654" t="s">
        <v>232</v>
      </c>
      <c r="G36" s="1654" t="s">
        <v>232</v>
      </c>
      <c r="H36" s="1654" t="s">
        <v>232</v>
      </c>
      <c r="I36" s="1654" t="s">
        <v>232</v>
      </c>
      <c r="J36" s="1594">
        <v>9.6513727526825709E-3</v>
      </c>
      <c r="K36" s="1594">
        <v>57.687327037657468</v>
      </c>
      <c r="L36" s="1534"/>
    </row>
    <row r="37" spans="1:12" ht="27">
      <c r="A37" s="1653" t="s">
        <v>363</v>
      </c>
      <c r="B37" s="1593">
        <f>58166217.5</f>
        <v>58166217.5</v>
      </c>
      <c r="C37" s="1593">
        <f>43645584.53</f>
        <v>43645584.530000001</v>
      </c>
      <c r="D37" s="1593">
        <f>47741145.38</f>
        <v>47741145.380000003</v>
      </c>
      <c r="E37" s="1654" t="s">
        <v>232</v>
      </c>
      <c r="F37" s="1654" t="s">
        <v>232</v>
      </c>
      <c r="G37" s="1654" t="s">
        <v>232</v>
      </c>
      <c r="H37" s="1654" t="s">
        <v>232</v>
      </c>
      <c r="I37" s="1654" t="s">
        <v>232</v>
      </c>
      <c r="J37" s="1594">
        <v>3.9304215754714378E-2</v>
      </c>
      <c r="K37" s="1594">
        <v>75.035968309268171</v>
      </c>
      <c r="L37" s="1534"/>
    </row>
    <row r="38" spans="1:12">
      <c r="A38" s="1653" t="s">
        <v>235</v>
      </c>
      <c r="B38" s="1593">
        <f>0</f>
        <v>0</v>
      </c>
      <c r="C38" s="1595">
        <f>0</f>
        <v>0</v>
      </c>
      <c r="D38" s="1593">
        <f>0</f>
        <v>0</v>
      </c>
      <c r="E38" s="1654" t="s">
        <v>232</v>
      </c>
      <c r="F38" s="1654" t="s">
        <v>232</v>
      </c>
      <c r="G38" s="1654" t="s">
        <v>232</v>
      </c>
      <c r="H38" s="1654" t="s">
        <v>232</v>
      </c>
      <c r="I38" s="1654" t="s">
        <v>232</v>
      </c>
      <c r="J38" s="1594">
        <v>0</v>
      </c>
      <c r="K38" s="1594" t="s">
        <v>273</v>
      </c>
      <c r="L38" s="1534"/>
    </row>
    <row r="39" spans="1:12">
      <c r="A39" s="1655" t="s">
        <v>691</v>
      </c>
      <c r="B39" s="1590">
        <f>B40+B42+B44+B46</f>
        <v>1274477433.24</v>
      </c>
      <c r="C39" s="1590">
        <f>C40+C42+C44+C46</f>
        <v>1413487972.79</v>
      </c>
      <c r="D39" s="1590">
        <f>D40+D42+D44+D46</f>
        <v>1369733439.8800001</v>
      </c>
      <c r="E39" s="1654" t="s">
        <v>232</v>
      </c>
      <c r="F39" s="1654" t="s">
        <v>232</v>
      </c>
      <c r="G39" s="1654" t="s">
        <v>232</v>
      </c>
      <c r="H39" s="1654" t="s">
        <v>232</v>
      </c>
      <c r="I39" s="1654" t="s">
        <v>232</v>
      </c>
      <c r="J39" s="1591">
        <v>1.2728901868880986</v>
      </c>
      <c r="K39" s="1591">
        <v>110.90725782382862</v>
      </c>
      <c r="L39" s="1534"/>
    </row>
    <row r="40" spans="1:12" ht="27">
      <c r="A40" s="1653" t="s">
        <v>362</v>
      </c>
      <c r="B40" s="1593">
        <f>458404112.92</f>
        <v>458404112.92000002</v>
      </c>
      <c r="C40" s="1595">
        <f>458449178.76</f>
        <v>458449178.75999999</v>
      </c>
      <c r="D40" s="1593">
        <f>458906865.76</f>
        <v>458906865.75999999</v>
      </c>
      <c r="E40" s="1654" t="s">
        <v>232</v>
      </c>
      <c r="F40" s="1654" t="s">
        <v>232</v>
      </c>
      <c r="G40" s="1654" t="s">
        <v>232</v>
      </c>
      <c r="H40" s="1654" t="s">
        <v>232</v>
      </c>
      <c r="I40" s="1654" t="s">
        <v>232</v>
      </c>
      <c r="J40" s="1594">
        <v>0.4128478431115804</v>
      </c>
      <c r="K40" s="1594">
        <v>100.00983102872112</v>
      </c>
      <c r="L40" s="1534"/>
    </row>
    <row r="41" spans="1:12">
      <c r="A41" s="1653" t="s">
        <v>235</v>
      </c>
      <c r="B41" s="1593">
        <f>1701131.87</f>
        <v>1701131.87</v>
      </c>
      <c r="C41" s="1593">
        <f>890078.82</f>
        <v>890078.82</v>
      </c>
      <c r="D41" s="1593">
        <f>1011171.37</f>
        <v>1011171.37</v>
      </c>
      <c r="E41" s="1654" t="s">
        <v>232</v>
      </c>
      <c r="F41" s="1654" t="s">
        <v>232</v>
      </c>
      <c r="G41" s="1654" t="s">
        <v>232</v>
      </c>
      <c r="H41" s="1654" t="s">
        <v>232</v>
      </c>
      <c r="I41" s="1654" t="s">
        <v>232</v>
      </c>
      <c r="J41" s="1594">
        <v>8.015438527564059E-4</v>
      </c>
      <c r="K41" s="1594">
        <v>52.322740858414463</v>
      </c>
      <c r="L41" s="1534"/>
    </row>
    <row r="42" spans="1:12">
      <c r="A42" s="1653" t="s">
        <v>238</v>
      </c>
      <c r="B42" s="1593">
        <f>210296215.7</f>
        <v>210296215.69999999</v>
      </c>
      <c r="C42" s="1595">
        <f>205395802.07</f>
        <v>205395802.06999999</v>
      </c>
      <c r="D42" s="1593">
        <f>206549173.14</f>
        <v>206549173.13999999</v>
      </c>
      <c r="E42" s="1654" t="s">
        <v>232</v>
      </c>
      <c r="F42" s="1654" t="s">
        <v>232</v>
      </c>
      <c r="G42" s="1654" t="s">
        <v>232</v>
      </c>
      <c r="H42" s="1654" t="s">
        <v>232</v>
      </c>
      <c r="I42" s="1654" t="s">
        <v>232</v>
      </c>
      <c r="J42" s="1594">
        <v>0.18496535231697792</v>
      </c>
      <c r="K42" s="1594">
        <v>97.66975662700905</v>
      </c>
      <c r="L42" s="1534"/>
    </row>
    <row r="43" spans="1:12">
      <c r="A43" s="1653" t="s">
        <v>235</v>
      </c>
      <c r="B43" s="1593">
        <f>133190970.36</f>
        <v>133190970.36</v>
      </c>
      <c r="C43" s="1593">
        <f>132604814.21</f>
        <v>132604814.20999999</v>
      </c>
      <c r="D43" s="1593">
        <f>132604814.21</f>
        <v>132604814.20999999</v>
      </c>
      <c r="E43" s="1654" t="s">
        <v>232</v>
      </c>
      <c r="F43" s="1654" t="s">
        <v>232</v>
      </c>
      <c r="G43" s="1654" t="s">
        <v>232</v>
      </c>
      <c r="H43" s="1654" t="s">
        <v>232</v>
      </c>
      <c r="I43" s="1654" t="s">
        <v>232</v>
      </c>
      <c r="J43" s="1594">
        <v>0.11941478809250937</v>
      </c>
      <c r="K43" s="1594">
        <v>99.559912996792733</v>
      </c>
      <c r="L43" s="1534"/>
    </row>
    <row r="44" spans="1:12" ht="27">
      <c r="A44" s="1653" t="s">
        <v>237</v>
      </c>
      <c r="B44" s="1593">
        <f>75237102.36</f>
        <v>75237102.359999999</v>
      </c>
      <c r="C44" s="1593">
        <f>69781106.08</f>
        <v>69781106.079999998</v>
      </c>
      <c r="D44" s="1593">
        <f>70545424.24</f>
        <v>70545424.239999995</v>
      </c>
      <c r="E44" s="1654" t="s">
        <v>232</v>
      </c>
      <c r="F44" s="1654" t="s">
        <v>232</v>
      </c>
      <c r="G44" s="1654" t="s">
        <v>232</v>
      </c>
      <c r="H44" s="1654" t="s">
        <v>232</v>
      </c>
      <c r="I44" s="1654" t="s">
        <v>232</v>
      </c>
      <c r="J44" s="1594">
        <v>6.2840071418581403E-2</v>
      </c>
      <c r="K44" s="1594">
        <v>92.74826367728285</v>
      </c>
      <c r="L44" s="1534"/>
    </row>
    <row r="45" spans="1:12">
      <c r="A45" s="1653" t="s">
        <v>235</v>
      </c>
      <c r="B45" s="1593">
        <f>58361116.44</f>
        <v>58361116.439999998</v>
      </c>
      <c r="C45" s="1593">
        <f>53471574.51</f>
        <v>53471574.509999998</v>
      </c>
      <c r="D45" s="1593">
        <f>54183327.56</f>
        <v>54183327.560000002</v>
      </c>
      <c r="E45" s="1654" t="s">
        <v>232</v>
      </c>
      <c r="F45" s="1654" t="s">
        <v>232</v>
      </c>
      <c r="G45" s="1654" t="s">
        <v>232</v>
      </c>
      <c r="H45" s="1654" t="s">
        <v>232</v>
      </c>
      <c r="I45" s="1654" t="s">
        <v>232</v>
      </c>
      <c r="J45" s="1594">
        <v>4.81528274604901E-2</v>
      </c>
      <c r="K45" s="1594">
        <v>91.621918448001509</v>
      </c>
      <c r="L45" s="1534"/>
    </row>
    <row r="46" spans="1:12" ht="40.5">
      <c r="A46" s="1653" t="s">
        <v>1122</v>
      </c>
      <c r="B46" s="1593">
        <f>530540002.26</f>
        <v>530540002.25999999</v>
      </c>
      <c r="C46" s="1593">
        <f>679861885.88</f>
        <v>679861885.88</v>
      </c>
      <c r="D46" s="1593">
        <f>633731976.74</f>
        <v>633731976.74000001</v>
      </c>
      <c r="E46" s="1654" t="s">
        <v>232</v>
      </c>
      <c r="F46" s="1654" t="s">
        <v>232</v>
      </c>
      <c r="G46" s="1654" t="s">
        <v>232</v>
      </c>
      <c r="H46" s="1654" t="s">
        <v>232</v>
      </c>
      <c r="I46" s="1654" t="s">
        <v>232</v>
      </c>
      <c r="J46" s="1594">
        <v>0.61223692004095898</v>
      </c>
      <c r="K46" s="1594">
        <v>128.14526387905099</v>
      </c>
      <c r="L46" s="1534"/>
    </row>
    <row r="47" spans="1:12">
      <c r="A47" s="1653" t="s">
        <v>1123</v>
      </c>
      <c r="B47" s="1593">
        <f>300967320.24</f>
        <v>300967320.24000001</v>
      </c>
      <c r="C47" s="1593">
        <f>455406837.48</f>
        <v>455406837.48000002</v>
      </c>
      <c r="D47" s="1593">
        <f>408643760.75</f>
        <v>408643760.75</v>
      </c>
      <c r="E47" s="1654" t="s">
        <v>232</v>
      </c>
      <c r="F47" s="1654" t="s">
        <v>232</v>
      </c>
      <c r="G47" s="1654" t="s">
        <v>232</v>
      </c>
      <c r="H47" s="1654" t="s">
        <v>232</v>
      </c>
      <c r="I47" s="1654" t="s">
        <v>232</v>
      </c>
      <c r="J47" s="1594">
        <v>0.41010811950938186</v>
      </c>
      <c r="K47" s="1594">
        <v>151.31438094901648</v>
      </c>
      <c r="L47" s="1534"/>
    </row>
    <row r="48" spans="1:12">
      <c r="A48" s="1098" t="s">
        <v>239</v>
      </c>
      <c r="B48" s="1590">
        <f>453051477.06</f>
        <v>453051477.06</v>
      </c>
      <c r="C48" s="1590">
        <f>448102906.57</f>
        <v>448102906.56999999</v>
      </c>
      <c r="D48" s="1590">
        <f>448392716.18</f>
        <v>448392716.18000001</v>
      </c>
      <c r="E48" s="1654" t="s">
        <v>232</v>
      </c>
      <c r="F48" s="1654" t="s">
        <v>232</v>
      </c>
      <c r="G48" s="1654" t="s">
        <v>232</v>
      </c>
      <c r="H48" s="1654" t="s">
        <v>232</v>
      </c>
      <c r="I48" s="1654" t="s">
        <v>232</v>
      </c>
      <c r="J48" s="1591">
        <v>0.4035307009815845</v>
      </c>
      <c r="K48" s="1591">
        <v>98.907724455041418</v>
      </c>
      <c r="L48" s="1534"/>
    </row>
    <row r="49" spans="1:12">
      <c r="A49" s="1653" t="s">
        <v>240</v>
      </c>
      <c r="B49" s="1593">
        <f>404898407.03</f>
        <v>404898407.02999997</v>
      </c>
      <c r="C49" s="1593">
        <f>399559034.91</f>
        <v>399559034.91000003</v>
      </c>
      <c r="D49" s="1593">
        <f>399742866.63</f>
        <v>399742866.63</v>
      </c>
      <c r="E49" s="1654" t="s">
        <v>232</v>
      </c>
      <c r="F49" s="1654" t="s">
        <v>232</v>
      </c>
      <c r="G49" s="1654" t="s">
        <v>232</v>
      </c>
      <c r="H49" s="1654" t="s">
        <v>232</v>
      </c>
      <c r="I49" s="1654" t="s">
        <v>232</v>
      </c>
      <c r="J49" s="1594">
        <v>0.35981542426253066</v>
      </c>
      <c r="K49" s="1594">
        <v>98.681305723288659</v>
      </c>
      <c r="L49" s="1534"/>
    </row>
    <row r="50" spans="1:12">
      <c r="A50" s="1098" t="s">
        <v>241</v>
      </c>
      <c r="B50" s="1593">
        <f>4749780667.99</f>
        <v>4749780667.9899998</v>
      </c>
      <c r="C50" s="1593">
        <f>3665866182.18</f>
        <v>3665866182.1799998</v>
      </c>
      <c r="D50" s="1593">
        <f>3665462737.92</f>
        <v>3665462737.9200001</v>
      </c>
      <c r="E50" s="1654" t="s">
        <v>232</v>
      </c>
      <c r="F50" s="1654" t="s">
        <v>232</v>
      </c>
      <c r="G50" s="1654" t="s">
        <v>232</v>
      </c>
      <c r="H50" s="1654" t="s">
        <v>232</v>
      </c>
      <c r="I50" s="1654" t="s">
        <v>232</v>
      </c>
      <c r="J50" s="1594">
        <v>3.3012273040650193</v>
      </c>
      <c r="K50" s="1594">
        <v>77.179693935874141</v>
      </c>
      <c r="L50" s="1534"/>
    </row>
    <row r="51" spans="1:12">
      <c r="A51" s="1653" t="s">
        <v>242</v>
      </c>
      <c r="B51" s="1593">
        <f>4080786614.39</f>
        <v>4080786614.3899999</v>
      </c>
      <c r="C51" s="1593">
        <f>3135160289.32</f>
        <v>3135160289.3200002</v>
      </c>
      <c r="D51" s="1593">
        <f>3135948946.27</f>
        <v>3135948946.27</v>
      </c>
      <c r="E51" s="1654" t="s">
        <v>232</v>
      </c>
      <c r="F51" s="1654" t="s">
        <v>232</v>
      </c>
      <c r="G51" s="1654" t="s">
        <v>232</v>
      </c>
      <c r="H51" s="1654" t="s">
        <v>232</v>
      </c>
      <c r="I51" s="1654" t="s">
        <v>232</v>
      </c>
      <c r="J51" s="1594">
        <v>2.8233100269821505</v>
      </c>
      <c r="K51" s="1594">
        <v>76.827351821448943</v>
      </c>
      <c r="L51" s="1534"/>
    </row>
    <row r="52" spans="1:12" ht="27">
      <c r="A52" s="1098" t="s">
        <v>243</v>
      </c>
      <c r="B52" s="1590">
        <f>B53+B54+B55+B59</f>
        <v>21891841540</v>
      </c>
      <c r="C52" s="1590">
        <f>C53+C54+C55+C59</f>
        <v>22789913210</v>
      </c>
      <c r="D52" s="1590">
        <f>D53+D54+D55+D59</f>
        <v>22785425147</v>
      </c>
      <c r="E52" s="1654" t="s">
        <v>232</v>
      </c>
      <c r="F52" s="1654" t="s">
        <v>232</v>
      </c>
      <c r="G52" s="1654" t="s">
        <v>232</v>
      </c>
      <c r="H52" s="1654" t="s">
        <v>232</v>
      </c>
      <c r="I52" s="1654" t="s">
        <v>232</v>
      </c>
      <c r="J52" s="1591">
        <v>20.523030576469068</v>
      </c>
      <c r="K52" s="1591">
        <v>104.10231212554264</v>
      </c>
      <c r="L52" s="1534"/>
    </row>
    <row r="53" spans="1:12">
      <c r="A53" s="1653" t="s">
        <v>245</v>
      </c>
      <c r="B53" s="1593">
        <f>18064303638</f>
        <v>18064303638</v>
      </c>
      <c r="C53" s="1593">
        <f>18066052075</f>
        <v>18066052075</v>
      </c>
      <c r="D53" s="1593">
        <f>18061564012</f>
        <v>18061564012</v>
      </c>
      <c r="E53" s="1654" t="s">
        <v>232</v>
      </c>
      <c r="F53" s="1654" t="s">
        <v>232</v>
      </c>
      <c r="G53" s="1654" t="s">
        <v>232</v>
      </c>
      <c r="H53" s="1654" t="s">
        <v>232</v>
      </c>
      <c r="I53" s="1654" t="s">
        <v>232</v>
      </c>
      <c r="J53" s="1594">
        <v>16.269045683272591</v>
      </c>
      <c r="K53" s="1594">
        <v>100.00967896153119</v>
      </c>
      <c r="L53" s="1534"/>
    </row>
    <row r="54" spans="1:12">
      <c r="A54" s="1653" t="s">
        <v>249</v>
      </c>
      <c r="B54" s="1593">
        <f>2441370568</f>
        <v>2441370568</v>
      </c>
      <c r="C54" s="1595">
        <f>3337693801</f>
        <v>3337693801</v>
      </c>
      <c r="D54" s="1593">
        <f>3337693801</f>
        <v>3337693801</v>
      </c>
      <c r="E54" s="1654" t="s">
        <v>232</v>
      </c>
      <c r="F54" s="1654" t="s">
        <v>232</v>
      </c>
      <c r="G54" s="1654" t="s">
        <v>232</v>
      </c>
      <c r="H54" s="1654" t="s">
        <v>232</v>
      </c>
      <c r="I54" s="1654" t="s">
        <v>232</v>
      </c>
      <c r="J54" s="1594">
        <v>3.0056977971621799</v>
      </c>
      <c r="K54" s="1594">
        <v>136.7139362106048</v>
      </c>
      <c r="L54" s="1534"/>
    </row>
    <row r="55" spans="1:12">
      <c r="A55" s="1098" t="s">
        <v>690</v>
      </c>
      <c r="B55" s="1590">
        <f>B56+B57+B58</f>
        <v>341478315</v>
      </c>
      <c r="C55" s="1590">
        <f>C56+C57+C58</f>
        <v>341478315</v>
      </c>
      <c r="D55" s="1590">
        <f>D56+D57+D58</f>
        <v>341478315</v>
      </c>
      <c r="E55" s="1654" t="s">
        <v>232</v>
      </c>
      <c r="F55" s="1654" t="s">
        <v>232</v>
      </c>
      <c r="G55" s="1654" t="s">
        <v>232</v>
      </c>
      <c r="H55" s="1654" t="s">
        <v>232</v>
      </c>
      <c r="I55" s="1654" t="s">
        <v>232</v>
      </c>
      <c r="J55" s="1591">
        <v>0.30751191702086067</v>
      </c>
      <c r="K55" s="1591">
        <v>100</v>
      </c>
      <c r="L55" s="1534"/>
    </row>
    <row r="56" spans="1:12">
      <c r="A56" s="1653" t="s">
        <v>244</v>
      </c>
      <c r="B56" s="1593">
        <f>237866748</f>
        <v>237866748</v>
      </c>
      <c r="C56" s="1595">
        <f>237866748</f>
        <v>237866748</v>
      </c>
      <c r="D56" s="1593">
        <f>237866748</f>
        <v>237866748</v>
      </c>
      <c r="E56" s="1654" t="s">
        <v>232</v>
      </c>
      <c r="F56" s="1654" t="s">
        <v>232</v>
      </c>
      <c r="G56" s="1654" t="s">
        <v>232</v>
      </c>
      <c r="H56" s="1654" t="s">
        <v>232</v>
      </c>
      <c r="I56" s="1654" t="s">
        <v>232</v>
      </c>
      <c r="J56" s="1594">
        <v>0.21420645604684438</v>
      </c>
      <c r="K56" s="1594">
        <v>100</v>
      </c>
      <c r="L56" s="1534"/>
    </row>
    <row r="57" spans="1:12">
      <c r="A57" s="1653" t="s">
        <v>246</v>
      </c>
      <c r="B57" s="1593">
        <f>3163088</f>
        <v>3163088</v>
      </c>
      <c r="C57" s="1593">
        <f>3163088</f>
        <v>3163088</v>
      </c>
      <c r="D57" s="1593">
        <f>3163088</f>
        <v>3163088</v>
      </c>
      <c r="E57" s="1654" t="s">
        <v>232</v>
      </c>
      <c r="F57" s="1654" t="s">
        <v>232</v>
      </c>
      <c r="G57" s="1654" t="s">
        <v>232</v>
      </c>
      <c r="H57" s="1654" t="s">
        <v>232</v>
      </c>
      <c r="I57" s="1654" t="s">
        <v>232</v>
      </c>
      <c r="J57" s="1594">
        <v>2.8484598050850757E-3</v>
      </c>
      <c r="K57" s="1594">
        <v>100</v>
      </c>
      <c r="L57" s="1534"/>
    </row>
    <row r="58" spans="1:12">
      <c r="A58" s="1653" t="s">
        <v>247</v>
      </c>
      <c r="B58" s="1593">
        <f>100448479</f>
        <v>100448479</v>
      </c>
      <c r="C58" s="1595">
        <f>100448479</f>
        <v>100448479</v>
      </c>
      <c r="D58" s="1593">
        <f>100448479</f>
        <v>100448479</v>
      </c>
      <c r="E58" s="1654" t="s">
        <v>232</v>
      </c>
      <c r="F58" s="1654" t="s">
        <v>232</v>
      </c>
      <c r="G58" s="1654" t="s">
        <v>232</v>
      </c>
      <c r="H58" s="1654" t="s">
        <v>232</v>
      </c>
      <c r="I58" s="1654" t="s">
        <v>232</v>
      </c>
      <c r="J58" s="1594">
        <v>9.0457001168931225E-2</v>
      </c>
      <c r="K58" s="1594">
        <v>100</v>
      </c>
      <c r="L58" s="1534"/>
    </row>
    <row r="59" spans="1:12">
      <c r="A59" s="1098" t="s">
        <v>1124</v>
      </c>
      <c r="B59" s="1590">
        <f>B60+B61</f>
        <v>1044689019</v>
      </c>
      <c r="C59" s="1590">
        <f>C60+C61</f>
        <v>1044689019</v>
      </c>
      <c r="D59" s="1590">
        <f>D60+D61</f>
        <v>1044689019</v>
      </c>
      <c r="E59" s="1654" t="s">
        <v>232</v>
      </c>
      <c r="F59" s="1654" t="s">
        <v>232</v>
      </c>
      <c r="G59" s="1654" t="s">
        <v>232</v>
      </c>
      <c r="H59" s="1654" t="s">
        <v>232</v>
      </c>
      <c r="I59" s="1654" t="s">
        <v>232</v>
      </c>
      <c r="J59" s="1591">
        <v>0.94077517901343843</v>
      </c>
      <c r="K59" s="1591">
        <v>100</v>
      </c>
      <c r="L59" s="1534"/>
    </row>
    <row r="60" spans="1:12">
      <c r="A60" s="1653" t="s">
        <v>247</v>
      </c>
      <c r="B60" s="1593">
        <f>912654608</f>
        <v>912654608</v>
      </c>
      <c r="C60" s="1595">
        <f>912654608</f>
        <v>912654608</v>
      </c>
      <c r="D60" s="1593">
        <f>912654608</f>
        <v>912654608</v>
      </c>
      <c r="E60" s="1654" t="s">
        <v>232</v>
      </c>
      <c r="F60" s="1654" t="s">
        <v>232</v>
      </c>
      <c r="G60" s="1654" t="s">
        <v>232</v>
      </c>
      <c r="H60" s="1654" t="s">
        <v>232</v>
      </c>
      <c r="I60" s="1654" t="s">
        <v>232</v>
      </c>
      <c r="J60" s="1594">
        <v>0.82187405687533077</v>
      </c>
      <c r="K60" s="1594">
        <v>100</v>
      </c>
      <c r="L60" s="1534"/>
    </row>
    <row r="61" spans="1:12">
      <c r="A61" s="1653" t="s">
        <v>244</v>
      </c>
      <c r="B61" s="1593">
        <f>132034411</f>
        <v>132034411</v>
      </c>
      <c r="C61" s="1593">
        <f>132034411</f>
        <v>132034411</v>
      </c>
      <c r="D61" s="1593">
        <f>132034411</f>
        <v>132034411</v>
      </c>
      <c r="E61" s="1654" t="s">
        <v>232</v>
      </c>
      <c r="F61" s="1654" t="s">
        <v>232</v>
      </c>
      <c r="G61" s="1654" t="s">
        <v>232</v>
      </c>
      <c r="H61" s="1654" t="s">
        <v>232</v>
      </c>
      <c r="I61" s="1654" t="s">
        <v>232</v>
      </c>
      <c r="J61" s="1594">
        <v>0.11890112213810769</v>
      </c>
      <c r="K61" s="1594">
        <v>100</v>
      </c>
      <c r="L61" s="1534"/>
    </row>
    <row r="62" spans="1:12">
      <c r="A62" s="1101"/>
      <c r="B62" s="1533"/>
      <c r="C62" s="1533"/>
      <c r="D62" s="1533"/>
      <c r="E62" s="1533"/>
      <c r="F62" s="1533"/>
      <c r="G62" s="1533"/>
      <c r="H62" s="1533"/>
      <c r="I62" s="1533"/>
      <c r="J62" s="1094"/>
      <c r="K62" s="1094"/>
      <c r="L62" s="1534"/>
    </row>
    <row r="63" spans="1:12">
      <c r="A63" s="1290" t="s">
        <v>222</v>
      </c>
      <c r="B63" s="1656">
        <f t="shared" ref="B63:I63" si="1">+B5</f>
        <v>108010279664.71001</v>
      </c>
      <c r="C63" s="1656">
        <f t="shared" si="1"/>
        <v>111045555017.25</v>
      </c>
      <c r="D63" s="1656">
        <f t="shared" si="1"/>
        <v>110606001808.38</v>
      </c>
      <c r="E63" s="1656">
        <f t="shared" si="1"/>
        <v>526091944.00999999</v>
      </c>
      <c r="F63" s="1656">
        <f t="shared" si="1"/>
        <v>155059512.24000001</v>
      </c>
      <c r="G63" s="1656">
        <f t="shared" si="1"/>
        <v>38940306.189999998</v>
      </c>
      <c r="H63" s="1656">
        <f t="shared" si="1"/>
        <v>92437463.579999998</v>
      </c>
      <c r="I63" s="1656">
        <f t="shared" si="1"/>
        <v>4607666.49</v>
      </c>
      <c r="J63" s="1591">
        <v>100</v>
      </c>
      <c r="K63" s="1591">
        <v>102.81017266315968</v>
      </c>
      <c r="L63" s="1534"/>
    </row>
    <row r="64" spans="1:12">
      <c r="A64" s="1606" t="s">
        <v>740</v>
      </c>
      <c r="B64" s="1593">
        <f>8569159354.25</f>
        <v>8569159354.25</v>
      </c>
      <c r="C64" s="1593">
        <f>7848987503.92</f>
        <v>7848987503.9200001</v>
      </c>
      <c r="D64" s="1593">
        <f>7808105483.64</f>
        <v>7808105483.6400003</v>
      </c>
      <c r="E64" s="1593">
        <f>0</f>
        <v>0</v>
      </c>
      <c r="F64" s="1593">
        <f>0</f>
        <v>0</v>
      </c>
      <c r="G64" s="1593">
        <f>0</f>
        <v>0</v>
      </c>
      <c r="H64" s="1593">
        <f>0</f>
        <v>0</v>
      </c>
      <c r="I64" s="1593">
        <f>0</f>
        <v>0</v>
      </c>
      <c r="J64" s="1594">
        <v>7.0682590606177129</v>
      </c>
      <c r="K64" s="1594">
        <v>91.595770126823226</v>
      </c>
      <c r="L64" s="1534"/>
    </row>
    <row r="65" spans="1:12">
      <c r="A65" s="1606" t="s">
        <v>739</v>
      </c>
      <c r="B65" s="1593">
        <f>B63-B64</f>
        <v>99441120310.460007</v>
      </c>
      <c r="C65" s="1593">
        <f t="shared" ref="C65:I65" si="2">C63-C64</f>
        <v>103196567513.33</v>
      </c>
      <c r="D65" s="1593">
        <f t="shared" si="2"/>
        <v>102797896324.74001</v>
      </c>
      <c r="E65" s="1593">
        <f t="shared" si="2"/>
        <v>526091944.00999999</v>
      </c>
      <c r="F65" s="1593">
        <f t="shared" si="2"/>
        <v>155059512.24000001</v>
      </c>
      <c r="G65" s="1593">
        <f t="shared" si="2"/>
        <v>38940306.189999998</v>
      </c>
      <c r="H65" s="1593">
        <f t="shared" si="2"/>
        <v>92437463.579999998</v>
      </c>
      <c r="I65" s="1593">
        <f t="shared" si="2"/>
        <v>4607666.49</v>
      </c>
      <c r="J65" s="1594">
        <v>92.931740939382294</v>
      </c>
      <c r="K65" s="1594">
        <v>103.77655359387073</v>
      </c>
      <c r="L65" s="1535"/>
    </row>
    <row r="66" spans="1:12">
      <c r="A66" s="1993" t="s">
        <v>3</v>
      </c>
      <c r="B66" s="1993"/>
      <c r="C66" s="1993"/>
      <c r="D66" s="1993"/>
      <c r="E66" s="1993"/>
      <c r="F66" s="1993"/>
      <c r="G66" s="1993"/>
      <c r="H66" s="1993"/>
      <c r="I66" s="1993"/>
      <c r="J66" s="1993"/>
      <c r="K66" s="1993"/>
      <c r="L66" s="1993"/>
    </row>
    <row r="67" spans="1:12">
      <c r="A67" s="1536"/>
      <c r="B67" s="1537"/>
      <c r="C67" s="1537"/>
      <c r="D67" s="1537"/>
      <c r="E67" s="1103"/>
      <c r="F67" s="1103"/>
      <c r="G67" s="1103"/>
      <c r="H67" s="1103"/>
      <c r="I67" s="1103"/>
      <c r="J67" s="1091"/>
      <c r="K67" s="1091"/>
      <c r="L67" s="1535"/>
    </row>
    <row r="68" spans="1:12" ht="25.9" customHeight="1">
      <c r="A68" s="1994" t="s">
        <v>218</v>
      </c>
      <c r="B68" s="1995" t="s">
        <v>1080</v>
      </c>
      <c r="C68" s="1995" t="s">
        <v>1088</v>
      </c>
      <c r="D68" s="1995" t="s">
        <v>1089</v>
      </c>
      <c r="E68" s="1995" t="s">
        <v>250</v>
      </c>
      <c r="F68" s="1995"/>
      <c r="G68" s="1995"/>
      <c r="H68" s="1995" t="s">
        <v>1090</v>
      </c>
      <c r="I68" s="1995"/>
      <c r="J68" s="1995" t="s">
        <v>219</v>
      </c>
      <c r="K68" s="1997" t="s">
        <v>1094</v>
      </c>
      <c r="L68" s="1524"/>
    </row>
    <row r="69" spans="1:12">
      <c r="A69" s="1994"/>
      <c r="B69" s="1995"/>
      <c r="C69" s="1996"/>
      <c r="D69" s="1995"/>
      <c r="E69" s="1995" t="s">
        <v>1091</v>
      </c>
      <c r="F69" s="1996" t="s">
        <v>252</v>
      </c>
      <c r="G69" s="1996"/>
      <c r="H69" s="1995"/>
      <c r="I69" s="1995"/>
      <c r="J69" s="1995"/>
      <c r="K69" s="1997"/>
      <c r="L69" s="1101"/>
    </row>
    <row r="70" spans="1:12" ht="54">
      <c r="A70" s="1994"/>
      <c r="B70" s="1995"/>
      <c r="C70" s="1996"/>
      <c r="D70" s="1995"/>
      <c r="E70" s="1996"/>
      <c r="F70" s="1104" t="s">
        <v>1092</v>
      </c>
      <c r="G70" s="1104" t="s">
        <v>1093</v>
      </c>
      <c r="H70" s="1995"/>
      <c r="I70" s="1995"/>
      <c r="J70" s="1995"/>
      <c r="K70" s="1997"/>
      <c r="L70" s="1101"/>
    </row>
    <row r="71" spans="1:12">
      <c r="A71" s="1994"/>
      <c r="B71" s="2005" t="s">
        <v>4</v>
      </c>
      <c r="C71" s="2005"/>
      <c r="D71" s="2005"/>
      <c r="E71" s="2005"/>
      <c r="F71" s="2005"/>
      <c r="G71" s="2005"/>
      <c r="H71" s="2005"/>
      <c r="I71" s="2005"/>
      <c r="J71" s="2005" t="s">
        <v>5</v>
      </c>
      <c r="K71" s="2005"/>
      <c r="L71" s="1524"/>
    </row>
    <row r="72" spans="1:12">
      <c r="A72" s="1122" t="s">
        <v>887</v>
      </c>
      <c r="B72" s="1600" t="s">
        <v>888</v>
      </c>
      <c r="C72" s="1600" t="s">
        <v>889</v>
      </c>
      <c r="D72" s="1600" t="s">
        <v>890</v>
      </c>
      <c r="E72" s="1122" t="s">
        <v>891</v>
      </c>
      <c r="F72" s="1122" t="s">
        <v>892</v>
      </c>
      <c r="G72" s="1600" t="s">
        <v>893</v>
      </c>
      <c r="H72" s="2004" t="s">
        <v>894</v>
      </c>
      <c r="I72" s="2004"/>
      <c r="J72" s="1122" t="s">
        <v>932</v>
      </c>
      <c r="K72" s="1600" t="s">
        <v>966</v>
      </c>
      <c r="L72" s="1524"/>
    </row>
    <row r="73" spans="1:12" ht="27">
      <c r="A73" s="1098" t="s">
        <v>253</v>
      </c>
      <c r="B73" s="1601">
        <f>115172486565.64</f>
        <v>115172486565.64</v>
      </c>
      <c r="C73" s="1601">
        <f>108243654572.94</f>
        <v>108243654572.94</v>
      </c>
      <c r="D73" s="1601">
        <f>108203485541.17</f>
        <v>108203485541.17</v>
      </c>
      <c r="E73" s="1601">
        <f>4982579266.77</f>
        <v>4982579266.7700005</v>
      </c>
      <c r="F73" s="1601">
        <f>164522.51</f>
        <v>164522.51</v>
      </c>
      <c r="G73" s="1601">
        <f>2845290.6</f>
        <v>2845290.6</v>
      </c>
      <c r="H73" s="1998">
        <f>544905922.41</f>
        <v>544905922.40999997</v>
      </c>
      <c r="I73" s="1998"/>
      <c r="J73" s="1602">
        <v>100</v>
      </c>
      <c r="K73" s="1602">
        <v>93.949074790099132</v>
      </c>
      <c r="L73" s="1524"/>
    </row>
    <row r="74" spans="1:12">
      <c r="A74" s="1098" t="s">
        <v>254</v>
      </c>
      <c r="B74" s="1603">
        <f>19431333762.86</f>
        <v>19431333762.860001</v>
      </c>
      <c r="C74" s="1603">
        <f>15677316152.61</f>
        <v>15677316152.610001</v>
      </c>
      <c r="D74" s="1603">
        <f>15648193584.38</f>
        <v>15648193584.379999</v>
      </c>
      <c r="E74" s="1603">
        <f>609600680.31</f>
        <v>609600680.30999994</v>
      </c>
      <c r="F74" s="1603">
        <f>567.01</f>
        <v>567.01</v>
      </c>
      <c r="G74" s="1603">
        <f>84200.86</f>
        <v>84200.86</v>
      </c>
      <c r="H74" s="1987">
        <f>506859898.72</f>
        <v>506859898.72000003</v>
      </c>
      <c r="I74" s="1987"/>
      <c r="J74" s="1602">
        <v>14.461820251091698</v>
      </c>
      <c r="K74" s="1602">
        <v>80.530723085458547</v>
      </c>
      <c r="L74" s="1524"/>
    </row>
    <row r="75" spans="1:12">
      <c r="A75" s="1653" t="s">
        <v>255</v>
      </c>
      <c r="B75" s="1593">
        <f>17549617354.09</f>
        <v>17549617354.09</v>
      </c>
      <c r="C75" s="1593">
        <f>13924554602</f>
        <v>13924554602</v>
      </c>
      <c r="D75" s="1593">
        <f>13895432033.77</f>
        <v>13895432033.77</v>
      </c>
      <c r="E75" s="1593">
        <f>583200900.72</f>
        <v>583200900.72000003</v>
      </c>
      <c r="F75" s="1593">
        <f>567.01</f>
        <v>567.01</v>
      </c>
      <c r="G75" s="1593">
        <f>84200.86</f>
        <v>84200.86</v>
      </c>
      <c r="H75" s="1986">
        <f>506859898.72</f>
        <v>506859898.72000003</v>
      </c>
      <c r="I75" s="1986"/>
      <c r="J75" s="1604">
        <v>12.841944937608291</v>
      </c>
      <c r="K75" s="1604">
        <v>79.177977236817767</v>
      </c>
      <c r="L75" s="1524"/>
    </row>
    <row r="76" spans="1:12" ht="27">
      <c r="A76" s="1098" t="s">
        <v>256</v>
      </c>
      <c r="B76" s="1603">
        <f t="shared" ref="B76:H76" si="3">B73-B74</f>
        <v>95741152802.779999</v>
      </c>
      <c r="C76" s="1603">
        <f t="shared" si="3"/>
        <v>92566338420.330002</v>
      </c>
      <c r="D76" s="1603">
        <f t="shared" si="3"/>
        <v>92555291956.789993</v>
      </c>
      <c r="E76" s="1603">
        <f t="shared" si="3"/>
        <v>4372978586.460001</v>
      </c>
      <c r="F76" s="1603">
        <f t="shared" si="3"/>
        <v>163955.5</v>
      </c>
      <c r="G76" s="1603">
        <f t="shared" si="3"/>
        <v>2761089.74</v>
      </c>
      <c r="H76" s="1987">
        <f t="shared" si="3"/>
        <v>38046023.689999938</v>
      </c>
      <c r="I76" s="1987"/>
      <c r="J76" s="1602">
        <v>85.538179748908306</v>
      </c>
      <c r="K76" s="1602">
        <v>96.672422722387054</v>
      </c>
      <c r="L76" s="1524"/>
    </row>
    <row r="77" spans="1:12" ht="27">
      <c r="A77" s="1653" t="s">
        <v>257</v>
      </c>
      <c r="B77" s="1593">
        <f>35176200032.57</f>
        <v>35176200032.57</v>
      </c>
      <c r="C77" s="1593">
        <f>34647929307.57</f>
        <v>34647929307.57</v>
      </c>
      <c r="D77" s="1593">
        <f>34647274096.37</f>
        <v>34647274096.370003</v>
      </c>
      <c r="E77" s="1593">
        <f>2947270707.25001</f>
        <v>2947270707.25001</v>
      </c>
      <c r="F77" s="1593">
        <f>18488.5</f>
        <v>18488.5</v>
      </c>
      <c r="G77" s="1593">
        <f>1407.41</f>
        <v>1407.41</v>
      </c>
      <c r="H77" s="1986">
        <f>4045</f>
        <v>4045</v>
      </c>
      <c r="I77" s="1986"/>
      <c r="J77" s="1604">
        <v>32.020478751756265</v>
      </c>
      <c r="K77" s="1604">
        <v>98.496352830293617</v>
      </c>
      <c r="L77" s="1524"/>
    </row>
    <row r="78" spans="1:12">
      <c r="A78" s="1653" t="s">
        <v>258</v>
      </c>
      <c r="B78" s="1605">
        <f>10712486186.27</f>
        <v>10712486186.27</v>
      </c>
      <c r="C78" s="1605">
        <f>10578321159.46</f>
        <v>10578321159.459999</v>
      </c>
      <c r="D78" s="1605">
        <f>10576018374.16</f>
        <v>10576018374.16</v>
      </c>
      <c r="E78" s="1605">
        <f>5421351.86</f>
        <v>5421351.8600000003</v>
      </c>
      <c r="F78" s="1605">
        <f>0</f>
        <v>0</v>
      </c>
      <c r="G78" s="1605">
        <f>0</f>
        <v>0</v>
      </c>
      <c r="H78" s="2001">
        <f>0</f>
        <v>0</v>
      </c>
      <c r="I78" s="2001"/>
      <c r="J78" s="1604">
        <v>9.7741937990860421</v>
      </c>
      <c r="K78" s="1604">
        <v>98.726086458950036</v>
      </c>
      <c r="L78" s="1524"/>
    </row>
    <row r="79" spans="1:12">
      <c r="A79" s="1653" t="s">
        <v>259</v>
      </c>
      <c r="B79" s="1593">
        <f>730145952.12</f>
        <v>730145952.12</v>
      </c>
      <c r="C79" s="1593">
        <f>557490969.03</f>
        <v>557490969.02999997</v>
      </c>
      <c r="D79" s="1593">
        <f>557490969.03</f>
        <v>557490969.02999997</v>
      </c>
      <c r="E79" s="1593">
        <f>23833538.43</f>
        <v>23833538.43</v>
      </c>
      <c r="F79" s="1593">
        <f>0</f>
        <v>0</v>
      </c>
      <c r="G79" s="1593">
        <f>0</f>
        <v>0</v>
      </c>
      <c r="H79" s="1986">
        <f>0</f>
        <v>0</v>
      </c>
      <c r="I79" s="1986"/>
      <c r="J79" s="1604">
        <v>0.51522459395994413</v>
      </c>
      <c r="K79" s="1604">
        <v>76.353360230418147</v>
      </c>
      <c r="L79" s="1524"/>
    </row>
    <row r="80" spans="1:12">
      <c r="A80" s="1653" t="s">
        <v>260</v>
      </c>
      <c r="B80" s="1605">
        <f>70121445.67</f>
        <v>70121445.670000002</v>
      </c>
      <c r="C80" s="1605">
        <f>11906046.47</f>
        <v>11906046.470000001</v>
      </c>
      <c r="D80" s="1605">
        <f>9262046.47</f>
        <v>9262046.4700000007</v>
      </c>
      <c r="E80" s="1605">
        <f>0</f>
        <v>0</v>
      </c>
      <c r="F80" s="1605">
        <f>0</f>
        <v>0</v>
      </c>
      <c r="G80" s="1605">
        <f>0</f>
        <v>0</v>
      </c>
      <c r="H80" s="2001">
        <f>0</f>
        <v>0</v>
      </c>
      <c r="I80" s="2001"/>
      <c r="J80" s="1604">
        <v>8.5598411397532249E-3</v>
      </c>
      <c r="K80" s="1604">
        <v>13.208578889813982</v>
      </c>
      <c r="L80" s="1524"/>
    </row>
    <row r="81" spans="1:14">
      <c r="A81" s="1653" t="s">
        <v>261</v>
      </c>
      <c r="B81" s="1605">
        <f>17307400385.68</f>
        <v>17307400385.68</v>
      </c>
      <c r="C81" s="1605">
        <f>17197221227.93</f>
        <v>17197221227.93</v>
      </c>
      <c r="D81" s="1605">
        <f>17196969785.63</f>
        <v>17196969785.630001</v>
      </c>
      <c r="E81" s="1605">
        <f>147768481.39</f>
        <v>147768481.38999999</v>
      </c>
      <c r="F81" s="1605">
        <f>30855</f>
        <v>30855</v>
      </c>
      <c r="G81" s="1605">
        <f>181579.25</f>
        <v>181579.25</v>
      </c>
      <c r="H81" s="2001">
        <f>0</f>
        <v>0</v>
      </c>
      <c r="I81" s="2002"/>
      <c r="J81" s="1604">
        <v>15.893175436651511</v>
      </c>
      <c r="K81" s="1604">
        <v>99.361945771235696</v>
      </c>
      <c r="L81" s="1524"/>
    </row>
    <row r="82" spans="1:14">
      <c r="A82" s="1653" t="s">
        <v>262</v>
      </c>
      <c r="B82" s="1593">
        <f t="shared" ref="B82:H82" si="4">B76-B77-B78-B79-B80-B81</f>
        <v>31744798800.470001</v>
      </c>
      <c r="C82" s="1593">
        <f t="shared" si="4"/>
        <v>29573469709.870003</v>
      </c>
      <c r="D82" s="1593">
        <f t="shared" si="4"/>
        <v>29568276685.129993</v>
      </c>
      <c r="E82" s="1593">
        <f t="shared" si="4"/>
        <v>1248684507.5299911</v>
      </c>
      <c r="F82" s="1593">
        <f t="shared" si="4"/>
        <v>114612</v>
      </c>
      <c r="G82" s="1593">
        <f t="shared" si="4"/>
        <v>2578103.08</v>
      </c>
      <c r="H82" s="2001">
        <f t="shared" si="4"/>
        <v>38041978.689999938</v>
      </c>
      <c r="I82" s="2002"/>
      <c r="J82" s="1604">
        <v>27.326547326314785</v>
      </c>
      <c r="K82" s="1604">
        <v>93.143689052747177</v>
      </c>
      <c r="L82" s="1524"/>
    </row>
    <row r="83" spans="1:14">
      <c r="A83" s="1098" t="s">
        <v>263</v>
      </c>
      <c r="B83" s="1657">
        <f>B5-B73</f>
        <v>-7162206900.9299927</v>
      </c>
      <c r="C83" s="1657"/>
      <c r="D83" s="1657">
        <f>C5-D73</f>
        <v>2842069476.0800018</v>
      </c>
      <c r="E83" s="1538"/>
      <c r="F83" s="1538"/>
      <c r="G83" s="1538"/>
      <c r="H83" s="2272"/>
      <c r="I83" s="2272"/>
      <c r="J83" s="1539"/>
      <c r="K83" s="1539"/>
      <c r="L83" s="1103"/>
    </row>
    <row r="84" spans="1:14" ht="40.5">
      <c r="A84" s="1290" t="s">
        <v>1127</v>
      </c>
      <c r="B84" s="1657">
        <f>+B65-B76</f>
        <v>3699967507.6800079</v>
      </c>
      <c r="C84" s="1657"/>
      <c r="D84" s="1657">
        <f>+C65-D76</f>
        <v>10641275556.540009</v>
      </c>
      <c r="E84" s="1538"/>
      <c r="F84" s="1538"/>
      <c r="G84" s="1538"/>
      <c r="H84" s="1538"/>
      <c r="I84" s="1538"/>
      <c r="J84" s="1539"/>
      <c r="K84" s="1539"/>
      <c r="L84" s="1103"/>
    </row>
    <row r="85" spans="1:14">
      <c r="A85" s="1490"/>
      <c r="B85" s="1538"/>
      <c r="C85" s="1538"/>
      <c r="D85" s="1538"/>
      <c r="E85" s="1538"/>
      <c r="F85" s="1538"/>
      <c r="G85" s="1538"/>
      <c r="H85" s="1538"/>
      <c r="I85" s="1538"/>
      <c r="J85" s="1539"/>
      <c r="K85" s="1539"/>
      <c r="L85" s="1103"/>
    </row>
    <row r="86" spans="1:14">
      <c r="A86" s="1394"/>
      <c r="B86" s="1540"/>
      <c r="C86" s="1540"/>
      <c r="D86" s="1540"/>
      <c r="E86" s="1535"/>
      <c r="F86" s="1535"/>
      <c r="G86" s="1535"/>
      <c r="H86" s="1535"/>
      <c r="I86" s="1524"/>
      <c r="J86" s="1524"/>
      <c r="K86" s="1524"/>
      <c r="L86" s="1524"/>
    </row>
    <row r="87" spans="1:14">
      <c r="A87" s="1400" t="s">
        <v>1074</v>
      </c>
      <c r="B87" s="1540"/>
      <c r="C87" s="1540"/>
      <c r="D87" s="1540"/>
      <c r="E87" s="1535"/>
      <c r="F87" s="1535"/>
      <c r="G87" s="1535"/>
      <c r="H87" s="1535"/>
      <c r="I87" s="1524"/>
      <c r="J87" s="1524"/>
      <c r="K87" s="1524"/>
      <c r="L87" s="1524"/>
    </row>
    <row r="88" spans="1:14">
      <c r="A88" s="1098" t="s">
        <v>1126</v>
      </c>
      <c r="B88" s="1657">
        <f>8222925562.36</f>
        <v>8222925562.3599997</v>
      </c>
      <c r="C88" s="1657">
        <f>6527548409.47999</f>
        <v>6527548409.47999</v>
      </c>
      <c r="D88" s="1657">
        <f>6509807121.24999</f>
        <v>6509807121.2499905</v>
      </c>
      <c r="E88" s="1657">
        <f>247802595.29</f>
        <v>247802595.28999999</v>
      </c>
      <c r="F88" s="1657">
        <f>10649.84</f>
        <v>10649.84</v>
      </c>
      <c r="G88" s="1657">
        <f>0</f>
        <v>0</v>
      </c>
      <c r="H88" s="1657">
        <f>144317572.08</f>
        <v>144317572.08000001</v>
      </c>
      <c r="I88" s="1657">
        <f>0</f>
        <v>0</v>
      </c>
      <c r="J88" s="1658">
        <v>100</v>
      </c>
      <c r="K88" s="1658">
        <v>79.166557837374611</v>
      </c>
      <c r="L88" s="1524"/>
    </row>
    <row r="89" spans="1:14">
      <c r="A89" s="1607" t="s">
        <v>740</v>
      </c>
      <c r="B89" s="1659">
        <f>7192571003.07</f>
        <v>7192571003.0699997</v>
      </c>
      <c r="C89" s="1659">
        <f>5832280275.19</f>
        <v>5832280275.1899996</v>
      </c>
      <c r="D89" s="1659">
        <f>5816132869.95</f>
        <v>5816132869.9499998</v>
      </c>
      <c r="E89" s="1659">
        <f>236604762.44</f>
        <v>236604762.44</v>
      </c>
      <c r="F89" s="1659">
        <f>0</f>
        <v>0</v>
      </c>
      <c r="G89" s="1659">
        <f>0</f>
        <v>0</v>
      </c>
      <c r="H89" s="1659">
        <f>137445280.76</f>
        <v>137445280.75999999</v>
      </c>
      <c r="I89" s="1659">
        <f>0</f>
        <v>0</v>
      </c>
      <c r="J89" s="1660">
        <v>89.344165835027169</v>
      </c>
      <c r="K89" s="1658">
        <v>80.863058111869933</v>
      </c>
      <c r="L89" s="1524"/>
    </row>
    <row r="90" spans="1:14">
      <c r="A90" s="1641" t="s">
        <v>739</v>
      </c>
      <c r="B90" s="1659">
        <f>B88-B89</f>
        <v>1030354559.29</v>
      </c>
      <c r="C90" s="1659">
        <f t="shared" ref="C90:I90" si="5">C88-C89</f>
        <v>695268134.28999043</v>
      </c>
      <c r="D90" s="1659">
        <f t="shared" si="5"/>
        <v>693674251.29999065</v>
      </c>
      <c r="E90" s="1659">
        <f t="shared" si="5"/>
        <v>11197832.849999994</v>
      </c>
      <c r="F90" s="1659">
        <f t="shared" si="5"/>
        <v>10649.84</v>
      </c>
      <c r="G90" s="1659">
        <f t="shared" si="5"/>
        <v>0</v>
      </c>
      <c r="H90" s="1659">
        <f t="shared" si="5"/>
        <v>6872291.3200000226</v>
      </c>
      <c r="I90" s="1659">
        <f t="shared" si="5"/>
        <v>0</v>
      </c>
      <c r="J90" s="1660">
        <v>10.655834164972829</v>
      </c>
      <c r="K90" s="1658">
        <v>67.323839647780076</v>
      </c>
      <c r="L90" s="1524"/>
    </row>
    <row r="91" spans="1:14">
      <c r="A91" s="1524"/>
      <c r="B91" s="1524"/>
      <c r="C91" s="1524"/>
      <c r="D91" s="1524"/>
      <c r="E91" s="1524"/>
      <c r="F91" s="1524"/>
      <c r="G91" s="1524"/>
      <c r="H91" s="1524"/>
      <c r="I91" s="1524"/>
      <c r="J91" s="1524"/>
      <c r="K91" s="1524"/>
      <c r="L91" s="1524"/>
    </row>
    <row r="92" spans="1:14">
      <c r="A92" s="1524"/>
      <c r="B92" s="1524"/>
      <c r="C92" s="1524"/>
      <c r="D92" s="1524"/>
      <c r="E92" s="1524"/>
      <c r="F92" s="1524"/>
      <c r="G92" s="1524"/>
      <c r="H92" s="1524"/>
      <c r="I92" s="1524"/>
      <c r="J92" s="1524"/>
      <c r="K92" s="1524"/>
      <c r="L92" s="1524"/>
    </row>
    <row r="93" spans="1:14" ht="27">
      <c r="A93" s="1995" t="s">
        <v>68</v>
      </c>
      <c r="B93" s="1104" t="s">
        <v>1109</v>
      </c>
      <c r="C93" s="1608" t="s">
        <v>264</v>
      </c>
      <c r="D93" s="1608" t="s">
        <v>22</v>
      </c>
      <c r="E93" s="1608" t="s">
        <v>265</v>
      </c>
      <c r="F93" s="1524"/>
      <c r="G93" s="1524"/>
      <c r="H93" s="1524"/>
      <c r="I93" s="1524"/>
      <c r="J93" s="1524"/>
      <c r="M93" s="1513"/>
      <c r="N93" s="1513"/>
    </row>
    <row r="94" spans="1:14">
      <c r="A94" s="1995"/>
      <c r="B94" s="1999" t="s">
        <v>4</v>
      </c>
      <c r="C94" s="1999"/>
      <c r="D94" s="2000" t="s">
        <v>5</v>
      </c>
      <c r="E94" s="2000"/>
      <c r="F94" s="1524"/>
      <c r="G94" s="1524"/>
      <c r="H94" s="1524"/>
      <c r="I94" s="1524"/>
      <c r="J94" s="1524"/>
      <c r="M94" s="1513"/>
      <c r="N94" s="1513"/>
    </row>
    <row r="95" spans="1:14">
      <c r="A95" s="1200" t="s">
        <v>887</v>
      </c>
      <c r="B95" s="1609" t="s">
        <v>888</v>
      </c>
      <c r="C95" s="1609" t="s">
        <v>889</v>
      </c>
      <c r="D95" s="1609" t="s">
        <v>890</v>
      </c>
      <c r="E95" s="1609" t="s">
        <v>891</v>
      </c>
      <c r="F95" s="1524"/>
      <c r="G95" s="1524"/>
      <c r="H95" s="1524"/>
      <c r="I95" s="1524"/>
      <c r="J95" s="1524"/>
      <c r="M95" s="1513"/>
      <c r="N95" s="1513"/>
    </row>
    <row r="96" spans="1:14" ht="27">
      <c r="A96" s="1610" t="s">
        <v>266</v>
      </c>
      <c r="B96" s="1661">
        <f>11145047499.77</f>
        <v>11145047499.77</v>
      </c>
      <c r="C96" s="1661">
        <f>14270298102.48</f>
        <v>14270298102.48</v>
      </c>
      <c r="D96" s="1642">
        <v>100</v>
      </c>
      <c r="E96" s="1602">
        <v>128.04160864073927</v>
      </c>
      <c r="F96" s="1524"/>
      <c r="G96" s="1524"/>
      <c r="H96" s="1524"/>
      <c r="I96" s="1524"/>
      <c r="J96" s="1524"/>
      <c r="M96" s="1513"/>
      <c r="N96" s="1513"/>
    </row>
    <row r="97" spans="1:14" ht="27">
      <c r="A97" s="1612" t="s">
        <v>267</v>
      </c>
      <c r="B97" s="1662">
        <f>6279323212.56</f>
        <v>6279323212.5600004</v>
      </c>
      <c r="C97" s="1662">
        <f>5490143681.06</f>
        <v>5490143681.0600004</v>
      </c>
      <c r="D97" s="1643">
        <v>38.472522729611953</v>
      </c>
      <c r="E97" s="1604">
        <v>87.43209252357849</v>
      </c>
      <c r="F97" s="1524"/>
      <c r="G97" s="1524"/>
      <c r="H97" s="1524"/>
      <c r="I97" s="1524"/>
      <c r="J97" s="1524"/>
      <c r="M97" s="1513"/>
      <c r="N97" s="1513"/>
    </row>
    <row r="98" spans="1:14">
      <c r="A98" s="1612" t="s">
        <v>1128</v>
      </c>
      <c r="B98" s="1662">
        <f>769000000</f>
        <v>769000000</v>
      </c>
      <c r="C98" s="1662">
        <f>749000000</f>
        <v>749000000</v>
      </c>
      <c r="D98" s="1643">
        <v>5.2486640056232119</v>
      </c>
      <c r="E98" s="1604">
        <v>97.399219765929786</v>
      </c>
      <c r="F98" s="1524"/>
      <c r="G98" s="1524"/>
      <c r="H98" s="1524"/>
      <c r="I98" s="1524"/>
      <c r="J98" s="1524"/>
      <c r="M98" s="1513"/>
      <c r="N98" s="1513"/>
    </row>
    <row r="99" spans="1:14">
      <c r="A99" s="1612" t="s">
        <v>269</v>
      </c>
      <c r="B99" s="1662">
        <f>76579121.71</f>
        <v>76579121.709999993</v>
      </c>
      <c r="C99" s="1662">
        <f>56405973.65</f>
        <v>56405973.649999999</v>
      </c>
      <c r="D99" s="1643">
        <v>0.3952683626153356</v>
      </c>
      <c r="E99" s="1604">
        <v>73.657117489027428</v>
      </c>
      <c r="F99" s="1524"/>
      <c r="G99" s="1524"/>
      <c r="H99" s="1524"/>
      <c r="I99" s="1524"/>
      <c r="J99" s="1524"/>
      <c r="M99" s="1513"/>
      <c r="N99" s="1513"/>
    </row>
    <row r="100" spans="1:14">
      <c r="A100" s="1612" t="s">
        <v>270</v>
      </c>
      <c r="B100" s="1662">
        <f>0</f>
        <v>0</v>
      </c>
      <c r="C100" s="1662">
        <f>73053322.37</f>
        <v>73053322.370000005</v>
      </c>
      <c r="D100" s="1643">
        <v>0.51192569240935648</v>
      </c>
      <c r="E100" s="1604" t="s">
        <v>273</v>
      </c>
      <c r="F100" s="1524"/>
      <c r="G100" s="1524"/>
      <c r="H100" s="1524"/>
      <c r="I100" s="1524"/>
      <c r="J100" s="1524"/>
      <c r="M100" s="1513"/>
      <c r="N100" s="1513"/>
    </row>
    <row r="101" spans="1:14" ht="40.5">
      <c r="A101" s="1612" t="s">
        <v>271</v>
      </c>
      <c r="B101" s="1662">
        <f>1330436523.54</f>
        <v>1330436523.54</v>
      </c>
      <c r="C101" s="1662">
        <f>1857807910.48</f>
        <v>1857807910.48</v>
      </c>
      <c r="D101" s="1643">
        <v>13.01870428451061</v>
      </c>
      <c r="E101" s="1604">
        <v>139.63897394644431</v>
      </c>
      <c r="F101" s="1524"/>
      <c r="G101" s="1524"/>
      <c r="H101" s="1524"/>
      <c r="I101" s="1524"/>
      <c r="J101" s="1524"/>
      <c r="M101" s="1513"/>
      <c r="N101" s="1513"/>
    </row>
    <row r="102" spans="1:14">
      <c r="A102" s="1612" t="s">
        <v>272</v>
      </c>
      <c r="B102" s="1662">
        <f>0</f>
        <v>0</v>
      </c>
      <c r="C102" s="1662">
        <f>781140</f>
        <v>781140</v>
      </c>
      <c r="D102" s="1643">
        <v>5.4738870512049615E-3</v>
      </c>
      <c r="E102" s="1604" t="s">
        <v>273</v>
      </c>
      <c r="F102" s="1524"/>
      <c r="G102" s="1524"/>
      <c r="H102" s="1524"/>
      <c r="I102" s="1524"/>
      <c r="J102" s="1524"/>
      <c r="M102" s="1513"/>
      <c r="N102" s="1513"/>
    </row>
    <row r="103" spans="1:14" ht="27">
      <c r="A103" s="1612" t="s">
        <v>689</v>
      </c>
      <c r="B103" s="1662">
        <f>3360772813.96</f>
        <v>3360772813.96</v>
      </c>
      <c r="C103" s="1662">
        <f>6700770247.39</f>
        <v>6700770247.3900003</v>
      </c>
      <c r="D103" s="1643">
        <v>46.956063561317542</v>
      </c>
      <c r="E103" s="1604">
        <v>199.38182728556649</v>
      </c>
      <c r="F103" s="1524"/>
      <c r="G103" s="1524"/>
      <c r="H103" s="1524"/>
      <c r="I103" s="1524"/>
      <c r="J103" s="1524"/>
      <c r="M103" s="1513"/>
      <c r="N103" s="1513"/>
    </row>
    <row r="104" spans="1:14">
      <c r="A104" s="1612" t="s">
        <v>275</v>
      </c>
      <c r="B104" s="1662">
        <f>97935828</f>
        <v>97935828</v>
      </c>
      <c r="C104" s="1662">
        <f>91335827.53</f>
        <v>91335827.530000001</v>
      </c>
      <c r="D104" s="1643">
        <v>0.64004148248400627</v>
      </c>
      <c r="E104" s="1604">
        <v>93.260892765413701</v>
      </c>
      <c r="F104" s="1524"/>
      <c r="G104" s="1524"/>
      <c r="H104" s="1524"/>
      <c r="I104" s="1524"/>
      <c r="J104" s="1524"/>
      <c r="M104" s="1513"/>
      <c r="N104" s="1513"/>
    </row>
    <row r="105" spans="1:14" ht="27">
      <c r="A105" s="1610" t="s">
        <v>276</v>
      </c>
      <c r="B105" s="1661">
        <f>3928002820.84</f>
        <v>3928002820.8400002</v>
      </c>
      <c r="C105" s="1661">
        <f>3629585709.9</f>
        <v>3629585709.9000001</v>
      </c>
      <c r="D105" s="1642">
        <v>100</v>
      </c>
      <c r="E105" s="1602">
        <v>92.402828497048176</v>
      </c>
      <c r="F105" s="1524"/>
      <c r="G105" s="1524"/>
      <c r="H105" s="1524"/>
      <c r="I105" s="1524"/>
      <c r="J105" s="1524"/>
      <c r="M105" s="1513"/>
      <c r="N105" s="1513"/>
    </row>
    <row r="106" spans="1:14" ht="27">
      <c r="A106" s="1612" t="s">
        <v>277</v>
      </c>
      <c r="B106" s="1662">
        <f>3473394732.16</f>
        <v>3473394732.1599998</v>
      </c>
      <c r="C106" s="1662">
        <f>3454556189.17</f>
        <v>3454556189.1700001</v>
      </c>
      <c r="D106" s="1643">
        <v>95.177699750894647</v>
      </c>
      <c r="E106" s="1604">
        <v>99.457633109891759</v>
      </c>
      <c r="F106" s="1524"/>
      <c r="G106" s="1524"/>
      <c r="H106" s="1524"/>
      <c r="I106" s="1524"/>
      <c r="J106" s="1524"/>
      <c r="M106" s="1513"/>
      <c r="N106" s="1513"/>
    </row>
    <row r="107" spans="1:14">
      <c r="A107" s="1612" t="s">
        <v>278</v>
      </c>
      <c r="B107" s="1662">
        <f>383363000</f>
        <v>383363000</v>
      </c>
      <c r="C107" s="1662">
        <f>383363000</f>
        <v>383363000</v>
      </c>
      <c r="D107" s="1643">
        <v>10.562169642511684</v>
      </c>
      <c r="E107" s="1604">
        <v>100</v>
      </c>
      <c r="F107" s="1524"/>
      <c r="G107" s="1524"/>
      <c r="H107" s="1524"/>
      <c r="I107" s="1524"/>
      <c r="J107" s="1524"/>
      <c r="M107" s="1513"/>
      <c r="N107" s="1513"/>
    </row>
    <row r="108" spans="1:14">
      <c r="A108" s="1612" t="s">
        <v>279</v>
      </c>
      <c r="B108" s="1662">
        <f>71669995</f>
        <v>71669995</v>
      </c>
      <c r="C108" s="1662">
        <f>53870231.81</f>
        <v>53870231.810000002</v>
      </c>
      <c r="D108" s="1643">
        <v>1.4841978152785982</v>
      </c>
      <c r="E108" s="1604">
        <v>75.164274547528578</v>
      </c>
      <c r="F108" s="1524"/>
      <c r="G108" s="1524"/>
      <c r="H108" s="1524"/>
      <c r="I108" s="1524"/>
      <c r="J108" s="1524"/>
      <c r="M108" s="1513"/>
      <c r="N108" s="1513"/>
    </row>
    <row r="109" spans="1:14">
      <c r="A109" s="1612" t="s">
        <v>280</v>
      </c>
      <c r="B109" s="1662">
        <f>382938093.68</f>
        <v>382938093.68000001</v>
      </c>
      <c r="C109" s="1662">
        <f>121159288.92</f>
        <v>121159288.92</v>
      </c>
      <c r="D109" s="1643">
        <v>3.3381024338267546</v>
      </c>
      <c r="E109" s="1604">
        <v>31.639393134193135</v>
      </c>
      <c r="F109" s="1524"/>
      <c r="G109" s="1524"/>
      <c r="H109" s="1524"/>
      <c r="I109" s="1524"/>
      <c r="J109" s="1524"/>
      <c r="M109" s="1513"/>
      <c r="N109" s="1513"/>
    </row>
    <row r="110" spans="1:14">
      <c r="A110" s="1516"/>
      <c r="B110" s="1539"/>
      <c r="C110" s="1539"/>
      <c r="D110" s="1529"/>
      <c r="E110" s="1331"/>
      <c r="F110" s="1524"/>
      <c r="G110" s="1524"/>
      <c r="H110" s="1524"/>
      <c r="I110" s="1524"/>
      <c r="J110" s="1524"/>
      <c r="M110" s="1513"/>
      <c r="N110" s="1513"/>
    </row>
  </sheetData>
  <mergeCells count="32">
    <mergeCell ref="D94:E94"/>
    <mergeCell ref="H82:I82"/>
    <mergeCell ref="H83:I83"/>
    <mergeCell ref="A1:L1"/>
    <mergeCell ref="A93:A94"/>
    <mergeCell ref="B94:C94"/>
    <mergeCell ref="H77:I77"/>
    <mergeCell ref="H78:I78"/>
    <mergeCell ref="H79:I79"/>
    <mergeCell ref="H80:I80"/>
    <mergeCell ref="H81:I81"/>
    <mergeCell ref="H72:I72"/>
    <mergeCell ref="H73:I73"/>
    <mergeCell ref="H74:I74"/>
    <mergeCell ref="B71:I71"/>
    <mergeCell ref="J71:K71"/>
    <mergeCell ref="H75:I75"/>
    <mergeCell ref="H76:I76"/>
    <mergeCell ref="A2:A3"/>
    <mergeCell ref="B3:I3"/>
    <mergeCell ref="J3:L3"/>
    <mergeCell ref="A66:L66"/>
    <mergeCell ref="A68:A71"/>
    <mergeCell ref="B68:B70"/>
    <mergeCell ref="C68:C70"/>
    <mergeCell ref="D68:D70"/>
    <mergeCell ref="E68:G68"/>
    <mergeCell ref="H68:I70"/>
    <mergeCell ref="J68:J70"/>
    <mergeCell ref="K68:K70"/>
    <mergeCell ref="E69:E70"/>
    <mergeCell ref="F69:G69"/>
  </mergeCells>
  <printOptions horizontalCentered="1"/>
  <pageMargins left="0.27559055118110237" right="0.27559055118110237" top="0.59055118110236227" bottom="0.39370078740157483" header="0.31496062992125984" footer="0.23622047244094491"/>
  <pageSetup paperSize="9" scale="80" fitToWidth="2" fitToHeight="2" orientation="landscape" r:id="rId1"/>
  <headerFooter alignWithMargins="0"/>
  <rowBreaks count="2" manualBreakCount="2">
    <brk id="67" max="16383" man="1"/>
    <brk id="91" max="16383" man="1"/>
  </rowBreaks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4"/>
  <sheetViews>
    <sheetView showGridLines="0" zoomScaleNormal="100" zoomScaleSheetLayoutView="75" workbookViewId="0">
      <selection activeCell="S10" sqref="S10"/>
    </sheetView>
  </sheetViews>
  <sheetFormatPr defaultColWidth="9.140625" defaultRowHeight="13.5"/>
  <cols>
    <col min="1" max="1" width="27.5703125" style="1430" customWidth="1"/>
    <col min="2" max="3" width="12.28515625" style="1430" bestFit="1" customWidth="1"/>
    <col min="4" max="4" width="10.28515625" style="1430" bestFit="1" customWidth="1"/>
    <col min="5" max="5" width="12.140625" style="1430" customWidth="1"/>
    <col min="6" max="6" width="11.42578125" style="1430" bestFit="1" customWidth="1"/>
    <col min="7" max="7" width="10.28515625" style="1430" bestFit="1" customWidth="1"/>
    <col min="8" max="8" width="11.7109375" style="1430" customWidth="1"/>
    <col min="9" max="9" width="10.28515625" style="1430" bestFit="1" customWidth="1"/>
    <col min="10" max="10" width="12.28515625" style="1430" bestFit="1" customWidth="1"/>
    <col min="11" max="11" width="12.140625" style="1430" customWidth="1"/>
    <col min="12" max="12" width="13.28515625" style="1430" customWidth="1"/>
    <col min="13" max="13" width="11.42578125" style="1430" bestFit="1" customWidth="1"/>
    <col min="14" max="14" width="13.7109375" style="1430" customWidth="1"/>
    <col min="15" max="16" width="12.28515625" style="1430" bestFit="1" customWidth="1"/>
    <col min="17" max="17" width="9.5703125" style="1430" bestFit="1" customWidth="1"/>
    <col min="18" max="18" width="9.140625" style="1430"/>
    <col min="19" max="16384" width="9.140625" style="1511"/>
  </cols>
  <sheetData>
    <row r="1" spans="1:17">
      <c r="A1" s="1978" t="s">
        <v>281</v>
      </c>
      <c r="B1" s="1978"/>
      <c r="C1" s="1978"/>
      <c r="D1" s="1978"/>
      <c r="E1" s="1978"/>
      <c r="F1" s="1978"/>
      <c r="G1" s="1978"/>
      <c r="H1" s="1978"/>
      <c r="I1" s="1978"/>
      <c r="J1" s="1978"/>
      <c r="K1" s="1978"/>
      <c r="L1" s="1978"/>
      <c r="M1" s="1978"/>
    </row>
    <row r="2" spans="1:17"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</row>
    <row r="3" spans="1:17">
      <c r="A3" s="2006" t="s">
        <v>68</v>
      </c>
      <c r="B3" s="2006" t="s">
        <v>282</v>
      </c>
      <c r="C3" s="2006" t="s">
        <v>283</v>
      </c>
      <c r="D3" s="2006"/>
      <c r="E3" s="2006"/>
      <c r="F3" s="2006"/>
      <c r="G3" s="2006"/>
      <c r="H3" s="2006"/>
      <c r="I3" s="2006"/>
      <c r="J3" s="2006"/>
      <c r="K3" s="2006"/>
      <c r="L3" s="2006"/>
      <c r="M3" s="2006"/>
      <c r="N3" s="2006"/>
      <c r="O3" s="2006" t="s">
        <v>284</v>
      </c>
      <c r="P3" s="2006"/>
      <c r="Q3" s="2006"/>
    </row>
    <row r="4" spans="1:17">
      <c r="A4" s="2006"/>
      <c r="B4" s="2006"/>
      <c r="C4" s="2006" t="s">
        <v>285</v>
      </c>
      <c r="D4" s="2006" t="s">
        <v>698</v>
      </c>
      <c r="E4" s="2006" t="s">
        <v>287</v>
      </c>
      <c r="F4" s="2006" t="s">
        <v>288</v>
      </c>
      <c r="G4" s="2006" t="s">
        <v>289</v>
      </c>
      <c r="H4" s="2006" t="s">
        <v>290</v>
      </c>
      <c r="I4" s="2006" t="s">
        <v>291</v>
      </c>
      <c r="J4" s="2006" t="s">
        <v>292</v>
      </c>
      <c r="K4" s="2006" t="s">
        <v>293</v>
      </c>
      <c r="L4" s="2006" t="s">
        <v>294</v>
      </c>
      <c r="M4" s="2006" t="s">
        <v>295</v>
      </c>
      <c r="N4" s="2006" t="s">
        <v>296</v>
      </c>
      <c r="O4" s="2006" t="s">
        <v>297</v>
      </c>
      <c r="P4" s="2006" t="s">
        <v>298</v>
      </c>
      <c r="Q4" s="2006" t="s">
        <v>299</v>
      </c>
    </row>
    <row r="5" spans="1:17">
      <c r="A5" s="2006"/>
      <c r="B5" s="2006"/>
      <c r="C5" s="2006"/>
      <c r="D5" s="2006"/>
      <c r="E5" s="2006"/>
      <c r="F5" s="2006"/>
      <c r="G5" s="2006"/>
      <c r="H5" s="2006"/>
      <c r="I5" s="2006"/>
      <c r="J5" s="2006"/>
      <c r="K5" s="2006"/>
      <c r="L5" s="2006"/>
      <c r="M5" s="2006"/>
      <c r="N5" s="2006"/>
      <c r="O5" s="2006"/>
      <c r="P5" s="2006"/>
      <c r="Q5" s="2006"/>
    </row>
    <row r="6" spans="1:17">
      <c r="A6" s="2006"/>
      <c r="B6" s="2006"/>
      <c r="C6" s="2006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</row>
    <row r="7" spans="1:17" ht="42" customHeight="1">
      <c r="A7" s="2006"/>
      <c r="B7" s="2006"/>
      <c r="C7" s="2006"/>
      <c r="D7" s="2006"/>
      <c r="E7" s="2006"/>
      <c r="F7" s="2006"/>
      <c r="G7" s="2006"/>
      <c r="H7" s="2006"/>
      <c r="I7" s="2006"/>
      <c r="J7" s="2006"/>
      <c r="K7" s="2006"/>
      <c r="L7" s="2006"/>
      <c r="M7" s="2006"/>
      <c r="N7" s="2006"/>
      <c r="O7" s="2006"/>
      <c r="P7" s="2006"/>
      <c r="Q7" s="2006"/>
    </row>
    <row r="8" spans="1:17">
      <c r="A8" s="2006"/>
      <c r="B8" s="2008" t="s">
        <v>4</v>
      </c>
      <c r="C8" s="2008"/>
      <c r="D8" s="2008"/>
      <c r="E8" s="2008"/>
      <c r="F8" s="2008"/>
      <c r="G8" s="2008"/>
      <c r="H8" s="2008"/>
      <c r="I8" s="2008"/>
      <c r="J8" s="2008"/>
      <c r="K8" s="2008"/>
      <c r="L8" s="2008"/>
      <c r="M8" s="2008"/>
      <c r="N8" s="2008"/>
      <c r="O8" s="2008"/>
      <c r="P8" s="2008"/>
      <c r="Q8" s="2008"/>
    </row>
    <row r="9" spans="1:17">
      <c r="A9" s="1287" t="s">
        <v>887</v>
      </c>
      <c r="B9" s="1287" t="s">
        <v>888</v>
      </c>
      <c r="C9" s="1287" t="s">
        <v>889</v>
      </c>
      <c r="D9" s="1287" t="s">
        <v>890</v>
      </c>
      <c r="E9" s="1287" t="s">
        <v>891</v>
      </c>
      <c r="F9" s="1287" t="s">
        <v>892</v>
      </c>
      <c r="G9" s="1287" t="s">
        <v>893</v>
      </c>
      <c r="H9" s="1287" t="s">
        <v>894</v>
      </c>
      <c r="I9" s="1287" t="s">
        <v>932</v>
      </c>
      <c r="J9" s="1287" t="s">
        <v>966</v>
      </c>
      <c r="K9" s="1287" t="s">
        <v>967</v>
      </c>
      <c r="L9" s="1287" t="s">
        <v>969</v>
      </c>
      <c r="M9" s="1287" t="s">
        <v>1070</v>
      </c>
      <c r="N9" s="1287" t="s">
        <v>1096</v>
      </c>
      <c r="O9" s="1287" t="s">
        <v>1097</v>
      </c>
      <c r="P9" s="1287" t="s">
        <v>1098</v>
      </c>
      <c r="Q9" s="1287" t="s">
        <v>1099</v>
      </c>
    </row>
    <row r="10" spans="1:17" ht="27">
      <c r="A10" s="1615" t="s">
        <v>368</v>
      </c>
      <c r="B10" s="1616">
        <f>45046629514.82</f>
        <v>45046629514.82</v>
      </c>
      <c r="C10" s="1616">
        <f>23223856317.51</f>
        <v>23223856317.509998</v>
      </c>
      <c r="D10" s="1616">
        <f>538503943.51</f>
        <v>538503943.50999999</v>
      </c>
      <c r="E10" s="1616">
        <f>1347330.88</f>
        <v>1347330.88</v>
      </c>
      <c r="F10" s="1616">
        <f>297928839.41</f>
        <v>297928839.41000003</v>
      </c>
      <c r="G10" s="1616">
        <f>239227773.22</f>
        <v>239227773.22</v>
      </c>
      <c r="H10" s="1616">
        <f>0</f>
        <v>0</v>
      </c>
      <c r="I10" s="1616">
        <f>0</f>
        <v>0</v>
      </c>
      <c r="J10" s="1616">
        <f>20474157516.95</f>
        <v>20474157516.950001</v>
      </c>
      <c r="K10" s="1616">
        <f>632937264.9</f>
        <v>632937264.89999998</v>
      </c>
      <c r="L10" s="1616">
        <f>1564473071.83</f>
        <v>1564473071.8299999</v>
      </c>
      <c r="M10" s="1616">
        <f>11546920.53</f>
        <v>11546920.529999999</v>
      </c>
      <c r="N10" s="1616">
        <f>2237599.79</f>
        <v>2237599.79</v>
      </c>
      <c r="O10" s="1616">
        <f>21822773197.31</f>
        <v>21822773197.310001</v>
      </c>
      <c r="P10" s="1616">
        <f>21746073197.31</f>
        <v>21746073197.310001</v>
      </c>
      <c r="Q10" s="1616">
        <f>76700000</f>
        <v>76700000</v>
      </c>
    </row>
    <row r="11" spans="1:17" ht="27">
      <c r="A11" s="1615" t="s">
        <v>367</v>
      </c>
      <c r="B11" s="1616">
        <f>3035988000</f>
        <v>3035988000</v>
      </c>
      <c r="C11" s="1616">
        <f>3035988000</f>
        <v>3035988000</v>
      </c>
      <c r="D11" s="1616">
        <f>0</f>
        <v>0</v>
      </c>
      <c r="E11" s="1616">
        <f>0</f>
        <v>0</v>
      </c>
      <c r="F11" s="1616">
        <f>0</f>
        <v>0</v>
      </c>
      <c r="G11" s="1616">
        <f>0</f>
        <v>0</v>
      </c>
      <c r="H11" s="1616">
        <f>0</f>
        <v>0</v>
      </c>
      <c r="I11" s="1616">
        <f>0</f>
        <v>0</v>
      </c>
      <c r="J11" s="1616">
        <f>3035988000</f>
        <v>3035988000</v>
      </c>
      <c r="K11" s="1616">
        <f>0</f>
        <v>0</v>
      </c>
      <c r="L11" s="1616">
        <f>0</f>
        <v>0</v>
      </c>
      <c r="M11" s="1616">
        <f>0</f>
        <v>0</v>
      </c>
      <c r="N11" s="1616">
        <f>0</f>
        <v>0</v>
      </c>
      <c r="O11" s="1616">
        <f>0</f>
        <v>0</v>
      </c>
      <c r="P11" s="1616">
        <f>0</f>
        <v>0</v>
      </c>
      <c r="Q11" s="1616">
        <f>0</f>
        <v>0</v>
      </c>
    </row>
    <row r="12" spans="1:17">
      <c r="A12" s="1644" t="s">
        <v>711</v>
      </c>
      <c r="B12" s="1616">
        <f>0</f>
        <v>0</v>
      </c>
      <c r="C12" s="1616">
        <f>0</f>
        <v>0</v>
      </c>
      <c r="D12" s="1616">
        <f>0</f>
        <v>0</v>
      </c>
      <c r="E12" s="1616">
        <f>0</f>
        <v>0</v>
      </c>
      <c r="F12" s="1616">
        <f>0</f>
        <v>0</v>
      </c>
      <c r="G12" s="1616">
        <f>0</f>
        <v>0</v>
      </c>
      <c r="H12" s="1616">
        <f>0</f>
        <v>0</v>
      </c>
      <c r="I12" s="1616">
        <f>0</f>
        <v>0</v>
      </c>
      <c r="J12" s="1616">
        <f>0</f>
        <v>0</v>
      </c>
      <c r="K12" s="1616">
        <f>0</f>
        <v>0</v>
      </c>
      <c r="L12" s="1616">
        <f>0</f>
        <v>0</v>
      </c>
      <c r="M12" s="1616">
        <f>0</f>
        <v>0</v>
      </c>
      <c r="N12" s="1616">
        <f>0</f>
        <v>0</v>
      </c>
      <c r="O12" s="1616">
        <f>0</f>
        <v>0</v>
      </c>
      <c r="P12" s="1616">
        <f>0</f>
        <v>0</v>
      </c>
      <c r="Q12" s="1616">
        <f>0</f>
        <v>0</v>
      </c>
    </row>
    <row r="13" spans="1:17">
      <c r="A13" s="1644" t="s">
        <v>302</v>
      </c>
      <c r="B13" s="1616">
        <f>3035988000</f>
        <v>3035988000</v>
      </c>
      <c r="C13" s="1616">
        <f>3035988000</f>
        <v>3035988000</v>
      </c>
      <c r="D13" s="1616">
        <f>0</f>
        <v>0</v>
      </c>
      <c r="E13" s="1616">
        <f>0</f>
        <v>0</v>
      </c>
      <c r="F13" s="1616">
        <f>0</f>
        <v>0</v>
      </c>
      <c r="G13" s="1616">
        <f>0</f>
        <v>0</v>
      </c>
      <c r="H13" s="1616">
        <f>0</f>
        <v>0</v>
      </c>
      <c r="I13" s="1616">
        <f>0</f>
        <v>0</v>
      </c>
      <c r="J13" s="1616">
        <f>3035988000</f>
        <v>3035988000</v>
      </c>
      <c r="K13" s="1616">
        <f>0</f>
        <v>0</v>
      </c>
      <c r="L13" s="1616">
        <f>0</f>
        <v>0</v>
      </c>
      <c r="M13" s="1616">
        <f>0</f>
        <v>0</v>
      </c>
      <c r="N13" s="1616">
        <f>0</f>
        <v>0</v>
      </c>
      <c r="O13" s="1616">
        <f>0</f>
        <v>0</v>
      </c>
      <c r="P13" s="1616">
        <f>0</f>
        <v>0</v>
      </c>
      <c r="Q13" s="1616">
        <f>0</f>
        <v>0</v>
      </c>
    </row>
    <row r="14" spans="1:17" ht="27">
      <c r="A14" s="1615" t="s">
        <v>366</v>
      </c>
      <c r="B14" s="1616">
        <f>41984668388.44</f>
        <v>41984668388.440002</v>
      </c>
      <c r="C14" s="1616">
        <f>20161895191.13</f>
        <v>20161895191.130001</v>
      </c>
      <c r="D14" s="1616">
        <f>529371134.16</f>
        <v>529371134.16000003</v>
      </c>
      <c r="E14" s="1616">
        <f>0</f>
        <v>0</v>
      </c>
      <c r="F14" s="1616">
        <f>297928839.41</f>
        <v>297928839.41000003</v>
      </c>
      <c r="G14" s="1616">
        <f>231442294.75</f>
        <v>231442294.75</v>
      </c>
      <c r="H14" s="1616">
        <f>0</f>
        <v>0</v>
      </c>
      <c r="I14" s="1616">
        <f>0</f>
        <v>0</v>
      </c>
      <c r="J14" s="1616">
        <f>17438169516.95</f>
        <v>17438169516.950001</v>
      </c>
      <c r="K14" s="1616">
        <f>632937264.9</f>
        <v>632937264.89999998</v>
      </c>
      <c r="L14" s="1616">
        <f>1559139964.83</f>
        <v>1559139964.8299999</v>
      </c>
      <c r="M14" s="1616">
        <f>2277310.29</f>
        <v>2277310.29</v>
      </c>
      <c r="N14" s="1616">
        <f>0</f>
        <v>0</v>
      </c>
      <c r="O14" s="1616">
        <f>21822773197.31</f>
        <v>21822773197.310001</v>
      </c>
      <c r="P14" s="1616">
        <f>21746073197.31</f>
        <v>21746073197.310001</v>
      </c>
      <c r="Q14" s="1616">
        <f>76700000</f>
        <v>76700000</v>
      </c>
    </row>
    <row r="15" spans="1:17">
      <c r="A15" s="1644" t="s">
        <v>710</v>
      </c>
      <c r="B15" s="1616">
        <f>7365503.92</f>
        <v>7365503.9199999999</v>
      </c>
      <c r="C15" s="1616">
        <f>7365503.92</f>
        <v>7365503.9199999999</v>
      </c>
      <c r="D15" s="1616">
        <f>0</f>
        <v>0</v>
      </c>
      <c r="E15" s="1616">
        <f>0</f>
        <v>0</v>
      </c>
      <c r="F15" s="1616">
        <f>0</f>
        <v>0</v>
      </c>
      <c r="G15" s="1616">
        <f>0</f>
        <v>0</v>
      </c>
      <c r="H15" s="1616">
        <f>0</f>
        <v>0</v>
      </c>
      <c r="I15" s="1616">
        <f>0</f>
        <v>0</v>
      </c>
      <c r="J15" s="1616">
        <f>4760000</f>
        <v>4760000</v>
      </c>
      <c r="K15" s="1616">
        <f>0</f>
        <v>0</v>
      </c>
      <c r="L15" s="1616">
        <f>1597163.92</f>
        <v>1597163.92</v>
      </c>
      <c r="M15" s="1616">
        <f>1008340</f>
        <v>1008340</v>
      </c>
      <c r="N15" s="1616">
        <f>0</f>
        <v>0</v>
      </c>
      <c r="O15" s="1616">
        <f>0</f>
        <v>0</v>
      </c>
      <c r="P15" s="1616">
        <f>0</f>
        <v>0</v>
      </c>
      <c r="Q15" s="1616">
        <f>0</f>
        <v>0</v>
      </c>
    </row>
    <row r="16" spans="1:17">
      <c r="A16" s="1644" t="s">
        <v>304</v>
      </c>
      <c r="B16" s="1616">
        <f>41977302884.52</f>
        <v>41977302884.519997</v>
      </c>
      <c r="C16" s="1616">
        <f>20154529687.21</f>
        <v>20154529687.209999</v>
      </c>
      <c r="D16" s="1616">
        <f>529371134.16</f>
        <v>529371134.16000003</v>
      </c>
      <c r="E16" s="1616">
        <f>0</f>
        <v>0</v>
      </c>
      <c r="F16" s="1616">
        <f>297928839.41</f>
        <v>297928839.41000003</v>
      </c>
      <c r="G16" s="1616">
        <f>231442294.75</f>
        <v>231442294.75</v>
      </c>
      <c r="H16" s="1616">
        <f>0</f>
        <v>0</v>
      </c>
      <c r="I16" s="1616">
        <f>0</f>
        <v>0</v>
      </c>
      <c r="J16" s="1616">
        <f>17433409516.95</f>
        <v>17433409516.950001</v>
      </c>
      <c r="K16" s="1616">
        <f>632937264.9</f>
        <v>632937264.89999998</v>
      </c>
      <c r="L16" s="1616">
        <f>1557542800.91</f>
        <v>1557542800.9100001</v>
      </c>
      <c r="M16" s="1616">
        <f>1268970.29</f>
        <v>1268970.29</v>
      </c>
      <c r="N16" s="1616">
        <f>0</f>
        <v>0</v>
      </c>
      <c r="O16" s="1616">
        <f>21822773197.31</f>
        <v>21822773197.310001</v>
      </c>
      <c r="P16" s="1616">
        <f>21746073197.31</f>
        <v>21746073197.310001</v>
      </c>
      <c r="Q16" s="1616">
        <f>76700000</f>
        <v>76700000</v>
      </c>
    </row>
    <row r="17" spans="1:17">
      <c r="A17" s="1615" t="s">
        <v>305</v>
      </c>
      <c r="B17" s="1616">
        <f>4000000</f>
        <v>4000000</v>
      </c>
      <c r="C17" s="1616">
        <f>4000000</f>
        <v>4000000</v>
      </c>
      <c r="D17" s="1616">
        <f>4000000</f>
        <v>4000000</v>
      </c>
      <c r="E17" s="1616">
        <f>0</f>
        <v>0</v>
      </c>
      <c r="F17" s="1616">
        <f>0</f>
        <v>0</v>
      </c>
      <c r="G17" s="1616">
        <f>4000000</f>
        <v>4000000</v>
      </c>
      <c r="H17" s="1616">
        <f>0</f>
        <v>0</v>
      </c>
      <c r="I17" s="1616">
        <f>0</f>
        <v>0</v>
      </c>
      <c r="J17" s="1616">
        <f>0</f>
        <v>0</v>
      </c>
      <c r="K17" s="1616">
        <f>0</f>
        <v>0</v>
      </c>
      <c r="L17" s="1616">
        <f>0</f>
        <v>0</v>
      </c>
      <c r="M17" s="1616">
        <f>0</f>
        <v>0</v>
      </c>
      <c r="N17" s="1616">
        <f>0</f>
        <v>0</v>
      </c>
      <c r="O17" s="1616">
        <f>0</f>
        <v>0</v>
      </c>
      <c r="P17" s="1616">
        <f>0</f>
        <v>0</v>
      </c>
      <c r="Q17" s="1616">
        <f>0</f>
        <v>0</v>
      </c>
    </row>
    <row r="18" spans="1:17" ht="27">
      <c r="A18" s="1615" t="s">
        <v>306</v>
      </c>
      <c r="B18" s="1616">
        <f>21973126.38</f>
        <v>21973126.379999999</v>
      </c>
      <c r="C18" s="1616">
        <f>21973126.38</f>
        <v>21973126.379999999</v>
      </c>
      <c r="D18" s="1616">
        <f>5132809.35</f>
        <v>5132809.3499999996</v>
      </c>
      <c r="E18" s="1616">
        <f>1347330.88</f>
        <v>1347330.88</v>
      </c>
      <c r="F18" s="1616">
        <f>0</f>
        <v>0</v>
      </c>
      <c r="G18" s="1616">
        <f>3785478.47</f>
        <v>3785478.47</v>
      </c>
      <c r="H18" s="1616">
        <f>0</f>
        <v>0</v>
      </c>
      <c r="I18" s="1616">
        <f>0</f>
        <v>0</v>
      </c>
      <c r="J18" s="1616">
        <f>0</f>
        <v>0</v>
      </c>
      <c r="K18" s="1616">
        <f>0</f>
        <v>0</v>
      </c>
      <c r="L18" s="1616">
        <f>5333107</f>
        <v>5333107</v>
      </c>
      <c r="M18" s="1616">
        <f>9269610.24</f>
        <v>9269610.2400000002</v>
      </c>
      <c r="N18" s="1616">
        <f>2237599.79</f>
        <v>2237599.79</v>
      </c>
      <c r="O18" s="1616">
        <f>0</f>
        <v>0</v>
      </c>
      <c r="P18" s="1616">
        <f>0</f>
        <v>0</v>
      </c>
      <c r="Q18" s="1616">
        <f>0</f>
        <v>0</v>
      </c>
    </row>
    <row r="19" spans="1:17">
      <c r="A19" s="1644" t="s">
        <v>307</v>
      </c>
      <c r="B19" s="1616">
        <f>13730775.52</f>
        <v>13730775.52</v>
      </c>
      <c r="C19" s="1616">
        <f>13730775.52</f>
        <v>13730775.52</v>
      </c>
      <c r="D19" s="1616">
        <f>1077137.87</f>
        <v>1077137.8700000001</v>
      </c>
      <c r="E19" s="1616">
        <f>155.48</f>
        <v>155.47999999999999</v>
      </c>
      <c r="F19" s="1616">
        <f>0</f>
        <v>0</v>
      </c>
      <c r="G19" s="1616">
        <f>1076982.39</f>
        <v>1076982.3899999999</v>
      </c>
      <c r="H19" s="1616">
        <f>0</f>
        <v>0</v>
      </c>
      <c r="I19" s="1616">
        <f>0</f>
        <v>0</v>
      </c>
      <c r="J19" s="1616">
        <f>0</f>
        <v>0</v>
      </c>
      <c r="K19" s="1616">
        <f>0</f>
        <v>0</v>
      </c>
      <c r="L19" s="1616">
        <f>2514563.27</f>
        <v>2514563.27</v>
      </c>
      <c r="M19" s="1616">
        <f>7908985.69</f>
        <v>7908985.6900000004</v>
      </c>
      <c r="N19" s="1616">
        <f>2230088.69</f>
        <v>2230088.69</v>
      </c>
      <c r="O19" s="1616">
        <f>0</f>
        <v>0</v>
      </c>
      <c r="P19" s="1616">
        <f>0</f>
        <v>0</v>
      </c>
      <c r="Q19" s="1616">
        <f>0</f>
        <v>0</v>
      </c>
    </row>
    <row r="20" spans="1:17">
      <c r="A20" s="1644" t="s">
        <v>308</v>
      </c>
      <c r="B20" s="1616">
        <f>8242350.86</f>
        <v>8242350.8600000003</v>
      </c>
      <c r="C20" s="1616">
        <f>8242350.86</f>
        <v>8242350.8600000003</v>
      </c>
      <c r="D20" s="1616">
        <f>4055671.48</f>
        <v>4055671.48</v>
      </c>
      <c r="E20" s="1616">
        <f>1347175.4</f>
        <v>1347175.4</v>
      </c>
      <c r="F20" s="1616">
        <f>0</f>
        <v>0</v>
      </c>
      <c r="G20" s="1616">
        <f>2708496.08</f>
        <v>2708496.08</v>
      </c>
      <c r="H20" s="1616">
        <f>0</f>
        <v>0</v>
      </c>
      <c r="I20" s="1616">
        <f>0</f>
        <v>0</v>
      </c>
      <c r="J20" s="1616">
        <f>0</f>
        <v>0</v>
      </c>
      <c r="K20" s="1616">
        <f>0</f>
        <v>0</v>
      </c>
      <c r="L20" s="1616">
        <f>2818543.73</f>
        <v>2818543.73</v>
      </c>
      <c r="M20" s="1616">
        <f>1360624.55</f>
        <v>1360624.55</v>
      </c>
      <c r="N20" s="1616">
        <f>7511.1</f>
        <v>7511.1</v>
      </c>
      <c r="O20" s="1616">
        <f>0</f>
        <v>0</v>
      </c>
      <c r="P20" s="1616">
        <f>0</f>
        <v>0</v>
      </c>
      <c r="Q20" s="1616">
        <f>0</f>
        <v>0</v>
      </c>
    </row>
    <row r="21" spans="1:17">
      <c r="A21" s="1532"/>
      <c r="B21" s="1227"/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</row>
    <row r="22" spans="1:17">
      <c r="A22" s="1226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7">
      <c r="A23" s="1978" t="s">
        <v>309</v>
      </c>
      <c r="B23" s="1978"/>
      <c r="C23" s="1978"/>
      <c r="D23" s="1978"/>
      <c r="E23" s="1978"/>
      <c r="F23" s="1978"/>
      <c r="G23" s="1978"/>
      <c r="H23" s="1978"/>
      <c r="I23" s="1978"/>
      <c r="J23" s="1978"/>
      <c r="K23" s="1978"/>
      <c r="L23" s="1978"/>
      <c r="M23" s="1978"/>
    </row>
    <row r="25" spans="1:17">
      <c r="A25" s="2006" t="s">
        <v>68</v>
      </c>
      <c r="B25" s="2006" t="s">
        <v>310</v>
      </c>
      <c r="C25" s="2006" t="s">
        <v>311</v>
      </c>
      <c r="D25" s="2006"/>
      <c r="E25" s="2006"/>
      <c r="F25" s="2006"/>
      <c r="G25" s="2006"/>
      <c r="H25" s="2006"/>
      <c r="I25" s="2006"/>
      <c r="J25" s="2006"/>
      <c r="K25" s="2006"/>
      <c r="L25" s="2006"/>
      <c r="M25" s="2006"/>
      <c r="N25" s="2006"/>
      <c r="O25" s="2006" t="s">
        <v>312</v>
      </c>
      <c r="P25" s="2006"/>
      <c r="Q25" s="2006"/>
    </row>
    <row r="26" spans="1:17">
      <c r="A26" s="2006"/>
      <c r="B26" s="2006"/>
      <c r="C26" s="2006" t="s">
        <v>313</v>
      </c>
      <c r="D26" s="2006" t="s">
        <v>314</v>
      </c>
      <c r="E26" s="2006" t="s">
        <v>315</v>
      </c>
      <c r="F26" s="2006" t="s">
        <v>316</v>
      </c>
      <c r="G26" s="2006" t="s">
        <v>317</v>
      </c>
      <c r="H26" s="2006" t="s">
        <v>290</v>
      </c>
      <c r="I26" s="2006" t="s">
        <v>318</v>
      </c>
      <c r="J26" s="2006" t="s">
        <v>292</v>
      </c>
      <c r="K26" s="2006" t="s">
        <v>293</v>
      </c>
      <c r="L26" s="2006" t="s">
        <v>294</v>
      </c>
      <c r="M26" s="2006" t="s">
        <v>295</v>
      </c>
      <c r="N26" s="2010" t="s">
        <v>296</v>
      </c>
      <c r="O26" s="2006" t="s">
        <v>297</v>
      </c>
      <c r="P26" s="2006" t="s">
        <v>298</v>
      </c>
      <c r="Q26" s="2006" t="s">
        <v>299</v>
      </c>
    </row>
    <row r="27" spans="1:17">
      <c r="A27" s="2006"/>
      <c r="B27" s="2006"/>
      <c r="C27" s="2006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10"/>
      <c r="O27" s="2006"/>
      <c r="P27" s="2006"/>
      <c r="Q27" s="2006"/>
    </row>
    <row r="28" spans="1:17" ht="51.6" customHeight="1">
      <c r="A28" s="2006"/>
      <c r="B28" s="2006"/>
      <c r="C28" s="2006"/>
      <c r="D28" s="2006"/>
      <c r="E28" s="2006"/>
      <c r="F28" s="2006"/>
      <c r="G28" s="2006"/>
      <c r="H28" s="2006"/>
      <c r="I28" s="2006"/>
      <c r="J28" s="2006"/>
      <c r="K28" s="2006"/>
      <c r="L28" s="2006"/>
      <c r="M28" s="2006"/>
      <c r="N28" s="2010"/>
      <c r="O28" s="2006"/>
      <c r="P28" s="2006"/>
      <c r="Q28" s="2006"/>
    </row>
    <row r="29" spans="1:17">
      <c r="A29" s="2006"/>
      <c r="B29" s="2008" t="s">
        <v>4</v>
      </c>
      <c r="C29" s="2008"/>
      <c r="D29" s="2008"/>
      <c r="E29" s="2008"/>
      <c r="F29" s="2008"/>
      <c r="G29" s="2008"/>
      <c r="H29" s="2008"/>
      <c r="I29" s="2008"/>
      <c r="J29" s="2008"/>
      <c r="K29" s="2008"/>
      <c r="L29" s="2008"/>
      <c r="M29" s="2008"/>
      <c r="N29" s="2008"/>
      <c r="O29" s="2008"/>
      <c r="P29" s="2008"/>
      <c r="Q29" s="2008"/>
    </row>
    <row r="30" spans="1:17">
      <c r="A30" s="1287" t="s">
        <v>887</v>
      </c>
      <c r="B30" s="1287" t="s">
        <v>888</v>
      </c>
      <c r="C30" s="1287" t="s">
        <v>889</v>
      </c>
      <c r="D30" s="1287" t="s">
        <v>890</v>
      </c>
      <c r="E30" s="1287" t="s">
        <v>891</v>
      </c>
      <c r="F30" s="1287" t="s">
        <v>892</v>
      </c>
      <c r="G30" s="1287" t="s">
        <v>893</v>
      </c>
      <c r="H30" s="1287" t="s">
        <v>894</v>
      </c>
      <c r="I30" s="1287" t="s">
        <v>932</v>
      </c>
      <c r="J30" s="1287" t="s">
        <v>966</v>
      </c>
      <c r="K30" s="1287" t="s">
        <v>967</v>
      </c>
      <c r="L30" s="1287" t="s">
        <v>969</v>
      </c>
      <c r="M30" s="1287" t="s">
        <v>1070</v>
      </c>
      <c r="N30" s="1287" t="s">
        <v>1096</v>
      </c>
      <c r="O30" s="1287" t="s">
        <v>1097</v>
      </c>
      <c r="P30" s="1287" t="s">
        <v>1098</v>
      </c>
      <c r="Q30" s="1287" t="s">
        <v>1099</v>
      </c>
    </row>
    <row r="31" spans="1:17">
      <c r="A31" s="1622" t="s">
        <v>320</v>
      </c>
      <c r="B31" s="1623">
        <f>108849.9</f>
        <v>108849.9</v>
      </c>
      <c r="C31" s="1623">
        <f>108849.9</f>
        <v>108849.9</v>
      </c>
      <c r="D31" s="1623">
        <f>0</f>
        <v>0</v>
      </c>
      <c r="E31" s="1623">
        <f>0</f>
        <v>0</v>
      </c>
      <c r="F31" s="1623">
        <f>0</f>
        <v>0</v>
      </c>
      <c r="G31" s="1623">
        <f>0</f>
        <v>0</v>
      </c>
      <c r="H31" s="1623">
        <f>0</f>
        <v>0</v>
      </c>
      <c r="I31" s="1623">
        <f>0</f>
        <v>0</v>
      </c>
      <c r="J31" s="1623">
        <f>0</f>
        <v>0</v>
      </c>
      <c r="K31" s="1623">
        <f>0</f>
        <v>0</v>
      </c>
      <c r="L31" s="1623">
        <f>108849.9</f>
        <v>108849.9</v>
      </c>
      <c r="M31" s="1623">
        <f>0</f>
        <v>0</v>
      </c>
      <c r="N31" s="1623">
        <f>0</f>
        <v>0</v>
      </c>
      <c r="O31" s="1623">
        <f>0</f>
        <v>0</v>
      </c>
      <c r="P31" s="1623">
        <f>0</f>
        <v>0</v>
      </c>
      <c r="Q31" s="1623">
        <f>0</f>
        <v>0</v>
      </c>
    </row>
    <row r="32" spans="1:17">
      <c r="A32" s="1625" t="s">
        <v>709</v>
      </c>
      <c r="B32" s="1623">
        <f>0</f>
        <v>0</v>
      </c>
      <c r="C32" s="1623">
        <f>0</f>
        <v>0</v>
      </c>
      <c r="D32" s="1623">
        <f>0</f>
        <v>0</v>
      </c>
      <c r="E32" s="1623">
        <f>0</f>
        <v>0</v>
      </c>
      <c r="F32" s="1623">
        <f>0</f>
        <v>0</v>
      </c>
      <c r="G32" s="1623">
        <f>0</f>
        <v>0</v>
      </c>
      <c r="H32" s="1623">
        <f>0</f>
        <v>0</v>
      </c>
      <c r="I32" s="1623">
        <f>0</f>
        <v>0</v>
      </c>
      <c r="J32" s="1623">
        <f>0</f>
        <v>0</v>
      </c>
      <c r="K32" s="1623">
        <f>0</f>
        <v>0</v>
      </c>
      <c r="L32" s="1623">
        <f>0</f>
        <v>0</v>
      </c>
      <c r="M32" s="1623">
        <f>0</f>
        <v>0</v>
      </c>
      <c r="N32" s="1623">
        <f>0</f>
        <v>0</v>
      </c>
      <c r="O32" s="1623">
        <f>0</f>
        <v>0</v>
      </c>
      <c r="P32" s="1623">
        <f>0</f>
        <v>0</v>
      </c>
      <c r="Q32" s="1623">
        <f>0</f>
        <v>0</v>
      </c>
    </row>
    <row r="33" spans="1:17">
      <c r="A33" s="1625" t="s">
        <v>321</v>
      </c>
      <c r="B33" s="1623">
        <f>108849.9</f>
        <v>108849.9</v>
      </c>
      <c r="C33" s="1623">
        <f>108849.9</f>
        <v>108849.9</v>
      </c>
      <c r="D33" s="1623">
        <f>0</f>
        <v>0</v>
      </c>
      <c r="E33" s="1623">
        <f>0</f>
        <v>0</v>
      </c>
      <c r="F33" s="1623">
        <f>0</f>
        <v>0</v>
      </c>
      <c r="G33" s="1623">
        <f>0</f>
        <v>0</v>
      </c>
      <c r="H33" s="1623">
        <f>0</f>
        <v>0</v>
      </c>
      <c r="I33" s="1623">
        <f>0</f>
        <v>0</v>
      </c>
      <c r="J33" s="1623">
        <f>0</f>
        <v>0</v>
      </c>
      <c r="K33" s="1623">
        <f>0</f>
        <v>0</v>
      </c>
      <c r="L33" s="1623">
        <f>108849.9</f>
        <v>108849.9</v>
      </c>
      <c r="M33" s="1623">
        <f>0</f>
        <v>0</v>
      </c>
      <c r="N33" s="1623">
        <f>0</f>
        <v>0</v>
      </c>
      <c r="O33" s="1623">
        <f>0</f>
        <v>0</v>
      </c>
      <c r="P33" s="1623">
        <f>0</f>
        <v>0</v>
      </c>
      <c r="Q33" s="1623">
        <f>0</f>
        <v>0</v>
      </c>
    </row>
    <row r="34" spans="1:17">
      <c r="A34" s="1622" t="s">
        <v>322</v>
      </c>
      <c r="B34" s="1623">
        <f>620049047.41</f>
        <v>620049047.40999997</v>
      </c>
      <c r="C34" s="1623">
        <f>620046180.18</f>
        <v>620046180.17999995</v>
      </c>
      <c r="D34" s="1623">
        <f>127839862.14</f>
        <v>127839862.14</v>
      </c>
      <c r="E34" s="1623">
        <f>308877.9</f>
        <v>308877.90000000002</v>
      </c>
      <c r="F34" s="1623">
        <f>113427.5</f>
        <v>113427.5</v>
      </c>
      <c r="G34" s="1623">
        <f>127417556.74</f>
        <v>127417556.73999999</v>
      </c>
      <c r="H34" s="1623">
        <f>0</f>
        <v>0</v>
      </c>
      <c r="I34" s="1623">
        <f>0</f>
        <v>0</v>
      </c>
      <c r="J34" s="1623">
        <f>30908.02</f>
        <v>30908.02</v>
      </c>
      <c r="K34" s="1623">
        <f>192700.92</f>
        <v>192700.92</v>
      </c>
      <c r="L34" s="1623">
        <f>270934164.94</f>
        <v>270934164.94</v>
      </c>
      <c r="M34" s="1623">
        <f>216942844.18</f>
        <v>216942844.18000001</v>
      </c>
      <c r="N34" s="1623">
        <f>4105699.98</f>
        <v>4105699.98</v>
      </c>
      <c r="O34" s="1623">
        <f>2867.23</f>
        <v>2867.23</v>
      </c>
      <c r="P34" s="1623">
        <f>0</f>
        <v>0</v>
      </c>
      <c r="Q34" s="1623">
        <f>2867.23</f>
        <v>2867.23</v>
      </c>
    </row>
    <row r="35" spans="1:17">
      <c r="A35" s="1625" t="s">
        <v>708</v>
      </c>
      <c r="B35" s="1623">
        <f>47245651.42</f>
        <v>47245651.420000002</v>
      </c>
      <c r="C35" s="1623">
        <f>47245651.42</f>
        <v>47245651.420000002</v>
      </c>
      <c r="D35" s="1623">
        <f>16676314.85</f>
        <v>16676314.85</v>
      </c>
      <c r="E35" s="1623">
        <f>308877.9</f>
        <v>308877.90000000002</v>
      </c>
      <c r="F35" s="1623">
        <f>0</f>
        <v>0</v>
      </c>
      <c r="G35" s="1623">
        <f>16367436.95</f>
        <v>16367436.949999999</v>
      </c>
      <c r="H35" s="1623">
        <f>0</f>
        <v>0</v>
      </c>
      <c r="I35" s="1623">
        <f>0</f>
        <v>0</v>
      </c>
      <c r="J35" s="1623">
        <f>0</f>
        <v>0</v>
      </c>
      <c r="K35" s="1623">
        <f>4560</f>
        <v>4560</v>
      </c>
      <c r="L35" s="1623">
        <f>14625796.03</f>
        <v>14625796.029999999</v>
      </c>
      <c r="M35" s="1623">
        <f>15858980.54</f>
        <v>15858980.539999999</v>
      </c>
      <c r="N35" s="1623">
        <f>80000</f>
        <v>80000</v>
      </c>
      <c r="O35" s="1623">
        <f>0</f>
        <v>0</v>
      </c>
      <c r="P35" s="1623">
        <f>0</f>
        <v>0</v>
      </c>
      <c r="Q35" s="1623">
        <f>0</f>
        <v>0</v>
      </c>
    </row>
    <row r="36" spans="1:17">
      <c r="A36" s="1625" t="s">
        <v>323</v>
      </c>
      <c r="B36" s="1623">
        <f>572803395.99</f>
        <v>572803395.99000001</v>
      </c>
      <c r="C36" s="1623">
        <f>572800528.76</f>
        <v>572800528.75999999</v>
      </c>
      <c r="D36" s="1623">
        <f>111163547.29</f>
        <v>111163547.29000001</v>
      </c>
      <c r="E36" s="1623">
        <f>0</f>
        <v>0</v>
      </c>
      <c r="F36" s="1623">
        <f>113427.5</f>
        <v>113427.5</v>
      </c>
      <c r="G36" s="1623">
        <f>111050119.79</f>
        <v>111050119.79000001</v>
      </c>
      <c r="H36" s="1623">
        <f>0</f>
        <v>0</v>
      </c>
      <c r="I36" s="1623">
        <f>0</f>
        <v>0</v>
      </c>
      <c r="J36" s="1623">
        <f>30908.02</f>
        <v>30908.02</v>
      </c>
      <c r="K36" s="1623">
        <f>188140.92</f>
        <v>188140.92</v>
      </c>
      <c r="L36" s="1623">
        <f>256308368.91</f>
        <v>256308368.91</v>
      </c>
      <c r="M36" s="1623">
        <f>201083863.64</f>
        <v>201083863.63999999</v>
      </c>
      <c r="N36" s="1623">
        <f>4025699.98</f>
        <v>4025699.98</v>
      </c>
      <c r="O36" s="1623">
        <f>2867.23</f>
        <v>2867.23</v>
      </c>
      <c r="P36" s="1623">
        <f>0</f>
        <v>0</v>
      </c>
      <c r="Q36" s="1623">
        <f>2867.23</f>
        <v>2867.23</v>
      </c>
    </row>
    <row r="37" spans="1:17" ht="27">
      <c r="A37" s="1622" t="s">
        <v>324</v>
      </c>
      <c r="B37" s="1623">
        <f>14752537191.05</f>
        <v>14752537191.049999</v>
      </c>
      <c r="C37" s="1623">
        <f>14752537191.05</f>
        <v>14752537191.049999</v>
      </c>
      <c r="D37" s="1623">
        <f>2707446.42</f>
        <v>2707446.42</v>
      </c>
      <c r="E37" s="1623">
        <f>54343.42</f>
        <v>54343.42</v>
      </c>
      <c r="F37" s="1623">
        <f>28836.81</f>
        <v>28836.81</v>
      </c>
      <c r="G37" s="1623">
        <f>2624266.19</f>
        <v>2624266.19</v>
      </c>
      <c r="H37" s="1623">
        <f>0</f>
        <v>0</v>
      </c>
      <c r="I37" s="1623">
        <f>11539352.66</f>
        <v>11539352.66</v>
      </c>
      <c r="J37" s="1623">
        <f>14736189503.38</f>
        <v>14736189503.379999</v>
      </c>
      <c r="K37" s="1623">
        <f>9637.6</f>
        <v>9637.6</v>
      </c>
      <c r="L37" s="1623">
        <f>1909528.12</f>
        <v>1909528.12</v>
      </c>
      <c r="M37" s="1623">
        <f>24707.61</f>
        <v>24707.61</v>
      </c>
      <c r="N37" s="1623">
        <f>157015.26</f>
        <v>157015.26</v>
      </c>
      <c r="O37" s="1623">
        <f>0</f>
        <v>0</v>
      </c>
      <c r="P37" s="1623">
        <f>0</f>
        <v>0</v>
      </c>
      <c r="Q37" s="1623">
        <f>0</f>
        <v>0</v>
      </c>
    </row>
    <row r="38" spans="1:17">
      <c r="A38" s="1625" t="s">
        <v>325</v>
      </c>
      <c r="B38" s="1623">
        <f>2536274.51</f>
        <v>2536274.5099999998</v>
      </c>
      <c r="C38" s="1623">
        <f>2536274.51</f>
        <v>2536274.5099999998</v>
      </c>
      <c r="D38" s="1623">
        <f>2536274.51</f>
        <v>2536274.5099999998</v>
      </c>
      <c r="E38" s="1623">
        <f>0</f>
        <v>0</v>
      </c>
      <c r="F38" s="1623">
        <f>0</f>
        <v>0</v>
      </c>
      <c r="G38" s="1623">
        <f>2536274.51</f>
        <v>2536274.5099999998</v>
      </c>
      <c r="H38" s="1623">
        <f>0</f>
        <v>0</v>
      </c>
      <c r="I38" s="1623">
        <f>0</f>
        <v>0</v>
      </c>
      <c r="J38" s="1623">
        <f>0</f>
        <v>0</v>
      </c>
      <c r="K38" s="1623">
        <f>0</f>
        <v>0</v>
      </c>
      <c r="L38" s="1623">
        <f>0</f>
        <v>0</v>
      </c>
      <c r="M38" s="1623">
        <f>0</f>
        <v>0</v>
      </c>
      <c r="N38" s="1623">
        <f>0</f>
        <v>0</v>
      </c>
      <c r="O38" s="1623">
        <f>0</f>
        <v>0</v>
      </c>
      <c r="P38" s="1623">
        <f>0</f>
        <v>0</v>
      </c>
      <c r="Q38" s="1623">
        <f>0</f>
        <v>0</v>
      </c>
    </row>
    <row r="39" spans="1:17">
      <c r="A39" s="1625" t="s">
        <v>326</v>
      </c>
      <c r="B39" s="1623">
        <f>14465277117.99</f>
        <v>14465277117.99</v>
      </c>
      <c r="C39" s="1623">
        <f>14465277117.99</f>
        <v>14465277117.99</v>
      </c>
      <c r="D39" s="1623">
        <f>18306.77</f>
        <v>18306.77</v>
      </c>
      <c r="E39" s="1623">
        <f>0</f>
        <v>0</v>
      </c>
      <c r="F39" s="1623">
        <f>545.81</f>
        <v>545.80999999999995</v>
      </c>
      <c r="G39" s="1623">
        <f>17760.96</f>
        <v>17760.96</v>
      </c>
      <c r="H39" s="1623">
        <f>0</f>
        <v>0</v>
      </c>
      <c r="I39" s="1623">
        <f>11486936.66</f>
        <v>11486936.66</v>
      </c>
      <c r="J39" s="1623">
        <f>14453106308.93</f>
        <v>14453106308.93</v>
      </c>
      <c r="K39" s="1623">
        <f>9637.6</f>
        <v>9637.6</v>
      </c>
      <c r="L39" s="1623">
        <f>654259.33</f>
        <v>654259.32999999996</v>
      </c>
      <c r="M39" s="1623">
        <f>1668.7</f>
        <v>1668.7</v>
      </c>
      <c r="N39" s="1623">
        <f>0</f>
        <v>0</v>
      </c>
      <c r="O39" s="1623">
        <f>0</f>
        <v>0</v>
      </c>
      <c r="P39" s="1623">
        <f>0</f>
        <v>0</v>
      </c>
      <c r="Q39" s="1623">
        <f>0</f>
        <v>0</v>
      </c>
    </row>
    <row r="40" spans="1:17">
      <c r="A40" s="1625" t="s">
        <v>327</v>
      </c>
      <c r="B40" s="1623">
        <f>284723798.55</f>
        <v>284723798.55000001</v>
      </c>
      <c r="C40" s="1623">
        <f>284723798.55</f>
        <v>284723798.55000001</v>
      </c>
      <c r="D40" s="1623">
        <f>152865.14</f>
        <v>152865.14000000001</v>
      </c>
      <c r="E40" s="1623">
        <f>54343.42</f>
        <v>54343.42</v>
      </c>
      <c r="F40" s="1623">
        <f>28291</f>
        <v>28291</v>
      </c>
      <c r="G40" s="1623">
        <f>70230.72</f>
        <v>70230.720000000001</v>
      </c>
      <c r="H40" s="1623">
        <f>0</f>
        <v>0</v>
      </c>
      <c r="I40" s="1623">
        <f>52416</f>
        <v>52416</v>
      </c>
      <c r="J40" s="1623">
        <f>283083194.45</f>
        <v>283083194.44999999</v>
      </c>
      <c r="K40" s="1623">
        <f>0</f>
        <v>0</v>
      </c>
      <c r="L40" s="1623">
        <f>1255268.79</f>
        <v>1255268.79</v>
      </c>
      <c r="M40" s="1623">
        <f>23038.91</f>
        <v>23038.91</v>
      </c>
      <c r="N40" s="1623">
        <f>157015.26</f>
        <v>157015.26</v>
      </c>
      <c r="O40" s="1623">
        <f>0</f>
        <v>0</v>
      </c>
      <c r="P40" s="1623">
        <f>0</f>
        <v>0</v>
      </c>
      <c r="Q40" s="1623">
        <f>0</f>
        <v>0</v>
      </c>
    </row>
    <row r="41" spans="1:17">
      <c r="A41" s="1622" t="s">
        <v>364</v>
      </c>
      <c r="B41" s="1623">
        <f>11781347475.73</f>
        <v>11781347475.73</v>
      </c>
      <c r="C41" s="1623">
        <f>11757037032.1</f>
        <v>11757037032.1</v>
      </c>
      <c r="D41" s="1623">
        <f>426288868.11</f>
        <v>426288868.11000001</v>
      </c>
      <c r="E41" s="1623">
        <f>113391192.81</f>
        <v>113391192.81</v>
      </c>
      <c r="F41" s="1623">
        <f>10373671.38</f>
        <v>10373671.380000001</v>
      </c>
      <c r="G41" s="1623">
        <f>300003659.44</f>
        <v>300003659.44</v>
      </c>
      <c r="H41" s="1623">
        <f>2520344.48</f>
        <v>2520344.48</v>
      </c>
      <c r="I41" s="1623">
        <f>191720.77</f>
        <v>191720.77</v>
      </c>
      <c r="J41" s="1623">
        <f>504969.04</f>
        <v>504969.04</v>
      </c>
      <c r="K41" s="1623">
        <f>2491762.48</f>
        <v>2491762.48</v>
      </c>
      <c r="L41" s="1623">
        <f>2500851027.69</f>
        <v>2500851027.6900001</v>
      </c>
      <c r="M41" s="1623">
        <f>8756383434.57</f>
        <v>8756383434.5699997</v>
      </c>
      <c r="N41" s="1623">
        <f>70325249.44</f>
        <v>70325249.439999998</v>
      </c>
      <c r="O41" s="1623">
        <f>24310443.63</f>
        <v>24310443.629999999</v>
      </c>
      <c r="P41" s="1623">
        <f>13625079.58</f>
        <v>13625079.58</v>
      </c>
      <c r="Q41" s="1623">
        <f>10685364.05</f>
        <v>10685364.050000001</v>
      </c>
    </row>
    <row r="42" spans="1:17">
      <c r="A42" s="1625" t="s">
        <v>328</v>
      </c>
      <c r="B42" s="1623">
        <f>5049777218.26</f>
        <v>5049777218.2600002</v>
      </c>
      <c r="C42" s="1623">
        <f>5047996897.2</f>
        <v>5047996897.1999998</v>
      </c>
      <c r="D42" s="1623">
        <f>74141496.19</f>
        <v>74141496.189999998</v>
      </c>
      <c r="E42" s="1623">
        <f>1374565.34</f>
        <v>1374565.34</v>
      </c>
      <c r="F42" s="1623">
        <f>2108405.33</f>
        <v>2108405.33</v>
      </c>
      <c r="G42" s="1623">
        <f>70658460.49</f>
        <v>70658460.489999995</v>
      </c>
      <c r="H42" s="1623">
        <f>65.03</f>
        <v>65.03</v>
      </c>
      <c r="I42" s="1623">
        <f>0</f>
        <v>0</v>
      </c>
      <c r="J42" s="1623">
        <f>65556.88</f>
        <v>65556.88</v>
      </c>
      <c r="K42" s="1623">
        <f>621544.2</f>
        <v>621544.19999999995</v>
      </c>
      <c r="L42" s="1623">
        <f>670053872.31</f>
        <v>670053872.30999994</v>
      </c>
      <c r="M42" s="1623">
        <f>4271135772.81</f>
        <v>4271135772.8099999</v>
      </c>
      <c r="N42" s="1623">
        <f>31978654.81</f>
        <v>31978654.809999999</v>
      </c>
      <c r="O42" s="1623">
        <f>1780321.06</f>
        <v>1780321.06</v>
      </c>
      <c r="P42" s="1623">
        <f>479577.29</f>
        <v>479577.29</v>
      </c>
      <c r="Q42" s="1623">
        <f>1300743.77</f>
        <v>1300743.77</v>
      </c>
    </row>
    <row r="43" spans="1:17">
      <c r="A43" s="1625" t="s">
        <v>329</v>
      </c>
      <c r="B43" s="1623">
        <f>6731570257.47</f>
        <v>6731570257.4700003</v>
      </c>
      <c r="C43" s="1623">
        <f>6709040134.9</f>
        <v>6709040134.8999996</v>
      </c>
      <c r="D43" s="1623">
        <f>352147371.92</f>
        <v>352147371.92000002</v>
      </c>
      <c r="E43" s="1623">
        <f>112016627.47</f>
        <v>112016627.47</v>
      </c>
      <c r="F43" s="1623">
        <f>8265266.05</f>
        <v>8265266.0499999998</v>
      </c>
      <c r="G43" s="1623">
        <f>229345198.95</f>
        <v>229345198.94999999</v>
      </c>
      <c r="H43" s="1623">
        <f>2520279.45</f>
        <v>2520279.4500000002</v>
      </c>
      <c r="I43" s="1623">
        <f>191720.77</f>
        <v>191720.77</v>
      </c>
      <c r="J43" s="1623">
        <f>439412.16</f>
        <v>439412.16</v>
      </c>
      <c r="K43" s="1623">
        <f>1870218.28</f>
        <v>1870218.28</v>
      </c>
      <c r="L43" s="1623">
        <f>1830797155.38</f>
        <v>1830797155.3800001</v>
      </c>
      <c r="M43" s="1623">
        <f>4485247661.76</f>
        <v>4485247661.7600002</v>
      </c>
      <c r="N43" s="1623">
        <f>38346594.63</f>
        <v>38346594.630000003</v>
      </c>
      <c r="O43" s="1623">
        <f>22530122.57</f>
        <v>22530122.57</v>
      </c>
      <c r="P43" s="1623">
        <f>13145502.29</f>
        <v>13145502.289999999</v>
      </c>
      <c r="Q43" s="1623">
        <f>9384620.28</f>
        <v>9384620.2799999993</v>
      </c>
    </row>
    <row r="44" spans="1:17" ht="27">
      <c r="A44" s="1622" t="s">
        <v>330</v>
      </c>
      <c r="B44" s="1623">
        <f>3281332557.97</f>
        <v>3281332557.9699998</v>
      </c>
      <c r="C44" s="1623">
        <f>3254079978.13</f>
        <v>3254079978.1300001</v>
      </c>
      <c r="D44" s="1623">
        <f>711859227.91</f>
        <v>711859227.90999997</v>
      </c>
      <c r="E44" s="1623">
        <f>418813674.77</f>
        <v>418813674.76999998</v>
      </c>
      <c r="F44" s="1623">
        <f>4737856.34</f>
        <v>4737856.34</v>
      </c>
      <c r="G44" s="1623">
        <f>279003782.2</f>
        <v>279003782.19999999</v>
      </c>
      <c r="H44" s="1623">
        <f>9303914.6</f>
        <v>9303914.5999999996</v>
      </c>
      <c r="I44" s="1623">
        <f>2083.31</f>
        <v>2083.31</v>
      </c>
      <c r="J44" s="1623">
        <f>472743.81</f>
        <v>472743.81</v>
      </c>
      <c r="K44" s="1623">
        <f>1300641.09</f>
        <v>1300641.0900000001</v>
      </c>
      <c r="L44" s="1623">
        <f>1351929212.61</f>
        <v>1351929212.6099999</v>
      </c>
      <c r="M44" s="1623">
        <f>1003327353.46</f>
        <v>1003327353.46</v>
      </c>
      <c r="N44" s="1623">
        <f>185188715.94</f>
        <v>185188715.94</v>
      </c>
      <c r="O44" s="1623">
        <f>27252579.84</f>
        <v>27252579.84</v>
      </c>
      <c r="P44" s="1623">
        <f>25009695.32</f>
        <v>25009695.32</v>
      </c>
      <c r="Q44" s="1623">
        <f>2242884.52</f>
        <v>2242884.52</v>
      </c>
    </row>
    <row r="45" spans="1:17">
      <c r="A45" s="1625" t="s">
        <v>331</v>
      </c>
      <c r="B45" s="1623">
        <f>503546494.05</f>
        <v>503546494.05000001</v>
      </c>
      <c r="C45" s="1623">
        <f>503522209.53</f>
        <v>503522209.52999997</v>
      </c>
      <c r="D45" s="1623">
        <f>18630738.85</f>
        <v>18630738.850000001</v>
      </c>
      <c r="E45" s="1623">
        <f>2509719.38</f>
        <v>2509719.38</v>
      </c>
      <c r="F45" s="1623">
        <f>509156.85</f>
        <v>509156.85</v>
      </c>
      <c r="G45" s="1623">
        <f>14820607.48</f>
        <v>14820607.48</v>
      </c>
      <c r="H45" s="1623">
        <f>791255.14</f>
        <v>791255.14</v>
      </c>
      <c r="I45" s="1623">
        <f>0</f>
        <v>0</v>
      </c>
      <c r="J45" s="1623">
        <f>200805.18</f>
        <v>200805.18</v>
      </c>
      <c r="K45" s="1623">
        <f>628096.92</f>
        <v>628096.92000000004</v>
      </c>
      <c r="L45" s="1623">
        <f>219235298.03</f>
        <v>219235298.03</v>
      </c>
      <c r="M45" s="1623">
        <f>258256480.42</f>
        <v>258256480.41999999</v>
      </c>
      <c r="N45" s="1623">
        <f>6570790.13</f>
        <v>6570790.1299999999</v>
      </c>
      <c r="O45" s="1623">
        <f>24284.52</f>
        <v>24284.52</v>
      </c>
      <c r="P45" s="1623">
        <f>23634.81</f>
        <v>23634.81</v>
      </c>
      <c r="Q45" s="1623">
        <f>649.71</f>
        <v>649.71</v>
      </c>
    </row>
    <row r="46" spans="1:17" ht="27">
      <c r="A46" s="1625" t="s">
        <v>369</v>
      </c>
      <c r="B46" s="1623">
        <f>195956513.23</f>
        <v>195956513.22999999</v>
      </c>
      <c r="C46" s="1623">
        <f>195955779.23</f>
        <v>195955779.22999999</v>
      </c>
      <c r="D46" s="1623">
        <f>51711419.94</f>
        <v>51711419.939999998</v>
      </c>
      <c r="E46" s="1623">
        <f>43587548.02</f>
        <v>43587548.020000003</v>
      </c>
      <c r="F46" s="1623">
        <f>231149.98</f>
        <v>231149.98</v>
      </c>
      <c r="G46" s="1623">
        <f>7284933</f>
        <v>7284933</v>
      </c>
      <c r="H46" s="1623">
        <f>607788.94</f>
        <v>607788.93999999994</v>
      </c>
      <c r="I46" s="1623">
        <f>0</f>
        <v>0</v>
      </c>
      <c r="J46" s="1623">
        <f>3340.56</f>
        <v>3340.56</v>
      </c>
      <c r="K46" s="1623">
        <f>234</f>
        <v>234</v>
      </c>
      <c r="L46" s="1623">
        <f>92937655.95</f>
        <v>92937655.950000003</v>
      </c>
      <c r="M46" s="1623">
        <f>48807423.44</f>
        <v>48807423.439999998</v>
      </c>
      <c r="N46" s="1623">
        <f>2495705.34</f>
        <v>2495705.34</v>
      </c>
      <c r="O46" s="1623">
        <f>734</f>
        <v>734</v>
      </c>
      <c r="P46" s="1623">
        <f>682</f>
        <v>682</v>
      </c>
      <c r="Q46" s="1623">
        <f>52</f>
        <v>52</v>
      </c>
    </row>
    <row r="47" spans="1:17" ht="27">
      <c r="A47" s="1625" t="s">
        <v>333</v>
      </c>
      <c r="B47" s="1623">
        <f>2581829550.69</f>
        <v>2581829550.6900001</v>
      </c>
      <c r="C47" s="1623">
        <f>2554601989.37</f>
        <v>2554601989.3699999</v>
      </c>
      <c r="D47" s="1623">
        <f>641517069.12</f>
        <v>641517069.12</v>
      </c>
      <c r="E47" s="1623">
        <f>372716407.37</f>
        <v>372716407.37</v>
      </c>
      <c r="F47" s="1623">
        <f>3997549.51</f>
        <v>3997549.51</v>
      </c>
      <c r="G47" s="1623">
        <f>256898241.72</f>
        <v>256898241.72</v>
      </c>
      <c r="H47" s="1623">
        <f>7904870.52</f>
        <v>7904870.5199999996</v>
      </c>
      <c r="I47" s="1623">
        <f>2083.31</f>
        <v>2083.31</v>
      </c>
      <c r="J47" s="1623">
        <f>268598.07</f>
        <v>268598.07</v>
      </c>
      <c r="K47" s="1623">
        <f>672310.17</f>
        <v>672310.17</v>
      </c>
      <c r="L47" s="1623">
        <f>1039756258.63</f>
        <v>1039756258.63</v>
      </c>
      <c r="M47" s="1623">
        <f>696263449.6</f>
        <v>696263449.60000002</v>
      </c>
      <c r="N47" s="1623">
        <f>176122220.47</f>
        <v>176122220.47</v>
      </c>
      <c r="O47" s="1623">
        <f>27227561.32</f>
        <v>27227561.32</v>
      </c>
      <c r="P47" s="1623">
        <f>24985378.51</f>
        <v>24985378.510000002</v>
      </c>
      <c r="Q47" s="1623">
        <f>2242182.81</f>
        <v>2242182.81</v>
      </c>
    </row>
    <row r="48" spans="1:17">
      <c r="A48" s="1522"/>
      <c r="B48" s="1521"/>
      <c r="C48" s="1521"/>
      <c r="D48" s="1521"/>
      <c r="E48" s="1521"/>
      <c r="F48" s="1521"/>
      <c r="G48" s="1521"/>
      <c r="H48" s="1521"/>
      <c r="I48" s="1521"/>
      <c r="J48" s="1521"/>
      <c r="K48" s="1521"/>
      <c r="L48" s="1521"/>
      <c r="M48" s="1521"/>
      <c r="N48" s="1521"/>
      <c r="O48" s="1521"/>
      <c r="P48" s="1521"/>
      <c r="Q48" s="1521"/>
    </row>
    <row r="49" spans="1:18">
      <c r="A49" s="1522"/>
      <c r="B49" s="1521"/>
      <c r="C49" s="1521"/>
      <c r="D49" s="1521"/>
      <c r="E49" s="1521"/>
      <c r="F49" s="1521"/>
      <c r="G49" s="1521"/>
      <c r="H49" s="1521"/>
      <c r="I49" s="1521"/>
      <c r="J49" s="1521"/>
      <c r="K49" s="1521"/>
      <c r="L49" s="1521"/>
      <c r="M49" s="1521"/>
      <c r="N49" s="1521"/>
      <c r="O49" s="1521"/>
      <c r="P49" s="1521"/>
      <c r="Q49" s="1521"/>
    </row>
    <row r="50" spans="1:18">
      <c r="A50" s="1522"/>
      <c r="B50" s="1521"/>
      <c r="C50" s="1521"/>
      <c r="D50" s="1521"/>
      <c r="E50" s="1521"/>
      <c r="F50" s="1521"/>
      <c r="G50" s="1521"/>
      <c r="H50" s="1521"/>
      <c r="I50" s="1521"/>
      <c r="J50" s="1521"/>
      <c r="K50" s="1521"/>
      <c r="L50" s="1521"/>
      <c r="M50" s="1521"/>
      <c r="N50" s="1521"/>
      <c r="O50" s="1521"/>
      <c r="P50" s="1521"/>
      <c r="Q50" s="1521"/>
    </row>
    <row r="51" spans="1:18">
      <c r="A51" s="1522"/>
      <c r="B51" s="1521"/>
      <c r="C51" s="1521"/>
      <c r="D51" s="1521"/>
      <c r="E51" s="1521"/>
      <c r="F51" s="1521"/>
      <c r="G51" s="1521"/>
      <c r="H51" s="1521"/>
      <c r="I51" s="1521"/>
      <c r="J51" s="1521"/>
      <c r="K51" s="1521"/>
      <c r="L51" s="1521"/>
      <c r="M51" s="1521"/>
      <c r="N51" s="1521"/>
      <c r="O51" s="1521"/>
      <c r="P51" s="1521"/>
      <c r="Q51" s="1521"/>
    </row>
    <row r="52" spans="1:18">
      <c r="A52" s="1522"/>
      <c r="B52" s="1521"/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</row>
    <row r="53" spans="1:18">
      <c r="A53" s="1522"/>
      <c r="B53" s="1521"/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</row>
    <row r="54" spans="1:18">
      <c r="A54" s="1522"/>
      <c r="B54" s="1521"/>
      <c r="C54" s="1521"/>
      <c r="D54" s="1521"/>
      <c r="E54" s="1521"/>
      <c r="F54" s="1521"/>
      <c r="G54" s="1521"/>
      <c r="H54" s="1521"/>
      <c r="I54" s="1521"/>
      <c r="J54" s="1521"/>
      <c r="K54" s="1521"/>
      <c r="L54" s="1521"/>
      <c r="M54" s="1521"/>
      <c r="N54" s="1521"/>
      <c r="O54" s="1521"/>
      <c r="P54" s="1521"/>
      <c r="Q54" s="1521"/>
    </row>
    <row r="55" spans="1:18">
      <c r="A55" s="1522"/>
      <c r="B55" s="1521"/>
      <c r="C55" s="1521"/>
      <c r="D55" s="1521"/>
      <c r="E55" s="1521"/>
      <c r="F55" s="1521"/>
      <c r="G55" s="1521"/>
      <c r="H55" s="1521"/>
      <c r="I55" s="1521"/>
      <c r="J55" s="1521"/>
      <c r="K55" s="1521"/>
      <c r="L55" s="1521"/>
      <c r="M55" s="1521"/>
      <c r="N55" s="1521"/>
      <c r="O55" s="1521"/>
      <c r="P55" s="1521"/>
      <c r="Q55" s="1521"/>
    </row>
    <row r="56" spans="1:18">
      <c r="A56" s="1522"/>
      <c r="B56" s="1521"/>
      <c r="C56" s="1521"/>
      <c r="D56" s="1521"/>
      <c r="E56" s="1521"/>
      <c r="F56" s="1521"/>
      <c r="G56" s="1521"/>
      <c r="H56" s="1521"/>
      <c r="I56" s="1521"/>
      <c r="J56" s="1521"/>
      <c r="K56" s="1521"/>
      <c r="L56" s="1521"/>
      <c r="M56" s="1521"/>
      <c r="N56" s="1521"/>
      <c r="O56" s="1521"/>
      <c r="P56" s="1521"/>
      <c r="Q56" s="1521"/>
    </row>
    <row r="57" spans="1:18">
      <c r="A57" s="1522"/>
      <c r="B57" s="1521"/>
      <c r="C57" s="1521"/>
      <c r="D57" s="1521"/>
      <c r="E57" s="1521"/>
      <c r="F57" s="1521"/>
      <c r="G57" s="1521"/>
      <c r="H57" s="1521"/>
      <c r="I57" s="1521"/>
      <c r="J57" s="1521"/>
      <c r="K57" s="1521"/>
      <c r="L57" s="1521"/>
      <c r="M57" s="1521"/>
      <c r="N57" s="1521"/>
      <c r="O57" s="1521"/>
      <c r="P57" s="1521"/>
      <c r="Q57" s="1521"/>
    </row>
    <row r="59" spans="1:18">
      <c r="A59" s="1978" t="s">
        <v>334</v>
      </c>
      <c r="B59" s="1978"/>
      <c r="C59" s="1978"/>
      <c r="D59" s="1978"/>
      <c r="E59" s="1978"/>
      <c r="F59" s="1978"/>
      <c r="G59" s="1978"/>
      <c r="H59" s="1978"/>
      <c r="I59" s="1978"/>
      <c r="J59" s="1978"/>
      <c r="K59" s="1978"/>
      <c r="L59" s="1978"/>
      <c r="R59" s="1511"/>
    </row>
    <row r="60" spans="1:18">
      <c r="R60" s="1511"/>
    </row>
    <row r="61" spans="1:18">
      <c r="A61" s="2006" t="s">
        <v>68</v>
      </c>
      <c r="B61" s="2006"/>
      <c r="C61" s="2006"/>
      <c r="D61" s="2006"/>
      <c r="E61" s="2006" t="s">
        <v>335</v>
      </c>
      <c r="F61" s="2006" t="s">
        <v>697</v>
      </c>
      <c r="G61" s="2006"/>
      <c r="H61" s="2006"/>
      <c r="I61" s="2006"/>
      <c r="J61" s="2006"/>
      <c r="K61" s="2006"/>
      <c r="R61" s="1511"/>
    </row>
    <row r="62" spans="1:18">
      <c r="A62" s="2006"/>
      <c r="B62" s="2006"/>
      <c r="C62" s="2006"/>
      <c r="D62" s="2006"/>
      <c r="E62" s="2006"/>
      <c r="F62" s="2006" t="s">
        <v>337</v>
      </c>
      <c r="G62" s="2006" t="s">
        <v>287</v>
      </c>
      <c r="H62" s="2006" t="s">
        <v>288</v>
      </c>
      <c r="I62" s="2006" t="s">
        <v>317</v>
      </c>
      <c r="J62" s="2006" t="s">
        <v>338</v>
      </c>
      <c r="K62" s="2010" t="s">
        <v>339</v>
      </c>
      <c r="R62" s="1511"/>
    </row>
    <row r="63" spans="1:18">
      <c r="A63" s="2006"/>
      <c r="B63" s="2006"/>
      <c r="C63" s="2006"/>
      <c r="D63" s="2006"/>
      <c r="E63" s="2006"/>
      <c r="F63" s="2006"/>
      <c r="G63" s="2006"/>
      <c r="H63" s="2006"/>
      <c r="I63" s="2006"/>
      <c r="J63" s="2006"/>
      <c r="K63" s="2010"/>
      <c r="R63" s="1511"/>
    </row>
    <row r="64" spans="1:18">
      <c r="A64" s="2006"/>
      <c r="B64" s="2006"/>
      <c r="C64" s="2006"/>
      <c r="D64" s="2006"/>
      <c r="E64" s="2006"/>
      <c r="F64" s="2006"/>
      <c r="G64" s="2006"/>
      <c r="H64" s="2006"/>
      <c r="I64" s="2006"/>
      <c r="J64" s="2006"/>
      <c r="K64" s="2010"/>
      <c r="R64" s="1511"/>
    </row>
    <row r="65" spans="1:18" ht="33" customHeight="1">
      <c r="A65" s="2006"/>
      <c r="B65" s="2006"/>
      <c r="C65" s="2006"/>
      <c r="D65" s="2006"/>
      <c r="E65" s="2006"/>
      <c r="F65" s="2006"/>
      <c r="G65" s="2006"/>
      <c r="H65" s="2006"/>
      <c r="I65" s="2006"/>
      <c r="J65" s="2006"/>
      <c r="K65" s="2010"/>
      <c r="R65" s="1511"/>
    </row>
    <row r="66" spans="1:18">
      <c r="A66" s="2006"/>
      <c r="B66" s="2006"/>
      <c r="C66" s="2006"/>
      <c r="D66" s="2006"/>
      <c r="E66" s="2008" t="s">
        <v>4</v>
      </c>
      <c r="F66" s="2008"/>
      <c r="G66" s="2008"/>
      <c r="H66" s="2008"/>
      <c r="I66" s="2008"/>
      <c r="J66" s="2008"/>
      <c r="K66" s="2008"/>
      <c r="R66" s="1511"/>
    </row>
    <row r="67" spans="1:18">
      <c r="A67" s="2007" t="s">
        <v>887</v>
      </c>
      <c r="B67" s="2007"/>
      <c r="C67" s="2007"/>
      <c r="D67" s="2007"/>
      <c r="E67" s="1287" t="s">
        <v>888</v>
      </c>
      <c r="F67" s="1287" t="s">
        <v>889</v>
      </c>
      <c r="G67" s="1287" t="s">
        <v>890</v>
      </c>
      <c r="H67" s="1287" t="s">
        <v>891</v>
      </c>
      <c r="I67" s="1287" t="s">
        <v>892</v>
      </c>
      <c r="J67" s="1287" t="s">
        <v>893</v>
      </c>
      <c r="K67" s="1287" t="s">
        <v>894</v>
      </c>
      <c r="R67" s="1511"/>
    </row>
    <row r="68" spans="1:18" ht="29.45" customHeight="1">
      <c r="A68" s="2011" t="s">
        <v>340</v>
      </c>
      <c r="B68" s="2011"/>
      <c r="C68" s="2011"/>
      <c r="D68" s="2011"/>
      <c r="E68" s="1616">
        <f>1785144178.68</f>
        <v>1785144178.6800001</v>
      </c>
      <c r="F68" s="1616">
        <f>276886962.26</f>
        <v>276886962.25999999</v>
      </c>
      <c r="G68" s="1616">
        <f>19147000</f>
        <v>19147000</v>
      </c>
      <c r="H68" s="1616">
        <f>107931251</f>
        <v>107931251</v>
      </c>
      <c r="I68" s="1616">
        <f>149808711.26</f>
        <v>149808711.25999999</v>
      </c>
      <c r="J68" s="1616">
        <f>0</f>
        <v>0</v>
      </c>
      <c r="K68" s="1616">
        <f>1508257216.42</f>
        <v>1508257216.4200001</v>
      </c>
      <c r="R68" s="1511"/>
    </row>
    <row r="69" spans="1:18" ht="25.9" customHeight="1">
      <c r="A69" s="2011" t="s">
        <v>341</v>
      </c>
      <c r="B69" s="2011"/>
      <c r="C69" s="2011"/>
      <c r="D69" s="2011"/>
      <c r="E69" s="1616">
        <f>0</f>
        <v>0</v>
      </c>
      <c r="F69" s="1616">
        <f>0</f>
        <v>0</v>
      </c>
      <c r="G69" s="1616">
        <f>0</f>
        <v>0</v>
      </c>
      <c r="H69" s="1616">
        <f>0</f>
        <v>0</v>
      </c>
      <c r="I69" s="1616">
        <f>0</f>
        <v>0</v>
      </c>
      <c r="J69" s="1616">
        <f>0</f>
        <v>0</v>
      </c>
      <c r="K69" s="1616">
        <f>0</f>
        <v>0</v>
      </c>
      <c r="R69" s="1511"/>
    </row>
    <row r="70" spans="1:18">
      <c r="A70" s="2011" t="s">
        <v>342</v>
      </c>
      <c r="B70" s="2011"/>
      <c r="C70" s="2011"/>
      <c r="D70" s="2011"/>
      <c r="E70" s="1616">
        <f>19341370.13</f>
        <v>19341370.129999999</v>
      </c>
      <c r="F70" s="1616">
        <f>13253370.13</f>
        <v>13253370.130000001</v>
      </c>
      <c r="G70" s="1616">
        <f>0</f>
        <v>0</v>
      </c>
      <c r="H70" s="1616">
        <f>0</f>
        <v>0</v>
      </c>
      <c r="I70" s="1616">
        <f>13253370.13</f>
        <v>13253370.130000001</v>
      </c>
      <c r="J70" s="1616">
        <f>0</f>
        <v>0</v>
      </c>
      <c r="K70" s="1616">
        <f>6088000</f>
        <v>6088000</v>
      </c>
      <c r="R70" s="1511"/>
    </row>
    <row r="71" spans="1:18">
      <c r="A71" s="2011" t="s">
        <v>343</v>
      </c>
      <c r="B71" s="2011"/>
      <c r="C71" s="2011"/>
      <c r="D71" s="2011"/>
      <c r="E71" s="1616">
        <f>4500001.34</f>
        <v>4500001.34</v>
      </c>
      <c r="F71" s="1616">
        <f>0</f>
        <v>0</v>
      </c>
      <c r="G71" s="1616">
        <f>0</f>
        <v>0</v>
      </c>
      <c r="H71" s="1616">
        <f>0</f>
        <v>0</v>
      </c>
      <c r="I71" s="1616">
        <f>0</f>
        <v>0</v>
      </c>
      <c r="J71" s="1616">
        <f>0</f>
        <v>0</v>
      </c>
      <c r="K71" s="1616">
        <f>4500001.34</f>
        <v>4500001.34</v>
      </c>
      <c r="R71" s="1511"/>
    </row>
    <row r="72" spans="1:18">
      <c r="A72" s="2011" t="s">
        <v>344</v>
      </c>
      <c r="B72" s="2011"/>
      <c r="C72" s="2011"/>
      <c r="D72" s="2011"/>
      <c r="E72" s="1616">
        <f>2364150.96</f>
        <v>2364150.96</v>
      </c>
      <c r="F72" s="1616">
        <f>0</f>
        <v>0</v>
      </c>
      <c r="G72" s="1616">
        <f>0</f>
        <v>0</v>
      </c>
      <c r="H72" s="1616">
        <f>0</f>
        <v>0</v>
      </c>
      <c r="I72" s="1616">
        <f>0</f>
        <v>0</v>
      </c>
      <c r="J72" s="1616">
        <f>0</f>
        <v>0</v>
      </c>
      <c r="K72" s="1616">
        <f>2364150.96</f>
        <v>2364150.96</v>
      </c>
      <c r="R72" s="1511"/>
    </row>
    <row r="73" spans="1:18" ht="30" customHeight="1">
      <c r="A73" s="2011" t="s">
        <v>345</v>
      </c>
      <c r="B73" s="2011"/>
      <c r="C73" s="2011"/>
      <c r="D73" s="2011"/>
      <c r="E73" s="1616">
        <f>9262046.47</f>
        <v>9262046.4700000007</v>
      </c>
      <c r="F73" s="1616">
        <f>1395709.44</f>
        <v>1395709.44</v>
      </c>
      <c r="G73" s="1616">
        <f>0</f>
        <v>0</v>
      </c>
      <c r="H73" s="1616">
        <f>0</f>
        <v>0</v>
      </c>
      <c r="I73" s="1616">
        <f>1395709.44</f>
        <v>1395709.44</v>
      </c>
      <c r="J73" s="1616">
        <f>0</f>
        <v>0</v>
      </c>
      <c r="K73" s="1616">
        <f>7866337.03</f>
        <v>7866337.0300000003</v>
      </c>
      <c r="R73" s="1511"/>
    </row>
    <row r="74" spans="1:18" ht="32.450000000000003" customHeight="1">
      <c r="A74" s="2011" t="s">
        <v>346</v>
      </c>
      <c r="B74" s="2011"/>
      <c r="C74" s="2011"/>
      <c r="D74" s="2011"/>
      <c r="E74" s="1616">
        <f>0</f>
        <v>0</v>
      </c>
      <c r="F74" s="1616">
        <f>0</f>
        <v>0</v>
      </c>
      <c r="G74" s="1616">
        <f>0</f>
        <v>0</v>
      </c>
      <c r="H74" s="1616">
        <f>0</f>
        <v>0</v>
      </c>
      <c r="I74" s="1616">
        <f>0</f>
        <v>0</v>
      </c>
      <c r="J74" s="1616">
        <f>0</f>
        <v>0</v>
      </c>
      <c r="K74" s="1616">
        <f>0</f>
        <v>0</v>
      </c>
      <c r="R74" s="1511"/>
    </row>
  </sheetData>
  <mergeCells count="62">
    <mergeCell ref="A70:D70"/>
    <mergeCell ref="E66:K66"/>
    <mergeCell ref="A71:D71"/>
    <mergeCell ref="A72:D72"/>
    <mergeCell ref="A73:D73"/>
    <mergeCell ref="A74:D74"/>
    <mergeCell ref="A68:D68"/>
    <mergeCell ref="A69:D69"/>
    <mergeCell ref="Q26:Q28"/>
    <mergeCell ref="A59:L59"/>
    <mergeCell ref="E61:E65"/>
    <mergeCell ref="F61:K61"/>
    <mergeCell ref="F62:F65"/>
    <mergeCell ref="G62:G65"/>
    <mergeCell ref="H62:H65"/>
    <mergeCell ref="I62:I65"/>
    <mergeCell ref="J62:J65"/>
    <mergeCell ref="K62:K65"/>
    <mergeCell ref="L26:L28"/>
    <mergeCell ref="M26:M28"/>
    <mergeCell ref="N26:N28"/>
    <mergeCell ref="D26:D28"/>
    <mergeCell ref="E26:E28"/>
    <mergeCell ref="F26:F28"/>
    <mergeCell ref="N4:N7"/>
    <mergeCell ref="J4:J7"/>
    <mergeCell ref="K4:K7"/>
    <mergeCell ref="L4:L7"/>
    <mergeCell ref="M4:M7"/>
    <mergeCell ref="G26:G28"/>
    <mergeCell ref="O4:O7"/>
    <mergeCell ref="P4:P7"/>
    <mergeCell ref="Q4:Q7"/>
    <mergeCell ref="A67:D67"/>
    <mergeCell ref="B8:Q8"/>
    <mergeCell ref="A3:A8"/>
    <mergeCell ref="A61:D66"/>
    <mergeCell ref="A25:A29"/>
    <mergeCell ref="O26:O28"/>
    <mergeCell ref="P26:P28"/>
    <mergeCell ref="A23:M23"/>
    <mergeCell ref="B25:B28"/>
    <mergeCell ref="C25:N25"/>
    <mergeCell ref="O25:Q25"/>
    <mergeCell ref="C26:C28"/>
    <mergeCell ref="I4:I7"/>
    <mergeCell ref="A1:M1"/>
    <mergeCell ref="C2:M2"/>
    <mergeCell ref="B3:B7"/>
    <mergeCell ref="C3:N3"/>
    <mergeCell ref="B29:Q29"/>
    <mergeCell ref="C4:C7"/>
    <mergeCell ref="D4:D7"/>
    <mergeCell ref="E4:E7"/>
    <mergeCell ref="F4:F7"/>
    <mergeCell ref="G4:G7"/>
    <mergeCell ref="H26:H28"/>
    <mergeCell ref="I26:I28"/>
    <mergeCell ref="J26:J28"/>
    <mergeCell ref="K26:K28"/>
    <mergeCell ref="O3:Q3"/>
    <mergeCell ref="H4:H7"/>
  </mergeCells>
  <printOptions horizontalCentered="1"/>
  <pageMargins left="0.27559055118110237" right="0.27559055118110237" top="0.59055118110236227" bottom="0.19685039370078741" header="0.31496062992125984" footer="0.59055118110236227"/>
  <pageSetup paperSize="9" scale="63" firstPageNumber="5" orientation="landscape" useFirstPageNumber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7"/>
  <sheetViews>
    <sheetView showGridLines="0" zoomScaleNormal="100" workbookViewId="0">
      <selection activeCell="K7" sqref="K7"/>
    </sheetView>
  </sheetViews>
  <sheetFormatPr defaultRowHeight="12.75"/>
  <cols>
    <col min="1" max="1" width="4.7109375" customWidth="1"/>
    <col min="2" max="2" width="15.85546875" customWidth="1"/>
    <col min="3" max="3" width="10.42578125" customWidth="1"/>
    <col min="7" max="7" width="10.140625" customWidth="1"/>
  </cols>
  <sheetData>
    <row r="2" spans="1:7" ht="28.5" customHeight="1">
      <c r="A2" s="1861" t="s">
        <v>998</v>
      </c>
      <c r="B2" s="2274"/>
      <c r="C2" s="2274"/>
      <c r="D2" s="2274"/>
      <c r="E2" s="2274"/>
      <c r="F2" s="2274"/>
      <c r="G2" s="2274"/>
    </row>
    <row r="4" spans="1:7" ht="13.5" customHeight="1">
      <c r="A4" s="1798" t="s">
        <v>41</v>
      </c>
      <c r="B4" s="1801" t="s">
        <v>68</v>
      </c>
      <c r="C4" s="1808" t="s">
        <v>959</v>
      </c>
      <c r="D4" s="248" t="s">
        <v>960</v>
      </c>
      <c r="E4" s="229" t="s">
        <v>348</v>
      </c>
      <c r="F4" s="229" t="s">
        <v>349</v>
      </c>
      <c r="G4" s="230" t="s">
        <v>371</v>
      </c>
    </row>
    <row r="5" spans="1:7" ht="14.25" customHeight="1">
      <c r="A5" s="1799"/>
      <c r="B5" s="1802"/>
      <c r="C5" s="1809"/>
      <c r="D5" s="2173" t="s">
        <v>961</v>
      </c>
      <c r="E5" s="2173"/>
      <c r="F5" s="2173"/>
      <c r="G5" s="2174"/>
    </row>
    <row r="6" spans="1:7" ht="13.5">
      <c r="A6" s="1872"/>
      <c r="B6" s="1873"/>
      <c r="C6" s="1809"/>
      <c r="D6" s="2113" t="s">
        <v>4</v>
      </c>
      <c r="E6" s="2113"/>
      <c r="F6" s="2113"/>
      <c r="G6" s="2114"/>
    </row>
    <row r="7" spans="1:7">
      <c r="A7" s="239" t="s">
        <v>887</v>
      </c>
      <c r="B7" s="244" t="s">
        <v>888</v>
      </c>
      <c r="C7" s="249" t="s">
        <v>889</v>
      </c>
      <c r="D7" s="240" t="s">
        <v>890</v>
      </c>
      <c r="E7" s="241" t="s">
        <v>891</v>
      </c>
      <c r="F7" s="241" t="s">
        <v>892</v>
      </c>
      <c r="G7" s="242" t="s">
        <v>893</v>
      </c>
    </row>
    <row r="8" spans="1:7" ht="21.75" customHeight="1">
      <c r="A8" s="231"/>
      <c r="B8" s="1563" t="s">
        <v>933</v>
      </c>
      <c r="C8" s="250">
        <v>12510635</v>
      </c>
      <c r="D8" s="111">
        <v>8876.09</v>
      </c>
      <c r="E8" s="173">
        <v>8648.92</v>
      </c>
      <c r="F8" s="173">
        <v>227.17</v>
      </c>
      <c r="G8" s="232">
        <v>3600.67</v>
      </c>
    </row>
    <row r="9" spans="1:7" ht="20.100000000000001" customHeight="1">
      <c r="A9" s="233" t="s">
        <v>6</v>
      </c>
      <c r="B9" s="246" t="s">
        <v>26</v>
      </c>
      <c r="C9" s="251">
        <v>928670</v>
      </c>
      <c r="D9" s="112">
        <v>8956.58</v>
      </c>
      <c r="E9" s="174">
        <v>8662.36</v>
      </c>
      <c r="F9" s="174">
        <v>294.22000000000003</v>
      </c>
      <c r="G9" s="234">
        <v>5227.6899999999996</v>
      </c>
    </row>
    <row r="10" spans="1:7" ht="20.100000000000001" customHeight="1">
      <c r="A10" s="233" t="s">
        <v>7</v>
      </c>
      <c r="B10" s="246" t="s">
        <v>42</v>
      </c>
      <c r="C10" s="251">
        <v>744829</v>
      </c>
      <c r="D10" s="112">
        <v>7608.7</v>
      </c>
      <c r="E10" s="174">
        <v>7220.62</v>
      </c>
      <c r="F10" s="174">
        <v>388.08</v>
      </c>
      <c r="G10" s="234">
        <v>3552.33</v>
      </c>
    </row>
    <row r="11" spans="1:7" ht="20.100000000000001" customHeight="1">
      <c r="A11" s="233" t="s">
        <v>8</v>
      </c>
      <c r="B11" s="246" t="s">
        <v>27</v>
      </c>
      <c r="C11" s="251">
        <v>519448</v>
      </c>
      <c r="D11" s="112">
        <v>8268.65</v>
      </c>
      <c r="E11" s="174">
        <v>8229.2900000000009</v>
      </c>
      <c r="F11" s="174">
        <v>39.369999999999997</v>
      </c>
      <c r="G11" s="234">
        <v>4231.57</v>
      </c>
    </row>
    <row r="12" spans="1:7" ht="20.100000000000001" customHeight="1">
      <c r="A12" s="233" t="s">
        <v>9</v>
      </c>
      <c r="B12" s="246" t="s">
        <v>28</v>
      </c>
      <c r="C12" s="251">
        <v>263481</v>
      </c>
      <c r="D12" s="112">
        <v>7992.67</v>
      </c>
      <c r="E12" s="174">
        <v>7873.16</v>
      </c>
      <c r="F12" s="174">
        <v>119.51</v>
      </c>
      <c r="G12" s="234">
        <v>2600.6999999999998</v>
      </c>
    </row>
    <row r="13" spans="1:7" ht="20.100000000000001" customHeight="1">
      <c r="A13" s="233" t="s">
        <v>1</v>
      </c>
      <c r="B13" s="246" t="s">
        <v>29</v>
      </c>
      <c r="C13" s="251">
        <v>792090</v>
      </c>
      <c r="D13" s="112">
        <v>7928</v>
      </c>
      <c r="E13" s="174">
        <v>7743.55</v>
      </c>
      <c r="F13" s="174">
        <v>184.45</v>
      </c>
      <c r="G13" s="234">
        <v>5129.74</v>
      </c>
    </row>
    <row r="14" spans="1:7" ht="20.100000000000001" customHeight="1">
      <c r="A14" s="233" t="s">
        <v>2</v>
      </c>
      <c r="B14" s="246" t="s">
        <v>30</v>
      </c>
      <c r="C14" s="251">
        <v>971022</v>
      </c>
      <c r="D14" s="112">
        <v>9120.51</v>
      </c>
      <c r="E14" s="174">
        <v>9272.74</v>
      </c>
      <c r="F14" s="174">
        <v>-152.24</v>
      </c>
      <c r="G14" s="234">
        <v>4865.84</v>
      </c>
    </row>
    <row r="15" spans="1:7" ht="20.100000000000001" customHeight="1">
      <c r="A15" s="233" t="s">
        <v>10</v>
      </c>
      <c r="B15" s="246" t="s">
        <v>31</v>
      </c>
      <c r="C15" s="251">
        <v>2251199</v>
      </c>
      <c r="D15" s="112">
        <v>11231.79</v>
      </c>
      <c r="E15" s="174">
        <v>10647.84</v>
      </c>
      <c r="F15" s="174">
        <v>583.95000000000005</v>
      </c>
      <c r="G15" s="234">
        <v>3363.98</v>
      </c>
    </row>
    <row r="16" spans="1:7" ht="20.100000000000001" customHeight="1">
      <c r="A16" s="233" t="s">
        <v>11</v>
      </c>
      <c r="B16" s="246" t="s">
        <v>32</v>
      </c>
      <c r="C16" s="251">
        <v>127839</v>
      </c>
      <c r="D16" s="112">
        <v>9499.66</v>
      </c>
      <c r="E16" s="174">
        <v>10474.11</v>
      </c>
      <c r="F16" s="174">
        <v>-974.45</v>
      </c>
      <c r="G16" s="234">
        <v>3875.84</v>
      </c>
    </row>
    <row r="17" spans="1:7" ht="20.100000000000001" customHeight="1">
      <c r="A17" s="233" t="s">
        <v>12</v>
      </c>
      <c r="B17" s="246" t="s">
        <v>33</v>
      </c>
      <c r="C17" s="251">
        <v>348721</v>
      </c>
      <c r="D17" s="112">
        <v>8601.49</v>
      </c>
      <c r="E17" s="174">
        <v>8617.92</v>
      </c>
      <c r="F17" s="174">
        <v>-16.43</v>
      </c>
      <c r="G17" s="234">
        <v>4036.44</v>
      </c>
    </row>
    <row r="18" spans="1:7" ht="20.100000000000001" customHeight="1">
      <c r="A18" s="233" t="s">
        <v>13</v>
      </c>
      <c r="B18" s="246" t="s">
        <v>34</v>
      </c>
      <c r="C18" s="251">
        <v>429170</v>
      </c>
      <c r="D18" s="112">
        <v>7899.33</v>
      </c>
      <c r="E18" s="174">
        <v>7475.83</v>
      </c>
      <c r="F18" s="174">
        <v>423.51</v>
      </c>
      <c r="G18" s="234">
        <v>3045.65</v>
      </c>
    </row>
    <row r="19" spans="1:7" ht="20.100000000000001" customHeight="1">
      <c r="A19" s="233" t="s">
        <v>14</v>
      </c>
      <c r="B19" s="246" t="s">
        <v>35</v>
      </c>
      <c r="C19" s="251">
        <v>840840</v>
      </c>
      <c r="D19" s="112">
        <v>8921.2800000000007</v>
      </c>
      <c r="E19" s="174">
        <v>8547.08</v>
      </c>
      <c r="F19" s="174">
        <v>374.19</v>
      </c>
      <c r="G19" s="234">
        <v>2806.52</v>
      </c>
    </row>
    <row r="20" spans="1:7" ht="20.100000000000001" customHeight="1">
      <c r="A20" s="233" t="s">
        <v>15</v>
      </c>
      <c r="B20" s="246" t="s">
        <v>36</v>
      </c>
      <c r="C20" s="251">
        <v>2498095</v>
      </c>
      <c r="D20" s="112">
        <v>7777.66</v>
      </c>
      <c r="E20" s="174">
        <v>7583.31</v>
      </c>
      <c r="F20" s="174">
        <v>194.35</v>
      </c>
      <c r="G20" s="234">
        <v>2245.39</v>
      </c>
    </row>
    <row r="21" spans="1:7" ht="20.100000000000001" customHeight="1">
      <c r="A21" s="233" t="s">
        <v>16</v>
      </c>
      <c r="B21" s="246" t="s">
        <v>37</v>
      </c>
      <c r="C21" s="251">
        <v>193415</v>
      </c>
      <c r="D21" s="112">
        <v>8024.42</v>
      </c>
      <c r="E21" s="174">
        <v>7974.51</v>
      </c>
      <c r="F21" s="174">
        <v>49.91</v>
      </c>
      <c r="G21" s="234">
        <v>5264.65</v>
      </c>
    </row>
    <row r="22" spans="1:7" ht="20.100000000000001" customHeight="1">
      <c r="A22" s="233" t="s">
        <v>17</v>
      </c>
      <c r="B22" s="246" t="s">
        <v>43</v>
      </c>
      <c r="C22" s="251">
        <v>289831</v>
      </c>
      <c r="D22" s="112">
        <v>8105.15</v>
      </c>
      <c r="E22" s="174">
        <v>7478.04</v>
      </c>
      <c r="F22" s="174">
        <v>627.11</v>
      </c>
      <c r="G22" s="234">
        <v>2041.11</v>
      </c>
    </row>
    <row r="23" spans="1:7" ht="20.100000000000001" customHeight="1">
      <c r="A23" s="233" t="s">
        <v>18</v>
      </c>
      <c r="B23" s="246" t="s">
        <v>38</v>
      </c>
      <c r="C23" s="251">
        <v>766547</v>
      </c>
      <c r="D23" s="112">
        <v>9088.59</v>
      </c>
      <c r="E23" s="174">
        <v>8950.02</v>
      </c>
      <c r="F23" s="174">
        <v>138.57</v>
      </c>
      <c r="G23" s="234">
        <v>3088.65</v>
      </c>
    </row>
    <row r="24" spans="1:7" ht="20.100000000000001" customHeight="1">
      <c r="A24" s="235" t="s">
        <v>19</v>
      </c>
      <c r="B24" s="247" t="s">
        <v>39</v>
      </c>
      <c r="C24" s="252">
        <v>545438</v>
      </c>
      <c r="D24" s="236">
        <v>8866.11</v>
      </c>
      <c r="E24" s="237">
        <v>9295.57</v>
      </c>
      <c r="F24" s="237">
        <v>-429.46</v>
      </c>
      <c r="G24" s="238">
        <v>5765.88</v>
      </c>
    </row>
    <row r="26" spans="1:7" ht="13.5">
      <c r="A26" s="169" t="s">
        <v>934</v>
      </c>
      <c r="B26" s="170" t="s">
        <v>935</v>
      </c>
      <c r="C26" s="169"/>
      <c r="D26" s="169"/>
      <c r="E26" s="169"/>
      <c r="F26" s="169"/>
      <c r="G26" s="169"/>
    </row>
    <row r="27" spans="1:7" ht="13.5">
      <c r="A27" s="169"/>
      <c r="B27" s="170" t="s">
        <v>936</v>
      </c>
      <c r="C27" s="169"/>
      <c r="D27" s="169"/>
      <c r="E27" s="169"/>
      <c r="F27" s="169"/>
      <c r="G27" s="169"/>
    </row>
  </sheetData>
  <mergeCells count="6">
    <mergeCell ref="A2:G2"/>
    <mergeCell ref="A4:A6"/>
    <mergeCell ref="B4:B6"/>
    <mergeCell ref="D5:G5"/>
    <mergeCell ref="D6:G6"/>
    <mergeCell ref="C4:C6"/>
  </mergeCells>
  <pageMargins left="0.75" right="0.75" top="1" bottom="1" header="0.5" footer="0.5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3"/>
  <sheetViews>
    <sheetView showGridLines="0" topLeftCell="A13" zoomScaleNormal="100" workbookViewId="0">
      <selection activeCell="A30" sqref="A30"/>
    </sheetView>
  </sheetViews>
  <sheetFormatPr defaultColWidth="9.140625" defaultRowHeight="13.5"/>
  <cols>
    <col min="1" max="1" width="43.42578125" style="225" customWidth="1"/>
    <col min="2" max="4" width="20.28515625" style="225" customWidth="1"/>
    <col min="5" max="7" width="9.28515625" style="225" customWidth="1"/>
    <col min="8" max="16384" width="9.140625" style="225"/>
  </cols>
  <sheetData>
    <row r="1" spans="1:7">
      <c r="A1" s="2275" t="s">
        <v>97</v>
      </c>
      <c r="B1" s="2275"/>
      <c r="C1" s="2275"/>
      <c r="D1" s="2275"/>
      <c r="E1" s="2275"/>
      <c r="F1" s="2276"/>
      <c r="G1" s="2277"/>
    </row>
    <row r="3" spans="1:7">
      <c r="A3" s="1814" t="s">
        <v>68</v>
      </c>
      <c r="B3" s="1814" t="s">
        <v>1152</v>
      </c>
      <c r="C3" s="1817" t="s">
        <v>1153</v>
      </c>
      <c r="D3" s="1823" t="s">
        <v>1037</v>
      </c>
      <c r="E3" s="1826" t="s">
        <v>1034</v>
      </c>
      <c r="F3" s="1820" t="s">
        <v>22</v>
      </c>
      <c r="G3" s="1829" t="s">
        <v>1025</v>
      </c>
    </row>
    <row r="4" spans="1:7">
      <c r="A4" s="1815"/>
      <c r="B4" s="1815"/>
      <c r="C4" s="1818"/>
      <c r="D4" s="1824"/>
      <c r="E4" s="1827"/>
      <c r="F4" s="1821"/>
      <c r="G4" s="1830"/>
    </row>
    <row r="5" spans="1:7">
      <c r="A5" s="1815"/>
      <c r="B5" s="1816"/>
      <c r="C5" s="2185"/>
      <c r="D5" s="2186"/>
      <c r="E5" s="2187"/>
      <c r="F5" s="2175"/>
      <c r="G5" s="2176"/>
    </row>
    <row r="6" spans="1:7">
      <c r="A6" s="1816"/>
      <c r="B6" s="2180" t="s">
        <v>4</v>
      </c>
      <c r="C6" s="2181"/>
      <c r="D6" s="2182"/>
      <c r="E6" s="2180" t="s">
        <v>72</v>
      </c>
      <c r="F6" s="2181"/>
      <c r="G6" s="2182"/>
    </row>
    <row r="7" spans="1:7">
      <c r="A7" s="275" t="s">
        <v>887</v>
      </c>
      <c r="B7" s="275" t="s">
        <v>888</v>
      </c>
      <c r="C7" s="276" t="s">
        <v>889</v>
      </c>
      <c r="D7" s="279" t="s">
        <v>890</v>
      </c>
      <c r="E7" s="285" t="s">
        <v>891</v>
      </c>
      <c r="F7" s="277" t="s">
        <v>892</v>
      </c>
      <c r="G7" s="278" t="s">
        <v>893</v>
      </c>
    </row>
    <row r="8" spans="1:7" ht="27">
      <c r="A8" s="1544" t="s">
        <v>1146</v>
      </c>
      <c r="B8" s="663">
        <v>100314429260.47</v>
      </c>
      <c r="C8" s="659">
        <v>108010279664.71001</v>
      </c>
      <c r="D8" s="667">
        <v>111045555017.25</v>
      </c>
      <c r="E8" s="286">
        <v>102.81017266315968</v>
      </c>
      <c r="F8" s="264">
        <v>100</v>
      </c>
      <c r="G8" s="265">
        <v>110.6974897189678</v>
      </c>
    </row>
    <row r="9" spans="1:7" ht="27">
      <c r="A9" s="1545" t="s">
        <v>1147</v>
      </c>
      <c r="B9" s="664">
        <v>56075154788.570007</v>
      </c>
      <c r="C9" s="660">
        <v>59764580212.200012</v>
      </c>
      <c r="D9" s="668">
        <v>62942159576.779999</v>
      </c>
      <c r="E9" s="287">
        <v>105.31682704588184</v>
      </c>
      <c r="F9" s="254">
        <v>56.681385911396866</v>
      </c>
      <c r="G9" s="255">
        <v>112.24607370965245</v>
      </c>
    </row>
    <row r="10" spans="1:7" ht="20.100000000000001" customHeight="1">
      <c r="A10" s="1543" t="s">
        <v>78</v>
      </c>
      <c r="B10" s="665">
        <v>2605178639.8800001</v>
      </c>
      <c r="C10" s="337">
        <v>2674071546.5500002</v>
      </c>
      <c r="D10" s="669">
        <v>3116588540.9300003</v>
      </c>
      <c r="E10" s="288">
        <v>116.54843509893821</v>
      </c>
      <c r="F10" s="257">
        <v>2.8065855859299047</v>
      </c>
      <c r="G10" s="258">
        <v>119.63051182830044</v>
      </c>
    </row>
    <row r="11" spans="1:7" ht="20.100000000000001" customHeight="1">
      <c r="A11" s="1543" t="s">
        <v>79</v>
      </c>
      <c r="B11" s="665">
        <v>24162402264</v>
      </c>
      <c r="C11" s="337">
        <v>25619992534.209999</v>
      </c>
      <c r="D11" s="669">
        <v>27272768439</v>
      </c>
      <c r="E11" s="288">
        <v>106.45111782364134</v>
      </c>
      <c r="F11" s="257">
        <v>24.559982103528057</v>
      </c>
      <c r="G11" s="258">
        <v>112.87275222478269</v>
      </c>
    </row>
    <row r="12" spans="1:7" ht="20.100000000000001" customHeight="1">
      <c r="A12" s="1543" t="s">
        <v>80</v>
      </c>
      <c r="B12" s="665">
        <v>21652691.609999999</v>
      </c>
      <c r="C12" s="337">
        <v>22514752</v>
      </c>
      <c r="D12" s="669">
        <v>22790413.010000002</v>
      </c>
      <c r="E12" s="288">
        <v>101.2243573013818</v>
      </c>
      <c r="F12" s="257">
        <v>2.0523480662021729E-2</v>
      </c>
      <c r="G12" s="258">
        <v>105.25441095496211</v>
      </c>
    </row>
    <row r="13" spans="1:7" ht="20.100000000000001" customHeight="1">
      <c r="A13" s="1543" t="s">
        <v>81</v>
      </c>
      <c r="B13" s="665">
        <v>9226681869.4200001</v>
      </c>
      <c r="C13" s="337">
        <v>9835187195.2700005</v>
      </c>
      <c r="D13" s="669">
        <v>9989809401.5799999</v>
      </c>
      <c r="E13" s="288">
        <v>101.5721328251318</v>
      </c>
      <c r="F13" s="257">
        <v>8.9961362253790043</v>
      </c>
      <c r="G13" s="258">
        <v>108.27087725533524</v>
      </c>
    </row>
    <row r="14" spans="1:7" ht="20.100000000000001" customHeight="1">
      <c r="A14" s="1543" t="s">
        <v>82</v>
      </c>
      <c r="B14" s="665">
        <v>4577997.71</v>
      </c>
      <c r="C14" s="337">
        <v>4606361</v>
      </c>
      <c r="D14" s="669">
        <v>4626574.75</v>
      </c>
      <c r="E14" s="288">
        <v>100.4388225325805</v>
      </c>
      <c r="F14" s="257">
        <v>4.1663754567045031E-3</v>
      </c>
      <c r="G14" s="258">
        <v>101.06109795323599</v>
      </c>
    </row>
    <row r="15" spans="1:7" ht="20.100000000000001" customHeight="1">
      <c r="A15" s="1543" t="s">
        <v>83</v>
      </c>
      <c r="B15" s="665">
        <v>347092350.50999999</v>
      </c>
      <c r="C15" s="337">
        <v>358279902</v>
      </c>
      <c r="D15" s="669">
        <v>343868661.61000001</v>
      </c>
      <c r="E15" s="288">
        <v>95.977658721699669</v>
      </c>
      <c r="F15" s="257">
        <v>0.30966449900365928</v>
      </c>
      <c r="G15" s="258">
        <v>99.07123020854155</v>
      </c>
    </row>
    <row r="16" spans="1:7" ht="27">
      <c r="A16" s="1543" t="s">
        <v>84</v>
      </c>
      <c r="B16" s="665">
        <v>30283795.030000001</v>
      </c>
      <c r="C16" s="337">
        <v>49154771</v>
      </c>
      <c r="D16" s="669">
        <v>91596271.790000007</v>
      </c>
      <c r="E16" s="288">
        <v>186.34258674503846</v>
      </c>
      <c r="F16" s="257">
        <v>8.2485311344313861E-2</v>
      </c>
      <c r="G16" s="258">
        <v>302.45968743105709</v>
      </c>
    </row>
    <row r="17" spans="1:7" ht="20.100000000000001" customHeight="1">
      <c r="A17" s="1543" t="s">
        <v>85</v>
      </c>
      <c r="B17" s="665">
        <v>171079733.75999999</v>
      </c>
      <c r="C17" s="337">
        <v>178578906.24000001</v>
      </c>
      <c r="D17" s="669">
        <v>230475384.87</v>
      </c>
      <c r="E17" s="288">
        <v>129.06081111296203</v>
      </c>
      <c r="F17" s="257">
        <v>0.20755030206674871</v>
      </c>
      <c r="G17" s="258">
        <v>134.71811055850921</v>
      </c>
    </row>
    <row r="18" spans="1:7" ht="20.100000000000001" customHeight="1">
      <c r="A18" s="1543" t="s">
        <v>86</v>
      </c>
      <c r="B18" s="665">
        <v>1590781025.6800001</v>
      </c>
      <c r="C18" s="337">
        <v>1700145476.72</v>
      </c>
      <c r="D18" s="669">
        <v>2460003510.5900002</v>
      </c>
      <c r="E18" s="288">
        <v>144.69370676066814</v>
      </c>
      <c r="F18" s="257">
        <v>2.2153102032835617</v>
      </c>
      <c r="G18" s="258">
        <v>154.64124042706882</v>
      </c>
    </row>
    <row r="19" spans="1:7" ht="20.100000000000001" customHeight="1">
      <c r="A19" s="1543" t="s">
        <v>87</v>
      </c>
      <c r="B19" s="665">
        <v>312002209.50999999</v>
      </c>
      <c r="C19" s="337">
        <v>334502083</v>
      </c>
      <c r="D19" s="669">
        <v>369119300.42000002</v>
      </c>
      <c r="E19" s="288">
        <v>110.34887947768026</v>
      </c>
      <c r="F19" s="257">
        <v>0.33240349004753988</v>
      </c>
      <c r="G19" s="258">
        <v>118.30663026383772</v>
      </c>
    </row>
    <row r="20" spans="1:7" ht="20.100000000000001" customHeight="1">
      <c r="A20" s="1543" t="s">
        <v>88</v>
      </c>
      <c r="B20" s="665">
        <v>9982798.4399999995</v>
      </c>
      <c r="C20" s="337">
        <v>9580706</v>
      </c>
      <c r="D20" s="669">
        <v>9281227.3200000003</v>
      </c>
      <c r="E20" s="288">
        <v>96.87414810557803</v>
      </c>
      <c r="F20" s="257">
        <v>8.358035869655691E-3</v>
      </c>
      <c r="G20" s="258">
        <v>92.972199887469642</v>
      </c>
    </row>
    <row r="21" spans="1:7" ht="20.100000000000001" customHeight="1">
      <c r="A21" s="1543" t="s">
        <v>89</v>
      </c>
      <c r="B21" s="665">
        <v>17642786</v>
      </c>
      <c r="C21" s="337">
        <v>132652</v>
      </c>
      <c r="D21" s="669">
        <v>345520.28</v>
      </c>
      <c r="E21" s="288">
        <v>260.47121792358956</v>
      </c>
      <c r="F21" s="257">
        <v>3.1115183308897537E-4</v>
      </c>
      <c r="G21" s="258">
        <v>1.9584224396305667</v>
      </c>
    </row>
    <row r="22" spans="1:7" ht="20.100000000000001" customHeight="1">
      <c r="A22" s="1543" t="s">
        <v>90</v>
      </c>
      <c r="B22" s="665">
        <v>4061242302.8499999</v>
      </c>
      <c r="C22" s="337">
        <v>5041182412.6400003</v>
      </c>
      <c r="D22" s="669">
        <v>5096536275.5100002</v>
      </c>
      <c r="E22" s="288">
        <v>101.09803332510263</v>
      </c>
      <c r="F22" s="257">
        <v>4.5895905286062968</v>
      </c>
      <c r="G22" s="258">
        <v>125.49205133447656</v>
      </c>
    </row>
    <row r="23" spans="1:7" ht="20.100000000000001" customHeight="1">
      <c r="A23" s="1543" t="s">
        <v>91</v>
      </c>
      <c r="B23" s="665">
        <v>13514554324.169998</v>
      </c>
      <c r="C23" s="337">
        <v>13936650913.570015</v>
      </c>
      <c r="D23" s="669">
        <v>13934350055.119995</v>
      </c>
      <c r="E23" s="288">
        <v>99.983490592795292</v>
      </c>
      <c r="F23" s="257">
        <v>12.548318618386309</v>
      </c>
      <c r="G23" s="258">
        <v>103.1062491657547</v>
      </c>
    </row>
    <row r="24" spans="1:7" ht="27">
      <c r="A24" s="1545" t="s">
        <v>1145</v>
      </c>
      <c r="B24" s="664">
        <v>25447767081.899998</v>
      </c>
      <c r="C24" s="660">
        <v>26353857912.510002</v>
      </c>
      <c r="D24" s="668">
        <v>25313482230.470001</v>
      </c>
      <c r="E24" s="287">
        <v>96.052283178068805</v>
      </c>
      <c r="F24" s="254">
        <v>22.795583512134062</v>
      </c>
      <c r="G24" s="255">
        <v>99.472311849610136</v>
      </c>
    </row>
    <row r="25" spans="1:7" ht="20.100000000000001" customHeight="1">
      <c r="A25" s="1543" t="s">
        <v>92</v>
      </c>
      <c r="B25" s="665">
        <v>20706395775.869999</v>
      </c>
      <c r="C25" s="337">
        <v>21151025767.460003</v>
      </c>
      <c r="D25" s="669">
        <v>21199513141.720001</v>
      </c>
      <c r="E25" s="288">
        <v>100.22924360640037</v>
      </c>
      <c r="F25" s="257">
        <v>19.090825507087459</v>
      </c>
      <c r="G25" s="258">
        <v>102.38147368179185</v>
      </c>
    </row>
    <row r="26" spans="1:7" ht="54">
      <c r="A26" s="1543" t="s">
        <v>93</v>
      </c>
      <c r="B26" s="665">
        <v>4741371306.0300007</v>
      </c>
      <c r="C26" s="337">
        <v>5202832145.0500002</v>
      </c>
      <c r="D26" s="669">
        <v>4113969088.75</v>
      </c>
      <c r="E26" s="288">
        <v>79.071724285090568</v>
      </c>
      <c r="F26" s="257">
        <v>3.7047580050466036</v>
      </c>
      <c r="G26" s="258">
        <v>86.767494533025072</v>
      </c>
    </row>
    <row r="27" spans="1:7" ht="20.100000000000001" customHeight="1">
      <c r="A27" s="662" t="s">
        <v>94</v>
      </c>
      <c r="B27" s="666">
        <v>18791507390</v>
      </c>
      <c r="C27" s="661">
        <v>21891841540</v>
      </c>
      <c r="D27" s="670">
        <v>22789913210</v>
      </c>
      <c r="E27" s="289">
        <v>104.10231212554264</v>
      </c>
      <c r="F27" s="261">
        <v>20.523030576469068</v>
      </c>
      <c r="G27" s="262">
        <v>121.27772794921057</v>
      </c>
    </row>
    <row r="29" spans="1:7">
      <c r="A29" s="1541" t="s">
        <v>1033</v>
      </c>
      <c r="B29" s="1542"/>
      <c r="C29" s="1542"/>
      <c r="D29" s="1542"/>
      <c r="E29" s="1542"/>
      <c r="F29" s="1542"/>
      <c r="G29" s="1542"/>
    </row>
    <row r="32" spans="1:7">
      <c r="B32" s="226"/>
    </row>
    <row r="33" spans="2:2">
      <c r="B33" s="226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87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showGridLines="0" topLeftCell="A22" zoomScaleNormal="100" workbookViewId="0">
      <selection activeCell="L13" sqref="L13"/>
    </sheetView>
  </sheetViews>
  <sheetFormatPr defaultRowHeight="12.75"/>
  <cols>
    <col min="1" max="1" width="6" customWidth="1"/>
    <col min="2" max="2" width="25.7109375" customWidth="1"/>
    <col min="3" max="5" width="13.28515625" bestFit="1" customWidth="1"/>
    <col min="6" max="6" width="8.5703125" customWidth="1"/>
    <col min="7" max="7" width="8.42578125" customWidth="1"/>
    <col min="8" max="8" width="9" customWidth="1"/>
  </cols>
  <sheetData>
    <row r="1" spans="1:8">
      <c r="A1" s="1797" t="s">
        <v>699</v>
      </c>
      <c r="B1" s="1797"/>
      <c r="C1" s="1797"/>
      <c r="D1" s="1797"/>
      <c r="E1" s="1797"/>
      <c r="F1" s="1797"/>
      <c r="G1" s="1797"/>
      <c r="H1" s="1797"/>
    </row>
    <row r="3" spans="1:8" ht="13.5">
      <c r="A3" s="2041" t="s">
        <v>881</v>
      </c>
      <c r="B3" s="2044" t="s">
        <v>68</v>
      </c>
      <c r="C3" s="565" t="s">
        <v>71</v>
      </c>
      <c r="D3" s="563" t="s">
        <v>70</v>
      </c>
      <c r="E3" s="561" t="s">
        <v>71</v>
      </c>
      <c r="F3" s="346" t="s">
        <v>265</v>
      </c>
      <c r="G3" s="2050" t="s">
        <v>22</v>
      </c>
      <c r="H3" s="558" t="s">
        <v>882</v>
      </c>
    </row>
    <row r="4" spans="1:8" ht="13.5">
      <c r="A4" s="2042"/>
      <c r="B4" s="2045"/>
      <c r="C4" s="566">
        <v>2020</v>
      </c>
      <c r="D4" s="564">
        <v>2021</v>
      </c>
      <c r="E4" s="562">
        <v>2021</v>
      </c>
      <c r="F4" s="347" t="s">
        <v>883</v>
      </c>
      <c r="G4" s="2051"/>
      <c r="H4" s="559" t="s">
        <v>884</v>
      </c>
    </row>
    <row r="5" spans="1:8" ht="13.5">
      <c r="A5" s="2042"/>
      <c r="B5" s="2045"/>
      <c r="C5" s="2047" t="s">
        <v>885</v>
      </c>
      <c r="D5" s="2048"/>
      <c r="E5" s="2049"/>
      <c r="F5" s="2047" t="s">
        <v>886</v>
      </c>
      <c r="G5" s="2048"/>
      <c r="H5" s="2049"/>
    </row>
    <row r="6" spans="1:8">
      <c r="A6" s="239" t="s">
        <v>887</v>
      </c>
      <c r="B6" s="244" t="s">
        <v>888</v>
      </c>
      <c r="C6" s="249" t="s">
        <v>889</v>
      </c>
      <c r="D6" s="240" t="s">
        <v>890</v>
      </c>
      <c r="E6" s="242" t="s">
        <v>891</v>
      </c>
      <c r="F6" s="239" t="s">
        <v>892</v>
      </c>
      <c r="G6" s="241" t="s">
        <v>893</v>
      </c>
      <c r="H6" s="242" t="s">
        <v>894</v>
      </c>
    </row>
    <row r="7" spans="1:8" ht="19.899999999999999" customHeight="1">
      <c r="A7" s="348"/>
      <c r="B7" s="76" t="s">
        <v>933</v>
      </c>
      <c r="C7" s="567">
        <v>100314429260.47</v>
      </c>
      <c r="D7" s="159">
        <v>108010279664.71001</v>
      </c>
      <c r="E7" s="332">
        <v>111045555017.25</v>
      </c>
      <c r="F7" s="560">
        <v>102.8</v>
      </c>
      <c r="G7" s="150">
        <v>100</v>
      </c>
      <c r="H7" s="343">
        <v>110.7</v>
      </c>
    </row>
    <row r="8" spans="1:8" ht="19.899999999999999" customHeight="1">
      <c r="A8" s="233" t="s">
        <v>895</v>
      </c>
      <c r="B8" s="63" t="s">
        <v>99</v>
      </c>
      <c r="C8" s="568">
        <v>25532161.780000001</v>
      </c>
      <c r="D8" s="160">
        <v>14530238.310000001</v>
      </c>
      <c r="E8" s="334">
        <v>13192618.939999999</v>
      </c>
      <c r="F8" s="369">
        <v>90.8</v>
      </c>
      <c r="G8" s="157">
        <v>0</v>
      </c>
      <c r="H8" s="344">
        <v>51.7</v>
      </c>
    </row>
    <row r="9" spans="1:8" ht="19.899999999999999" customHeight="1">
      <c r="A9" s="233" t="s">
        <v>896</v>
      </c>
      <c r="B9" s="63" t="s">
        <v>100</v>
      </c>
      <c r="C9" s="568">
        <v>2086164.56</v>
      </c>
      <c r="D9" s="160">
        <v>2033427.93</v>
      </c>
      <c r="E9" s="334">
        <v>2205918.39</v>
      </c>
      <c r="F9" s="369">
        <v>108.5</v>
      </c>
      <c r="G9" s="157">
        <v>0</v>
      </c>
      <c r="H9" s="344">
        <v>105.7</v>
      </c>
    </row>
    <row r="10" spans="1:8" ht="19.899999999999999" customHeight="1">
      <c r="A10" s="233" t="s">
        <v>897</v>
      </c>
      <c r="B10" s="63" t="s">
        <v>101</v>
      </c>
      <c r="C10" s="568">
        <v>25911.46</v>
      </c>
      <c r="D10" s="160">
        <v>26100</v>
      </c>
      <c r="E10" s="334">
        <v>22640</v>
      </c>
      <c r="F10" s="369">
        <v>86.7</v>
      </c>
      <c r="G10" s="157">
        <v>0</v>
      </c>
      <c r="H10" s="344">
        <v>87.4</v>
      </c>
    </row>
    <row r="11" spans="1:8" ht="19.899999999999999" customHeight="1">
      <c r="A11" s="233" t="s">
        <v>898</v>
      </c>
      <c r="B11" s="63" t="s">
        <v>126</v>
      </c>
      <c r="C11" s="568">
        <v>13311874.279999999</v>
      </c>
      <c r="D11" s="160">
        <v>326793</v>
      </c>
      <c r="E11" s="334">
        <v>668085.53</v>
      </c>
      <c r="F11" s="369">
        <v>204.4</v>
      </c>
      <c r="G11" s="157">
        <v>0</v>
      </c>
      <c r="H11" s="344">
        <v>5</v>
      </c>
    </row>
    <row r="12" spans="1:8" ht="19.899999999999999" customHeight="1">
      <c r="A12" s="233" t="s">
        <v>899</v>
      </c>
      <c r="B12" s="63" t="s">
        <v>102</v>
      </c>
      <c r="C12" s="568">
        <v>10292991.359999999</v>
      </c>
      <c r="D12" s="160">
        <v>13556854.210000001</v>
      </c>
      <c r="E12" s="334">
        <v>11292177.449999999</v>
      </c>
      <c r="F12" s="369">
        <v>83.3</v>
      </c>
      <c r="G12" s="157">
        <v>0</v>
      </c>
      <c r="H12" s="344">
        <v>109.7</v>
      </c>
    </row>
    <row r="13" spans="1:8" ht="27">
      <c r="A13" s="233" t="s">
        <v>900</v>
      </c>
      <c r="B13" s="63" t="s">
        <v>103</v>
      </c>
      <c r="C13" s="568">
        <v>40301855.740000002</v>
      </c>
      <c r="D13" s="160">
        <v>40821874</v>
      </c>
      <c r="E13" s="334">
        <v>39030891.399999999</v>
      </c>
      <c r="F13" s="369">
        <v>95.6</v>
      </c>
      <c r="G13" s="157">
        <v>0.1</v>
      </c>
      <c r="H13" s="344">
        <v>96.8</v>
      </c>
    </row>
    <row r="14" spans="1:8" ht="19.899999999999999" customHeight="1">
      <c r="A14" s="233" t="s">
        <v>901</v>
      </c>
      <c r="B14" s="63" t="s">
        <v>216</v>
      </c>
      <c r="C14" s="568">
        <v>2156471.75</v>
      </c>
      <c r="D14" s="160">
        <v>3470683</v>
      </c>
      <c r="E14" s="334">
        <v>3670367.78</v>
      </c>
      <c r="F14" s="369">
        <v>105.8</v>
      </c>
      <c r="G14" s="157">
        <v>0</v>
      </c>
      <c r="H14" s="344">
        <v>170.2</v>
      </c>
    </row>
    <row r="15" spans="1:8" ht="19.899999999999999" customHeight="1">
      <c r="A15" s="233" t="s">
        <v>902</v>
      </c>
      <c r="B15" s="63" t="s">
        <v>354</v>
      </c>
      <c r="C15" s="568">
        <v>0</v>
      </c>
      <c r="D15" s="160">
        <v>0</v>
      </c>
      <c r="E15" s="334">
        <v>100</v>
      </c>
      <c r="F15" s="626" t="s">
        <v>913</v>
      </c>
      <c r="G15" s="157">
        <v>0</v>
      </c>
      <c r="H15" s="370" t="s">
        <v>913</v>
      </c>
    </row>
    <row r="16" spans="1:8" ht="19.899999999999999" customHeight="1">
      <c r="A16" s="233" t="s">
        <v>903</v>
      </c>
      <c r="B16" s="63" t="s">
        <v>104</v>
      </c>
      <c r="C16" s="568">
        <v>5851342494.8699999</v>
      </c>
      <c r="D16" s="160">
        <v>6570502936.7399998</v>
      </c>
      <c r="E16" s="334">
        <v>6026692057.1599998</v>
      </c>
      <c r="F16" s="369">
        <v>91.7</v>
      </c>
      <c r="G16" s="157">
        <v>5.4</v>
      </c>
      <c r="H16" s="344">
        <v>103</v>
      </c>
    </row>
    <row r="17" spans="1:8" ht="19.899999999999999" customHeight="1">
      <c r="A17" s="233" t="s">
        <v>904</v>
      </c>
      <c r="B17" s="63" t="s">
        <v>105</v>
      </c>
      <c r="C17" s="568">
        <v>13739077.130000001</v>
      </c>
      <c r="D17" s="160">
        <v>9855756.1500000004</v>
      </c>
      <c r="E17" s="334">
        <v>11760120.390000001</v>
      </c>
      <c r="F17" s="369">
        <v>119.3</v>
      </c>
      <c r="G17" s="157">
        <v>0</v>
      </c>
      <c r="H17" s="344">
        <v>85.6</v>
      </c>
    </row>
    <row r="18" spans="1:8" ht="19.899999999999999" customHeight="1">
      <c r="A18" s="233" t="s">
        <v>905</v>
      </c>
      <c r="B18" s="63" t="s">
        <v>106</v>
      </c>
      <c r="C18" s="568">
        <v>5732247696.9099998</v>
      </c>
      <c r="D18" s="160">
        <v>7319081170.0200005</v>
      </c>
      <c r="E18" s="334">
        <v>7581674681.0100002</v>
      </c>
      <c r="F18" s="369">
        <v>103.6</v>
      </c>
      <c r="G18" s="157">
        <v>6.8</v>
      </c>
      <c r="H18" s="344">
        <v>132.30000000000001</v>
      </c>
    </row>
    <row r="19" spans="1:8" ht="19.899999999999999" customHeight="1">
      <c r="A19" s="233" t="s">
        <v>906</v>
      </c>
      <c r="B19" s="63" t="s">
        <v>107</v>
      </c>
      <c r="C19" s="568">
        <v>329176049.24000001</v>
      </c>
      <c r="D19" s="160">
        <v>409223452.38999999</v>
      </c>
      <c r="E19" s="334">
        <v>393121126.23000002</v>
      </c>
      <c r="F19" s="369">
        <v>96.1</v>
      </c>
      <c r="G19" s="157">
        <v>0.4</v>
      </c>
      <c r="H19" s="344">
        <v>119.4</v>
      </c>
    </row>
    <row r="20" spans="1:8" ht="19.899999999999999" customHeight="1">
      <c r="A20" s="233" t="s">
        <v>907</v>
      </c>
      <c r="B20" s="63" t="s">
        <v>108</v>
      </c>
      <c r="C20" s="568">
        <v>8173248.4800000004</v>
      </c>
      <c r="D20" s="160">
        <v>1806008.84</v>
      </c>
      <c r="E20" s="334">
        <v>1730012.22</v>
      </c>
      <c r="F20" s="369">
        <v>95.8</v>
      </c>
      <c r="G20" s="157">
        <v>0</v>
      </c>
      <c r="H20" s="344">
        <v>21.2</v>
      </c>
    </row>
    <row r="21" spans="1:8" ht="19.899999999999999" customHeight="1">
      <c r="A21" s="233" t="s">
        <v>908</v>
      </c>
      <c r="B21" s="63" t="s">
        <v>217</v>
      </c>
      <c r="C21" s="568">
        <v>12488239.15</v>
      </c>
      <c r="D21" s="160">
        <v>1872326</v>
      </c>
      <c r="E21" s="334">
        <v>1345884.5</v>
      </c>
      <c r="F21" s="369">
        <v>71.900000000000006</v>
      </c>
      <c r="G21" s="157">
        <v>0</v>
      </c>
      <c r="H21" s="344">
        <v>10.8</v>
      </c>
    </row>
    <row r="22" spans="1:8" ht="19.899999999999999" customHeight="1">
      <c r="A22" s="233" t="s">
        <v>909</v>
      </c>
      <c r="B22" s="63" t="s">
        <v>109</v>
      </c>
      <c r="C22" s="568">
        <v>408201737.33999997</v>
      </c>
      <c r="D22" s="160">
        <v>424749249.79000002</v>
      </c>
      <c r="E22" s="334">
        <v>485277490.06999999</v>
      </c>
      <c r="F22" s="369">
        <v>114.3</v>
      </c>
      <c r="G22" s="157">
        <v>0.4</v>
      </c>
      <c r="H22" s="344">
        <v>118.9</v>
      </c>
    </row>
    <row r="23" spans="1:8" ht="40.5">
      <c r="A23" s="233" t="s">
        <v>910</v>
      </c>
      <c r="B23" s="63" t="s">
        <v>110</v>
      </c>
      <c r="C23" s="568">
        <v>66462711.799999997</v>
      </c>
      <c r="D23" s="160">
        <v>2791673</v>
      </c>
      <c r="E23" s="334">
        <v>2764700.92</v>
      </c>
      <c r="F23" s="369">
        <v>99</v>
      </c>
      <c r="G23" s="157">
        <v>0</v>
      </c>
      <c r="H23" s="344">
        <v>4.2</v>
      </c>
    </row>
    <row r="24" spans="1:8" ht="19.899999999999999" customHeight="1">
      <c r="A24" s="233" t="s">
        <v>911</v>
      </c>
      <c r="B24" s="63" t="s">
        <v>111</v>
      </c>
      <c r="C24" s="568">
        <v>9780709.3399999999</v>
      </c>
      <c r="D24" s="160">
        <v>861711</v>
      </c>
      <c r="E24" s="334">
        <v>675283.09</v>
      </c>
      <c r="F24" s="369">
        <v>78.400000000000006</v>
      </c>
      <c r="G24" s="157">
        <v>0</v>
      </c>
      <c r="H24" s="344">
        <v>6.9</v>
      </c>
    </row>
    <row r="25" spans="1:8" ht="27">
      <c r="A25" s="233" t="s">
        <v>914</v>
      </c>
      <c r="B25" s="63" t="s">
        <v>112</v>
      </c>
      <c r="C25" s="568">
        <v>1359661339.23</v>
      </c>
      <c r="D25" s="160">
        <v>1371045959.1199999</v>
      </c>
      <c r="E25" s="334">
        <v>1369834471.5899999</v>
      </c>
      <c r="F25" s="369">
        <v>99.9</v>
      </c>
      <c r="G25" s="157">
        <v>1.2</v>
      </c>
      <c r="H25" s="344">
        <v>100.7</v>
      </c>
    </row>
    <row r="26" spans="1:8" ht="19.899999999999999" customHeight="1">
      <c r="A26" s="233" t="s">
        <v>915</v>
      </c>
      <c r="B26" s="63" t="s">
        <v>113</v>
      </c>
      <c r="C26" s="568">
        <v>30794471.719999999</v>
      </c>
      <c r="D26" s="160">
        <v>30962358.77</v>
      </c>
      <c r="E26" s="334">
        <v>30663434.719999999</v>
      </c>
      <c r="F26" s="369">
        <v>99</v>
      </c>
      <c r="G26" s="157">
        <v>0</v>
      </c>
      <c r="H26" s="344">
        <v>99.6</v>
      </c>
    </row>
    <row r="27" spans="1:8" ht="54">
      <c r="A27" s="233" t="s">
        <v>916</v>
      </c>
      <c r="B27" s="63" t="s">
        <v>356</v>
      </c>
      <c r="C27" s="568">
        <v>39715242271.269997</v>
      </c>
      <c r="D27" s="160">
        <v>42240659667.760002</v>
      </c>
      <c r="E27" s="334">
        <v>45244900142.669998</v>
      </c>
      <c r="F27" s="369">
        <v>107.1</v>
      </c>
      <c r="G27" s="157">
        <v>40.700000000000003</v>
      </c>
      <c r="H27" s="344">
        <v>113.9</v>
      </c>
    </row>
    <row r="28" spans="1:8" ht="19.899999999999999" customHeight="1">
      <c r="A28" s="233" t="s">
        <v>917</v>
      </c>
      <c r="B28" s="63" t="s">
        <v>357</v>
      </c>
      <c r="C28" s="568">
        <v>6603195.3799999999</v>
      </c>
      <c r="D28" s="160">
        <v>163802.12</v>
      </c>
      <c r="E28" s="334">
        <v>165355.07</v>
      </c>
      <c r="F28" s="369">
        <v>100.9</v>
      </c>
      <c r="G28" s="157">
        <v>0</v>
      </c>
      <c r="H28" s="344">
        <v>2.5</v>
      </c>
    </row>
    <row r="29" spans="1:8" ht="19.899999999999999" customHeight="1">
      <c r="A29" s="233" t="s">
        <v>918</v>
      </c>
      <c r="B29" s="63" t="s">
        <v>114</v>
      </c>
      <c r="C29" s="568">
        <v>21087762465.919998</v>
      </c>
      <c r="D29" s="160">
        <v>22527526359.939999</v>
      </c>
      <c r="E29" s="334">
        <v>23554184876.650002</v>
      </c>
      <c r="F29" s="369">
        <v>104.6</v>
      </c>
      <c r="G29" s="157">
        <v>21.2</v>
      </c>
      <c r="H29" s="344">
        <v>111.7</v>
      </c>
    </row>
    <row r="30" spans="1:8" ht="19.899999999999999" customHeight="1">
      <c r="A30" s="233" t="s">
        <v>919</v>
      </c>
      <c r="B30" s="63" t="s">
        <v>115</v>
      </c>
      <c r="C30" s="568">
        <v>1749863639.6700001</v>
      </c>
      <c r="D30" s="160">
        <v>2332038877.5100002</v>
      </c>
      <c r="E30" s="334">
        <v>2068453923.5799999</v>
      </c>
      <c r="F30" s="369">
        <v>88.7</v>
      </c>
      <c r="G30" s="157">
        <v>1.9</v>
      </c>
      <c r="H30" s="344">
        <v>118.2</v>
      </c>
    </row>
    <row r="31" spans="1:8" ht="19.899999999999999" customHeight="1">
      <c r="A31" s="233" t="s">
        <v>921</v>
      </c>
      <c r="B31" s="63" t="s">
        <v>116</v>
      </c>
      <c r="C31" s="568">
        <v>275123345.30000001</v>
      </c>
      <c r="D31" s="160">
        <v>343554810.49000001</v>
      </c>
      <c r="E31" s="334">
        <v>340496355.60000002</v>
      </c>
      <c r="F31" s="369">
        <v>99.1</v>
      </c>
      <c r="G31" s="157">
        <v>0.3</v>
      </c>
      <c r="H31" s="344">
        <v>123.8</v>
      </c>
    </row>
    <row r="32" spans="1:8" ht="19.899999999999999" customHeight="1">
      <c r="A32" s="233" t="s">
        <v>922</v>
      </c>
      <c r="B32" s="63" t="s">
        <v>117</v>
      </c>
      <c r="C32" s="568">
        <v>1888911156.5599999</v>
      </c>
      <c r="D32" s="160">
        <v>1897584126.05</v>
      </c>
      <c r="E32" s="334">
        <v>1849912204.3800001</v>
      </c>
      <c r="F32" s="369">
        <v>97.5</v>
      </c>
      <c r="G32" s="157">
        <v>1.7</v>
      </c>
      <c r="H32" s="344">
        <v>97.9</v>
      </c>
    </row>
    <row r="33" spans="1:8" ht="27">
      <c r="A33" s="233" t="s">
        <v>923</v>
      </c>
      <c r="B33" s="63" t="s">
        <v>118</v>
      </c>
      <c r="C33" s="568">
        <v>410824188.04000002</v>
      </c>
      <c r="D33" s="160">
        <v>402690282.87</v>
      </c>
      <c r="E33" s="334">
        <v>346113783.73000002</v>
      </c>
      <c r="F33" s="369">
        <v>86</v>
      </c>
      <c r="G33" s="157">
        <v>0.3</v>
      </c>
      <c r="H33" s="344">
        <v>84.2</v>
      </c>
    </row>
    <row r="34" spans="1:8" ht="19.899999999999999" customHeight="1">
      <c r="A34" s="233" t="s">
        <v>924</v>
      </c>
      <c r="B34" s="63" t="s">
        <v>119</v>
      </c>
      <c r="C34" s="568">
        <v>79033649.75</v>
      </c>
      <c r="D34" s="160">
        <v>110373378.81999999</v>
      </c>
      <c r="E34" s="334">
        <v>89203820.859999999</v>
      </c>
      <c r="F34" s="369">
        <v>80.8</v>
      </c>
      <c r="G34" s="157">
        <v>0.1</v>
      </c>
      <c r="H34" s="344">
        <v>112.9</v>
      </c>
    </row>
    <row r="35" spans="1:8" ht="19.899999999999999" customHeight="1">
      <c r="A35" s="233" t="s">
        <v>925</v>
      </c>
      <c r="B35" s="63" t="s">
        <v>120</v>
      </c>
      <c r="C35" s="568">
        <v>16348859011.65</v>
      </c>
      <c r="D35" s="160">
        <v>16092235360.59</v>
      </c>
      <c r="E35" s="334">
        <v>16042690141.610001</v>
      </c>
      <c r="F35" s="369">
        <v>99.7</v>
      </c>
      <c r="G35" s="157">
        <v>14.5</v>
      </c>
      <c r="H35" s="344">
        <v>98.1</v>
      </c>
    </row>
    <row r="36" spans="1:8" ht="27">
      <c r="A36" s="233" t="s">
        <v>926</v>
      </c>
      <c r="B36" s="63" t="s">
        <v>121</v>
      </c>
      <c r="C36" s="568">
        <v>4229393087.5100002</v>
      </c>
      <c r="D36" s="160">
        <v>5162318783.3800001</v>
      </c>
      <c r="E36" s="334">
        <v>4918117429.7200003</v>
      </c>
      <c r="F36" s="369">
        <v>95.3</v>
      </c>
      <c r="G36" s="157">
        <v>4.4000000000000004</v>
      </c>
      <c r="H36" s="344">
        <v>116.3</v>
      </c>
    </row>
    <row r="37" spans="1:8" ht="27">
      <c r="A37" s="233" t="s">
        <v>927</v>
      </c>
      <c r="B37" s="63" t="s">
        <v>122</v>
      </c>
      <c r="C37" s="568">
        <v>258388075.06999999</v>
      </c>
      <c r="D37" s="160">
        <v>252748101.12</v>
      </c>
      <c r="E37" s="334">
        <v>202537420.75999999</v>
      </c>
      <c r="F37" s="369">
        <v>80.099999999999994</v>
      </c>
      <c r="G37" s="157">
        <v>0.2</v>
      </c>
      <c r="H37" s="344">
        <v>78.400000000000006</v>
      </c>
    </row>
    <row r="38" spans="1:8" ht="40.5">
      <c r="A38" s="233" t="s">
        <v>928</v>
      </c>
      <c r="B38" s="63" t="s">
        <v>123</v>
      </c>
      <c r="C38" s="568">
        <v>52798626.289999999</v>
      </c>
      <c r="D38" s="160">
        <v>65718809.799999997</v>
      </c>
      <c r="E38" s="334">
        <v>63603199.359999999</v>
      </c>
      <c r="F38" s="369">
        <v>96.8</v>
      </c>
      <c r="G38" s="157">
        <v>0.1</v>
      </c>
      <c r="H38" s="344">
        <v>120.5</v>
      </c>
    </row>
    <row r="39" spans="1:8" ht="19.899999999999999" customHeight="1">
      <c r="A39" s="235" t="s">
        <v>929</v>
      </c>
      <c r="B39" s="295" t="s">
        <v>124</v>
      </c>
      <c r="C39" s="569">
        <v>295851341.92000002</v>
      </c>
      <c r="D39" s="151">
        <v>365148731.99000001</v>
      </c>
      <c r="E39" s="336">
        <v>349554301.87</v>
      </c>
      <c r="F39" s="371">
        <v>95.7</v>
      </c>
      <c r="G39" s="130">
        <v>0.3</v>
      </c>
      <c r="H39" s="345">
        <v>118.2</v>
      </c>
    </row>
    <row r="40" spans="1:8">
      <c r="G40" s="628" t="s">
        <v>3</v>
      </c>
    </row>
    <row r="41" spans="1:8" ht="13.5">
      <c r="A41" s="58" t="s">
        <v>930</v>
      </c>
      <c r="B41" s="57"/>
      <c r="C41" s="57"/>
      <c r="D41" s="57"/>
      <c r="E41" s="57"/>
      <c r="F41" s="57"/>
      <c r="G41" s="57"/>
      <c r="H41" s="57"/>
    </row>
  </sheetData>
  <mergeCells count="6">
    <mergeCell ref="A1:H1"/>
    <mergeCell ref="A3:A5"/>
    <mergeCell ref="B3:B5"/>
    <mergeCell ref="C5:E5"/>
    <mergeCell ref="F5:H5"/>
    <mergeCell ref="G3:G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6"/>
  <sheetViews>
    <sheetView showGridLines="0" zoomScaleNormal="100" zoomScaleSheetLayoutView="100" workbookViewId="0">
      <selection activeCell="O23" sqref="O23"/>
    </sheetView>
  </sheetViews>
  <sheetFormatPr defaultColWidth="9.140625" defaultRowHeight="12.75"/>
  <cols>
    <col min="1" max="1" width="4.42578125" style="37" customWidth="1"/>
    <col min="2" max="2" width="4.85546875" style="37" customWidth="1"/>
    <col min="3" max="3" width="14.42578125" style="37" bestFit="1" customWidth="1"/>
    <col min="4" max="5" width="13.28515625" style="37" bestFit="1" customWidth="1"/>
    <col min="6" max="6" width="9.140625" style="37" customWidth="1"/>
    <col min="7" max="8" width="13.28515625" style="37" bestFit="1" customWidth="1"/>
    <col min="9" max="9" width="11.85546875" style="37" customWidth="1"/>
    <col min="10" max="10" width="11.7109375" style="37" bestFit="1" customWidth="1"/>
    <col min="11" max="11" width="12.42578125" style="37" bestFit="1" customWidth="1"/>
    <col min="12" max="12" width="12" style="37" customWidth="1"/>
    <col min="13" max="16384" width="9.140625" style="37"/>
  </cols>
  <sheetData>
    <row r="1" spans="1:12" ht="19.899999999999999" customHeight="1">
      <c r="A1" s="1797" t="s">
        <v>702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  <c r="L1" s="1797"/>
    </row>
    <row r="3" spans="1:12" s="38" customFormat="1" ht="25.15" customHeight="1">
      <c r="A3" s="2202" t="s">
        <v>41</v>
      </c>
      <c r="B3" s="2205" t="s">
        <v>67</v>
      </c>
      <c r="C3" s="2280" t="s">
        <v>971</v>
      </c>
      <c r="D3" s="2013" t="s">
        <v>372</v>
      </c>
      <c r="E3" s="2014"/>
      <c r="F3" s="2015" t="s">
        <v>687</v>
      </c>
      <c r="G3" s="2017" t="s">
        <v>0</v>
      </c>
      <c r="H3" s="2014"/>
      <c r="I3" s="2026" t="s">
        <v>686</v>
      </c>
      <c r="J3" s="2195" t="s">
        <v>685</v>
      </c>
      <c r="K3" s="2197" t="s">
        <v>371</v>
      </c>
      <c r="L3" s="2015" t="s">
        <v>684</v>
      </c>
    </row>
    <row r="4" spans="1:12" s="38" customFormat="1" ht="30.6" customHeight="1">
      <c r="A4" s="2203"/>
      <c r="B4" s="2206"/>
      <c r="C4" s="2281"/>
      <c r="D4" s="506" t="s">
        <v>70</v>
      </c>
      <c r="E4" s="503" t="s">
        <v>71</v>
      </c>
      <c r="F4" s="2016"/>
      <c r="G4" s="505" t="s">
        <v>70</v>
      </c>
      <c r="H4" s="503" t="s">
        <v>71</v>
      </c>
      <c r="I4" s="2027"/>
      <c r="J4" s="2196"/>
      <c r="K4" s="2283"/>
      <c r="L4" s="2016"/>
    </row>
    <row r="5" spans="1:12" s="38" customFormat="1" ht="13.5">
      <c r="A5" s="2204"/>
      <c r="B5" s="2207"/>
      <c r="C5" s="2282"/>
      <c r="D5" s="2022" t="s">
        <v>885</v>
      </c>
      <c r="E5" s="2023"/>
      <c r="F5" s="507" t="s">
        <v>5</v>
      </c>
      <c r="G5" s="2024" t="s">
        <v>885</v>
      </c>
      <c r="H5" s="2023"/>
      <c r="I5" s="504" t="s">
        <v>5</v>
      </c>
      <c r="J5" s="2022" t="s">
        <v>885</v>
      </c>
      <c r="K5" s="2023"/>
      <c r="L5" s="507" t="s">
        <v>5</v>
      </c>
    </row>
    <row r="6" spans="1:12" s="38" customFormat="1" ht="11.25" customHeight="1">
      <c r="A6" s="508" t="s">
        <v>887</v>
      </c>
      <c r="B6" s="501" t="s">
        <v>888</v>
      </c>
      <c r="C6" s="502" t="s">
        <v>889</v>
      </c>
      <c r="D6" s="508" t="s">
        <v>890</v>
      </c>
      <c r="E6" s="501" t="s">
        <v>891</v>
      </c>
      <c r="F6" s="509" t="s">
        <v>892</v>
      </c>
      <c r="G6" s="500" t="s">
        <v>893</v>
      </c>
      <c r="H6" s="501" t="s">
        <v>894</v>
      </c>
      <c r="I6" s="502" t="s">
        <v>932</v>
      </c>
      <c r="J6" s="649" t="s">
        <v>966</v>
      </c>
      <c r="K6" s="500" t="s">
        <v>967</v>
      </c>
      <c r="L6" s="509" t="s">
        <v>969</v>
      </c>
    </row>
    <row r="7" spans="1:12" s="38" customFormat="1" ht="17.25" customHeight="1">
      <c r="A7" s="1673"/>
      <c r="B7" s="1681"/>
      <c r="C7" s="1674" t="s">
        <v>933</v>
      </c>
      <c r="D7" s="1675">
        <v>108010279664.71002</v>
      </c>
      <c r="E7" s="1676">
        <v>111045555017.24997</v>
      </c>
      <c r="F7" s="1677">
        <v>102.81017266315963</v>
      </c>
      <c r="G7" s="1678">
        <v>115172486565.63998</v>
      </c>
      <c r="H7" s="1676">
        <v>108203485541.17</v>
      </c>
      <c r="I7" s="1677">
        <v>93.949074790099147</v>
      </c>
      <c r="J7" s="678">
        <v>2842069476.0800004</v>
      </c>
      <c r="K7" s="677">
        <v>45046629514.820007</v>
      </c>
      <c r="L7" s="676">
        <v>40.565900641248007</v>
      </c>
    </row>
    <row r="8" spans="1:12" ht="14.45" customHeight="1">
      <c r="A8" s="629">
        <v>2</v>
      </c>
      <c r="B8" s="177">
        <v>61</v>
      </c>
      <c r="C8" s="672" t="s">
        <v>143</v>
      </c>
      <c r="D8" s="510">
        <v>556720278.58000004</v>
      </c>
      <c r="E8" s="178">
        <v>599680887.12</v>
      </c>
      <c r="F8" s="511">
        <v>107.7</v>
      </c>
      <c r="G8" s="163">
        <v>601319237.17999995</v>
      </c>
      <c r="H8" s="178">
        <v>559651788.16999996</v>
      </c>
      <c r="I8" s="126">
        <v>93.1</v>
      </c>
      <c r="J8" s="651">
        <v>40029098.950000048</v>
      </c>
      <c r="K8" s="176">
        <v>198755541.56999999</v>
      </c>
      <c r="L8" s="513">
        <v>33.1</v>
      </c>
    </row>
    <row r="9" spans="1:12" ht="14.45" customHeight="1">
      <c r="A9" s="629">
        <v>2</v>
      </c>
      <c r="B9" s="177">
        <v>62</v>
      </c>
      <c r="C9" s="672" t="s">
        <v>145</v>
      </c>
      <c r="D9" s="510">
        <v>698582205</v>
      </c>
      <c r="E9" s="178">
        <v>742107581.79999995</v>
      </c>
      <c r="F9" s="511">
        <v>106.2</v>
      </c>
      <c r="G9" s="163">
        <v>719705905</v>
      </c>
      <c r="H9" s="178">
        <v>676511725.00999999</v>
      </c>
      <c r="I9" s="126">
        <v>94</v>
      </c>
      <c r="J9" s="651">
        <v>65595856.789999962</v>
      </c>
      <c r="K9" s="176">
        <v>293039700.31999999</v>
      </c>
      <c r="L9" s="513">
        <v>39.5</v>
      </c>
    </row>
    <row r="10" spans="1:12" ht="14.45" customHeight="1">
      <c r="A10" s="629">
        <v>2</v>
      </c>
      <c r="B10" s="177">
        <v>64</v>
      </c>
      <c r="C10" s="672" t="s">
        <v>147</v>
      </c>
      <c r="D10" s="510">
        <v>5674263358</v>
      </c>
      <c r="E10" s="178">
        <v>6193646460.9399996</v>
      </c>
      <c r="F10" s="511">
        <v>109.2</v>
      </c>
      <c r="G10" s="163">
        <v>6110561844</v>
      </c>
      <c r="H10" s="178">
        <v>6010342068.7799997</v>
      </c>
      <c r="I10" s="126">
        <v>98.4</v>
      </c>
      <c r="J10" s="651">
        <v>183304392.15999985</v>
      </c>
      <c r="K10" s="176">
        <v>3682918680.73</v>
      </c>
      <c r="L10" s="513">
        <v>59.5</v>
      </c>
    </row>
    <row r="11" spans="1:12" ht="14.45" customHeight="1">
      <c r="A11" s="629">
        <v>2</v>
      </c>
      <c r="B11" s="177">
        <v>65</v>
      </c>
      <c r="C11" s="672" t="s">
        <v>149</v>
      </c>
      <c r="D11" s="510">
        <v>900567974.04999995</v>
      </c>
      <c r="E11" s="178">
        <v>782273238.44000006</v>
      </c>
      <c r="F11" s="511">
        <v>86.9</v>
      </c>
      <c r="G11" s="163">
        <v>1014252648</v>
      </c>
      <c r="H11" s="178">
        <v>797970272.03999996</v>
      </c>
      <c r="I11" s="126">
        <v>78.7</v>
      </c>
      <c r="J11" s="651">
        <v>-15697033.599999905</v>
      </c>
      <c r="K11" s="176">
        <v>680088557.74000001</v>
      </c>
      <c r="L11" s="513">
        <v>86.9</v>
      </c>
    </row>
    <row r="12" spans="1:12" ht="14.45" customHeight="1">
      <c r="A12" s="629">
        <v>4</v>
      </c>
      <c r="B12" s="177">
        <v>61</v>
      </c>
      <c r="C12" s="672" t="s">
        <v>150</v>
      </c>
      <c r="D12" s="510">
        <v>2477456439</v>
      </c>
      <c r="E12" s="178">
        <v>2544196462.8299999</v>
      </c>
      <c r="F12" s="511">
        <v>102.7</v>
      </c>
      <c r="G12" s="163">
        <v>2452056712</v>
      </c>
      <c r="H12" s="178">
        <v>2388712019.1599998</v>
      </c>
      <c r="I12" s="126">
        <v>97.4</v>
      </c>
      <c r="J12" s="651">
        <v>155484443.67000008</v>
      </c>
      <c r="K12" s="176">
        <v>1066842669.35</v>
      </c>
      <c r="L12" s="513">
        <v>41.9</v>
      </c>
    </row>
    <row r="13" spans="1:12" ht="14.45" customHeight="1">
      <c r="A13" s="629">
        <v>4</v>
      </c>
      <c r="B13" s="177">
        <v>62</v>
      </c>
      <c r="C13" s="672" t="s">
        <v>151</v>
      </c>
      <c r="D13" s="510">
        <v>705123835.22000003</v>
      </c>
      <c r="E13" s="178">
        <v>765440546.57000005</v>
      </c>
      <c r="F13" s="511">
        <v>108.6</v>
      </c>
      <c r="G13" s="163">
        <v>765525310.65999997</v>
      </c>
      <c r="H13" s="178">
        <v>731405549.19000006</v>
      </c>
      <c r="I13" s="126">
        <v>95.5</v>
      </c>
      <c r="J13" s="651">
        <v>34034997.379999995</v>
      </c>
      <c r="K13" s="176">
        <v>208282877.28</v>
      </c>
      <c r="L13" s="513">
        <v>27.2</v>
      </c>
    </row>
    <row r="14" spans="1:12" ht="14.45" customHeight="1">
      <c r="A14" s="629">
        <v>4</v>
      </c>
      <c r="B14" s="177">
        <v>63</v>
      </c>
      <c r="C14" s="672" t="s">
        <v>153</v>
      </c>
      <c r="D14" s="510">
        <v>1495500739</v>
      </c>
      <c r="E14" s="178">
        <v>1525286914.6600001</v>
      </c>
      <c r="F14" s="511">
        <v>102</v>
      </c>
      <c r="G14" s="163">
        <v>1447400739</v>
      </c>
      <c r="H14" s="178">
        <v>1414980997.6800001</v>
      </c>
      <c r="I14" s="126">
        <v>97.8</v>
      </c>
      <c r="J14" s="651">
        <v>110305916.98000002</v>
      </c>
      <c r="K14" s="176">
        <v>1030326193.27</v>
      </c>
      <c r="L14" s="513">
        <v>67.5</v>
      </c>
    </row>
    <row r="15" spans="1:12" ht="14.45" customHeight="1">
      <c r="A15" s="629">
        <v>4</v>
      </c>
      <c r="B15" s="177">
        <v>64</v>
      </c>
      <c r="C15" s="672" t="s">
        <v>154</v>
      </c>
      <c r="D15" s="510">
        <v>855594100.80999994</v>
      </c>
      <c r="E15" s="178">
        <v>832258815.12</v>
      </c>
      <c r="F15" s="511">
        <v>97.3</v>
      </c>
      <c r="G15" s="163">
        <v>950757151.80999994</v>
      </c>
      <c r="H15" s="178">
        <v>843027541.79999995</v>
      </c>
      <c r="I15" s="126">
        <v>88.7</v>
      </c>
      <c r="J15" s="651">
        <v>-10768726.679999948</v>
      </c>
      <c r="K15" s="176">
        <v>340423027.36000001</v>
      </c>
      <c r="L15" s="513">
        <v>40.9</v>
      </c>
    </row>
    <row r="16" spans="1:12" ht="14.45" customHeight="1">
      <c r="A16" s="629">
        <v>6</v>
      </c>
      <c r="B16" s="177">
        <v>61</v>
      </c>
      <c r="C16" s="672" t="s">
        <v>155</v>
      </c>
      <c r="D16" s="510">
        <v>422348772.49000001</v>
      </c>
      <c r="E16" s="178">
        <v>433259451.91000003</v>
      </c>
      <c r="F16" s="511">
        <v>102.6</v>
      </c>
      <c r="G16" s="163">
        <v>460512363.41000003</v>
      </c>
      <c r="H16" s="178">
        <v>406050957.06999999</v>
      </c>
      <c r="I16" s="126">
        <v>88.2</v>
      </c>
      <c r="J16" s="651">
        <v>27208494.840000033</v>
      </c>
      <c r="K16" s="176">
        <v>36495204.200000003</v>
      </c>
      <c r="L16" s="513">
        <v>8.4</v>
      </c>
    </row>
    <row r="17" spans="1:12" ht="14.45" customHeight="1">
      <c r="A17" s="629">
        <v>6</v>
      </c>
      <c r="B17" s="177">
        <v>62</v>
      </c>
      <c r="C17" s="672" t="s">
        <v>156</v>
      </c>
      <c r="D17" s="510">
        <v>548063566.12</v>
      </c>
      <c r="E17" s="178">
        <v>548274397.08000004</v>
      </c>
      <c r="F17" s="511">
        <v>100</v>
      </c>
      <c r="G17" s="163">
        <v>569963189.19000006</v>
      </c>
      <c r="H17" s="178">
        <v>519494072.19999999</v>
      </c>
      <c r="I17" s="126">
        <v>91.1</v>
      </c>
      <c r="J17" s="651">
        <v>28780324.880000055</v>
      </c>
      <c r="K17" s="176">
        <v>160500000</v>
      </c>
      <c r="L17" s="513">
        <v>29.3</v>
      </c>
    </row>
    <row r="18" spans="1:12" ht="14.45" customHeight="1">
      <c r="A18" s="629">
        <v>6</v>
      </c>
      <c r="B18" s="177">
        <v>63</v>
      </c>
      <c r="C18" s="672" t="s">
        <v>157</v>
      </c>
      <c r="D18" s="510">
        <v>2810130334.0599999</v>
      </c>
      <c r="E18" s="178">
        <v>2764699449.6399999</v>
      </c>
      <c r="F18" s="511">
        <v>98.4</v>
      </c>
      <c r="G18" s="163">
        <v>3028851673.9899998</v>
      </c>
      <c r="H18" s="178">
        <v>2807769653.8400002</v>
      </c>
      <c r="I18" s="126">
        <v>92.7</v>
      </c>
      <c r="J18" s="651">
        <v>-43070204.200000286</v>
      </c>
      <c r="K18" s="176">
        <v>1804504455.0699999</v>
      </c>
      <c r="L18" s="513">
        <v>65.3</v>
      </c>
    </row>
    <row r="19" spans="1:12" ht="14.45" customHeight="1">
      <c r="A19" s="629">
        <v>6</v>
      </c>
      <c r="B19" s="177">
        <v>64</v>
      </c>
      <c r="C19" s="672" t="s">
        <v>158</v>
      </c>
      <c r="D19" s="510">
        <v>522858370.20999998</v>
      </c>
      <c r="E19" s="178">
        <v>548901237.71000004</v>
      </c>
      <c r="F19" s="511">
        <v>105</v>
      </c>
      <c r="G19" s="163">
        <v>580357607.21000004</v>
      </c>
      <c r="H19" s="178">
        <v>541371510.15999997</v>
      </c>
      <c r="I19" s="126">
        <v>93.3</v>
      </c>
      <c r="J19" s="651">
        <v>7529727.5500000715</v>
      </c>
      <c r="K19" s="176">
        <v>196581546.31999999</v>
      </c>
      <c r="L19" s="513">
        <v>35.799999999999997</v>
      </c>
    </row>
    <row r="20" spans="1:12" ht="14.45" customHeight="1">
      <c r="A20" s="629">
        <v>8</v>
      </c>
      <c r="B20" s="177">
        <v>61</v>
      </c>
      <c r="C20" s="672" t="s">
        <v>159</v>
      </c>
      <c r="D20" s="510">
        <v>943905532.73000002</v>
      </c>
      <c r="E20" s="178">
        <v>944521473.35000002</v>
      </c>
      <c r="F20" s="511">
        <v>100.1</v>
      </c>
      <c r="G20" s="163">
        <v>1116018951.73</v>
      </c>
      <c r="H20" s="178">
        <v>970750816.96000004</v>
      </c>
      <c r="I20" s="126">
        <v>87</v>
      </c>
      <c r="J20" s="651">
        <v>-26229343.610000014</v>
      </c>
      <c r="K20" s="176">
        <v>291646314.63</v>
      </c>
      <c r="L20" s="513">
        <v>30.9</v>
      </c>
    </row>
    <row r="21" spans="1:12" ht="14.45" customHeight="1">
      <c r="A21" s="629">
        <v>8</v>
      </c>
      <c r="B21" s="177">
        <v>62</v>
      </c>
      <c r="C21" s="672" t="s">
        <v>160</v>
      </c>
      <c r="D21" s="510">
        <v>1127930722</v>
      </c>
      <c r="E21" s="178">
        <v>1161395444.75</v>
      </c>
      <c r="F21" s="511">
        <v>103</v>
      </c>
      <c r="G21" s="163">
        <v>1171656713</v>
      </c>
      <c r="H21" s="178">
        <v>1103677261.5799999</v>
      </c>
      <c r="I21" s="126">
        <v>94.2</v>
      </c>
      <c r="J21" s="651">
        <v>57718183.170000076</v>
      </c>
      <c r="K21" s="176">
        <v>393588491.61000001</v>
      </c>
      <c r="L21" s="513">
        <v>33.9</v>
      </c>
    </row>
    <row r="22" spans="1:12" ht="14.45" customHeight="1">
      <c r="A22" s="629">
        <v>10</v>
      </c>
      <c r="B22" s="177">
        <v>61</v>
      </c>
      <c r="C22" s="672" t="s">
        <v>161</v>
      </c>
      <c r="D22" s="510">
        <v>5395784589.3599997</v>
      </c>
      <c r="E22" s="178">
        <v>5353969221.1199999</v>
      </c>
      <c r="F22" s="511">
        <v>99.2</v>
      </c>
      <c r="G22" s="163">
        <v>5614364585.3599997</v>
      </c>
      <c r="H22" s="178">
        <v>5227926727.9200001</v>
      </c>
      <c r="I22" s="126">
        <v>93.1</v>
      </c>
      <c r="J22" s="651">
        <v>126042493.19999981</v>
      </c>
      <c r="K22" s="176">
        <v>3793784449.25</v>
      </c>
      <c r="L22" s="513">
        <v>70.900000000000006</v>
      </c>
    </row>
    <row r="23" spans="1:12" ht="14.45" customHeight="1">
      <c r="A23" s="629">
        <v>10</v>
      </c>
      <c r="B23" s="177">
        <v>62</v>
      </c>
      <c r="C23" s="672" t="s">
        <v>162</v>
      </c>
      <c r="D23" s="510">
        <v>566154403.25999999</v>
      </c>
      <c r="E23" s="178">
        <v>565019121.71000004</v>
      </c>
      <c r="F23" s="511">
        <v>99.8</v>
      </c>
      <c r="G23" s="163">
        <v>556309185.53999996</v>
      </c>
      <c r="H23" s="178">
        <v>530367274.69</v>
      </c>
      <c r="I23" s="126">
        <v>95.3</v>
      </c>
      <c r="J23" s="651">
        <v>34651847.020000041</v>
      </c>
      <c r="K23" s="176">
        <v>118562956.51000001</v>
      </c>
      <c r="L23" s="513">
        <v>21</v>
      </c>
    </row>
    <row r="24" spans="1:12" ht="14.45" customHeight="1">
      <c r="A24" s="629">
        <v>10</v>
      </c>
      <c r="B24" s="177">
        <v>63</v>
      </c>
      <c r="C24" s="672" t="s">
        <v>163</v>
      </c>
      <c r="D24" s="510">
        <v>350528550.14999998</v>
      </c>
      <c r="E24" s="178">
        <v>360703798.76999998</v>
      </c>
      <c r="F24" s="511">
        <v>102.9</v>
      </c>
      <c r="G24" s="163">
        <v>395302403.66000003</v>
      </c>
      <c r="H24" s="178">
        <v>375295238.44</v>
      </c>
      <c r="I24" s="126">
        <v>94.9</v>
      </c>
      <c r="J24" s="651">
        <v>-14591439.670000017</v>
      </c>
      <c r="K24" s="176">
        <v>150870584</v>
      </c>
      <c r="L24" s="513">
        <v>41.8</v>
      </c>
    </row>
    <row r="25" spans="1:12" ht="14.45" customHeight="1">
      <c r="A25" s="629">
        <v>12</v>
      </c>
      <c r="B25" s="177">
        <v>61</v>
      </c>
      <c r="C25" s="672" t="s">
        <v>164</v>
      </c>
      <c r="D25" s="510">
        <v>6869874473.6099997</v>
      </c>
      <c r="E25" s="178">
        <v>7190061157.6499996</v>
      </c>
      <c r="F25" s="511">
        <v>104.7</v>
      </c>
      <c r="G25" s="163">
        <v>7751403970.6099997</v>
      </c>
      <c r="H25" s="178">
        <v>7451927778.1599998</v>
      </c>
      <c r="I25" s="126">
        <v>96.1</v>
      </c>
      <c r="J25" s="651">
        <v>-261866620.51000023</v>
      </c>
      <c r="K25" s="176">
        <v>4189718751.1900001</v>
      </c>
      <c r="L25" s="513">
        <v>58.3</v>
      </c>
    </row>
    <row r="26" spans="1:12" ht="14.45" customHeight="1">
      <c r="A26" s="629">
        <v>12</v>
      </c>
      <c r="B26" s="177">
        <v>62</v>
      </c>
      <c r="C26" s="672" t="s">
        <v>165</v>
      </c>
      <c r="D26" s="510">
        <v>744347491.67999995</v>
      </c>
      <c r="E26" s="178">
        <v>794562922.71000004</v>
      </c>
      <c r="F26" s="511">
        <v>106.7</v>
      </c>
      <c r="G26" s="163">
        <v>788243161.34000003</v>
      </c>
      <c r="H26" s="178">
        <v>718325352.27999997</v>
      </c>
      <c r="I26" s="126">
        <v>91.1</v>
      </c>
      <c r="J26" s="651">
        <v>76237570.430000067</v>
      </c>
      <c r="K26" s="176">
        <v>77522956.349999994</v>
      </c>
      <c r="L26" s="513">
        <v>9.8000000000000007</v>
      </c>
    </row>
    <row r="27" spans="1:12" ht="14.45" customHeight="1">
      <c r="A27" s="629">
        <v>12</v>
      </c>
      <c r="B27" s="177">
        <v>63</v>
      </c>
      <c r="C27" s="672" t="s">
        <v>166</v>
      </c>
      <c r="D27" s="510">
        <v>820561020.44000006</v>
      </c>
      <c r="E27" s="178">
        <v>871588230.83000004</v>
      </c>
      <c r="F27" s="511">
        <v>106.2</v>
      </c>
      <c r="G27" s="163">
        <v>874394632.47000003</v>
      </c>
      <c r="H27" s="178">
        <v>833785820.86000001</v>
      </c>
      <c r="I27" s="126">
        <v>95.4</v>
      </c>
      <c r="J27" s="651">
        <v>37802409.970000029</v>
      </c>
      <c r="K27" s="176">
        <v>457600808.69999999</v>
      </c>
      <c r="L27" s="513">
        <v>52.5</v>
      </c>
    </row>
    <row r="28" spans="1:12" ht="14.45" customHeight="1">
      <c r="A28" s="629">
        <v>14</v>
      </c>
      <c r="B28" s="177">
        <v>61</v>
      </c>
      <c r="C28" s="672" t="s">
        <v>167</v>
      </c>
      <c r="D28" s="510">
        <v>429084076.86000001</v>
      </c>
      <c r="E28" s="178">
        <v>430185873.32999998</v>
      </c>
      <c r="F28" s="511">
        <v>100.3</v>
      </c>
      <c r="G28" s="163">
        <v>436229920.23000002</v>
      </c>
      <c r="H28" s="178">
        <v>413085619.17000002</v>
      </c>
      <c r="I28" s="126">
        <v>94.7</v>
      </c>
      <c r="J28" s="651">
        <v>17100254.159999967</v>
      </c>
      <c r="K28" s="176">
        <v>97600012.090000004</v>
      </c>
      <c r="L28" s="513">
        <v>22.7</v>
      </c>
    </row>
    <row r="29" spans="1:12" ht="14.45" customHeight="1">
      <c r="A29" s="629">
        <v>14</v>
      </c>
      <c r="B29" s="177">
        <v>62</v>
      </c>
      <c r="C29" s="672" t="s">
        <v>168</v>
      </c>
      <c r="D29" s="510">
        <v>1137301669.8299999</v>
      </c>
      <c r="E29" s="178">
        <v>1152195372.4400001</v>
      </c>
      <c r="F29" s="511">
        <v>101.3</v>
      </c>
      <c r="G29" s="163">
        <v>1169560876.4300001</v>
      </c>
      <c r="H29" s="178">
        <v>1130258666.5999999</v>
      </c>
      <c r="I29" s="126">
        <v>96.6</v>
      </c>
      <c r="J29" s="651">
        <v>21936705.840000153</v>
      </c>
      <c r="K29" s="176">
        <v>489015513.67000002</v>
      </c>
      <c r="L29" s="513">
        <v>42.4</v>
      </c>
    </row>
    <row r="30" spans="1:12" ht="14.45" customHeight="1">
      <c r="A30" s="629">
        <v>14</v>
      </c>
      <c r="B30" s="177">
        <v>63</v>
      </c>
      <c r="C30" s="672" t="s">
        <v>169</v>
      </c>
      <c r="D30" s="510">
        <v>1459064412</v>
      </c>
      <c r="E30" s="178">
        <v>1483016855.03</v>
      </c>
      <c r="F30" s="511">
        <v>101.6</v>
      </c>
      <c r="G30" s="163">
        <v>1574800378</v>
      </c>
      <c r="H30" s="178">
        <v>1540943179.4200001</v>
      </c>
      <c r="I30" s="126">
        <v>97.9</v>
      </c>
      <c r="J30" s="651">
        <v>-57926324.390000105</v>
      </c>
      <c r="K30" s="176">
        <v>818502992.46000004</v>
      </c>
      <c r="L30" s="513">
        <v>55.2</v>
      </c>
    </row>
    <row r="31" spans="1:12" ht="14.45" customHeight="1">
      <c r="A31" s="629">
        <v>14</v>
      </c>
      <c r="B31" s="177">
        <v>64</v>
      </c>
      <c r="C31" s="672" t="s">
        <v>170</v>
      </c>
      <c r="D31" s="510">
        <v>599120618.72000003</v>
      </c>
      <c r="E31" s="178">
        <v>624812248.41999996</v>
      </c>
      <c r="F31" s="511">
        <v>104.3</v>
      </c>
      <c r="G31" s="163">
        <v>622781325.16999996</v>
      </c>
      <c r="H31" s="178">
        <v>600676303.11000001</v>
      </c>
      <c r="I31" s="126">
        <v>96.5</v>
      </c>
      <c r="J31" s="651">
        <v>24135945.309999943</v>
      </c>
      <c r="K31" s="176">
        <v>356754210.98000002</v>
      </c>
      <c r="L31" s="513">
        <v>57.1</v>
      </c>
    </row>
    <row r="32" spans="1:12" ht="14.45" customHeight="1">
      <c r="A32" s="629">
        <v>14</v>
      </c>
      <c r="B32" s="177">
        <v>65</v>
      </c>
      <c r="C32" s="672" t="s">
        <v>701</v>
      </c>
      <c r="D32" s="510">
        <v>20723346889</v>
      </c>
      <c r="E32" s="178">
        <v>21594782590.740002</v>
      </c>
      <c r="F32" s="511">
        <v>104.2</v>
      </c>
      <c r="G32" s="163">
        <v>21686082760</v>
      </c>
      <c r="H32" s="178">
        <v>20285439791.799999</v>
      </c>
      <c r="I32" s="126">
        <v>93.5</v>
      </c>
      <c r="J32" s="651">
        <v>1309342798.9400024</v>
      </c>
      <c r="K32" s="176">
        <v>5811119554.71</v>
      </c>
      <c r="L32" s="513">
        <v>26.9</v>
      </c>
    </row>
    <row r="33" spans="1:12" ht="14.45" customHeight="1">
      <c r="A33" s="629">
        <v>16</v>
      </c>
      <c r="B33" s="177">
        <v>61</v>
      </c>
      <c r="C33" s="672" t="s">
        <v>171</v>
      </c>
      <c r="D33" s="510">
        <v>1205214536</v>
      </c>
      <c r="E33" s="178">
        <v>1214427190.23</v>
      </c>
      <c r="F33" s="511">
        <v>100.8</v>
      </c>
      <c r="G33" s="163">
        <v>1452186150</v>
      </c>
      <c r="H33" s="178">
        <v>1338999645.24</v>
      </c>
      <c r="I33" s="126">
        <v>92.2</v>
      </c>
      <c r="J33" s="651">
        <v>-124572455.00999999</v>
      </c>
      <c r="K33" s="176">
        <v>495483908.45999998</v>
      </c>
      <c r="L33" s="513">
        <v>40.799999999999997</v>
      </c>
    </row>
    <row r="34" spans="1:12" ht="14.45" customHeight="1">
      <c r="A34" s="629">
        <v>18</v>
      </c>
      <c r="B34" s="177">
        <v>61</v>
      </c>
      <c r="C34" s="672" t="s">
        <v>172</v>
      </c>
      <c r="D34" s="510">
        <v>428777096.54000002</v>
      </c>
      <c r="E34" s="178">
        <v>441925341.17000002</v>
      </c>
      <c r="F34" s="511">
        <v>103.1</v>
      </c>
      <c r="G34" s="163">
        <v>467608489.63</v>
      </c>
      <c r="H34" s="178">
        <v>445301202.37</v>
      </c>
      <c r="I34" s="126">
        <v>95.2</v>
      </c>
      <c r="J34" s="651">
        <v>-3375861.1999999881</v>
      </c>
      <c r="K34" s="176">
        <v>239531505.75999999</v>
      </c>
      <c r="L34" s="513">
        <v>54.2</v>
      </c>
    </row>
    <row r="35" spans="1:12" ht="14.45" customHeight="1">
      <c r="A35" s="629">
        <v>18</v>
      </c>
      <c r="B35" s="177">
        <v>62</v>
      </c>
      <c r="C35" s="672" t="s">
        <v>173</v>
      </c>
      <c r="D35" s="510">
        <v>470940183.44</v>
      </c>
      <c r="E35" s="178">
        <v>479527510.76999998</v>
      </c>
      <c r="F35" s="511">
        <v>101.8</v>
      </c>
      <c r="G35" s="163">
        <v>472284864.11000001</v>
      </c>
      <c r="H35" s="178">
        <v>451064876.48000002</v>
      </c>
      <c r="I35" s="126">
        <v>95.5</v>
      </c>
      <c r="J35" s="651">
        <v>28462634.289999962</v>
      </c>
      <c r="K35" s="176">
        <v>112099987.19</v>
      </c>
      <c r="L35" s="513">
        <v>23.4</v>
      </c>
    </row>
    <row r="36" spans="1:12" ht="14.45" customHeight="1">
      <c r="A36" s="629">
        <v>18</v>
      </c>
      <c r="B36" s="177">
        <v>63</v>
      </c>
      <c r="C36" s="672" t="s">
        <v>174</v>
      </c>
      <c r="D36" s="510">
        <v>1633690734.71</v>
      </c>
      <c r="E36" s="178">
        <v>1705384492.52</v>
      </c>
      <c r="F36" s="511">
        <v>104.4</v>
      </c>
      <c r="G36" s="163">
        <v>1865809994.71</v>
      </c>
      <c r="H36" s="178">
        <v>1736803086.1900001</v>
      </c>
      <c r="I36" s="126">
        <v>93.1</v>
      </c>
      <c r="J36" s="651">
        <v>-31418593.670000076</v>
      </c>
      <c r="K36" s="176">
        <v>941068676.72000003</v>
      </c>
      <c r="L36" s="513">
        <v>55.2</v>
      </c>
    </row>
    <row r="37" spans="1:12" ht="14.45" customHeight="1">
      <c r="A37" s="629">
        <v>18</v>
      </c>
      <c r="B37" s="177">
        <v>64</v>
      </c>
      <c r="C37" s="672" t="s">
        <v>175</v>
      </c>
      <c r="D37" s="510">
        <v>378129211.89999998</v>
      </c>
      <c r="E37" s="178">
        <v>372682439.33999997</v>
      </c>
      <c r="F37" s="511">
        <v>98.6</v>
      </c>
      <c r="G37" s="163">
        <v>388023015.26999998</v>
      </c>
      <c r="H37" s="178">
        <v>372079919.36000001</v>
      </c>
      <c r="I37" s="126">
        <v>95.9</v>
      </c>
      <c r="J37" s="651">
        <v>602519.97999995947</v>
      </c>
      <c r="K37" s="176">
        <v>114890823.06999999</v>
      </c>
      <c r="L37" s="513">
        <v>30.8</v>
      </c>
    </row>
    <row r="38" spans="1:12" ht="14.45" customHeight="1">
      <c r="A38" s="629">
        <v>20</v>
      </c>
      <c r="B38" s="177">
        <v>61</v>
      </c>
      <c r="C38" s="672" t="s">
        <v>176</v>
      </c>
      <c r="D38" s="510">
        <v>2253094804</v>
      </c>
      <c r="E38" s="178">
        <v>2370806237.9899998</v>
      </c>
      <c r="F38" s="511">
        <v>105.2</v>
      </c>
      <c r="G38" s="163">
        <v>2302414434</v>
      </c>
      <c r="H38" s="178">
        <v>2234834597.3200002</v>
      </c>
      <c r="I38" s="126">
        <v>97.1</v>
      </c>
      <c r="J38" s="651">
        <v>135971640.6699996</v>
      </c>
      <c r="K38" s="176">
        <v>920055852.11000001</v>
      </c>
      <c r="L38" s="513">
        <v>38.799999999999997</v>
      </c>
    </row>
    <row r="39" spans="1:12" ht="14.45" customHeight="1">
      <c r="A39" s="629">
        <v>20</v>
      </c>
      <c r="B39" s="177">
        <v>62</v>
      </c>
      <c r="C39" s="672" t="s">
        <v>177</v>
      </c>
      <c r="D39" s="510">
        <v>443005777</v>
      </c>
      <c r="E39" s="178">
        <v>461667311.06</v>
      </c>
      <c r="F39" s="511">
        <v>104.2</v>
      </c>
      <c r="G39" s="163">
        <v>473366165</v>
      </c>
      <c r="H39" s="178">
        <v>447077353.38999999</v>
      </c>
      <c r="I39" s="126">
        <v>94.4</v>
      </c>
      <c r="J39" s="651">
        <v>14589957.670000017</v>
      </c>
      <c r="K39" s="176">
        <v>167238152.31</v>
      </c>
      <c r="L39" s="513">
        <v>36.200000000000003</v>
      </c>
    </row>
    <row r="40" spans="1:12" ht="14.45" customHeight="1">
      <c r="A40" s="629">
        <v>20</v>
      </c>
      <c r="B40" s="177">
        <v>63</v>
      </c>
      <c r="C40" s="672" t="s">
        <v>178</v>
      </c>
      <c r="D40" s="510">
        <v>527882632.64999998</v>
      </c>
      <c r="E40" s="178">
        <v>557682927.75</v>
      </c>
      <c r="F40" s="511">
        <v>105.6</v>
      </c>
      <c r="G40" s="163">
        <v>543438174.64999998</v>
      </c>
      <c r="H40" s="178">
        <v>526488296.69999999</v>
      </c>
      <c r="I40" s="126">
        <v>96.9</v>
      </c>
      <c r="J40" s="651">
        <v>31194631.050000012</v>
      </c>
      <c r="K40" s="176">
        <v>219806296.05000001</v>
      </c>
      <c r="L40" s="513">
        <v>39.4</v>
      </c>
    </row>
    <row r="41" spans="1:12" ht="14.45" customHeight="1">
      <c r="A41" s="629">
        <v>22</v>
      </c>
      <c r="B41" s="177">
        <v>61</v>
      </c>
      <c r="C41" s="672" t="s">
        <v>179</v>
      </c>
      <c r="D41" s="510">
        <v>4274219703</v>
      </c>
      <c r="E41" s="178">
        <v>4305802203.8599997</v>
      </c>
      <c r="F41" s="511">
        <v>100.7</v>
      </c>
      <c r="G41" s="163">
        <v>4545307596</v>
      </c>
      <c r="H41" s="178">
        <v>4166812607.6399999</v>
      </c>
      <c r="I41" s="126">
        <v>91.7</v>
      </c>
      <c r="J41" s="651">
        <v>138989596.21999979</v>
      </c>
      <c r="K41" s="176">
        <v>1066497359.52</v>
      </c>
      <c r="L41" s="513">
        <v>24.8</v>
      </c>
    </row>
    <row r="42" spans="1:12" ht="14.45" customHeight="1">
      <c r="A42" s="629">
        <v>22</v>
      </c>
      <c r="B42" s="177">
        <v>62</v>
      </c>
      <c r="C42" s="672" t="s">
        <v>180</v>
      </c>
      <c r="D42" s="510">
        <v>2026316423.6900001</v>
      </c>
      <c r="E42" s="178">
        <v>2029391881.4100001</v>
      </c>
      <c r="F42" s="511">
        <v>100.2</v>
      </c>
      <c r="G42" s="163">
        <v>2122961910.6900001</v>
      </c>
      <c r="H42" s="178">
        <v>1921283251.0899999</v>
      </c>
      <c r="I42" s="126">
        <v>90.5</v>
      </c>
      <c r="J42" s="651">
        <v>108108630.32000017</v>
      </c>
      <c r="K42" s="176">
        <v>925806585.50999999</v>
      </c>
      <c r="L42" s="513">
        <v>45.6</v>
      </c>
    </row>
    <row r="43" spans="1:12" ht="14.45" customHeight="1">
      <c r="A43" s="629">
        <v>22</v>
      </c>
      <c r="B43" s="177">
        <v>63</v>
      </c>
      <c r="C43" s="672" t="s">
        <v>181</v>
      </c>
      <c r="D43" s="510">
        <v>687730711.04999995</v>
      </c>
      <c r="E43" s="178">
        <v>738017633.73000002</v>
      </c>
      <c r="F43" s="511">
        <v>107.3</v>
      </c>
      <c r="G43" s="163">
        <v>735144952.04999995</v>
      </c>
      <c r="H43" s="178">
        <v>695477106.72000003</v>
      </c>
      <c r="I43" s="126">
        <v>94.6</v>
      </c>
      <c r="J43" s="651">
        <v>42540527.00999999</v>
      </c>
      <c r="K43" s="176">
        <v>297632000</v>
      </c>
      <c r="L43" s="513">
        <v>40.299999999999997</v>
      </c>
    </row>
    <row r="44" spans="1:12" ht="14.45" customHeight="1">
      <c r="A44" s="629">
        <v>22</v>
      </c>
      <c r="B44" s="177">
        <v>64</v>
      </c>
      <c r="C44" s="672" t="s">
        <v>182</v>
      </c>
      <c r="D44" s="510">
        <v>421198663</v>
      </c>
      <c r="E44" s="178">
        <v>428153831.25</v>
      </c>
      <c r="F44" s="511">
        <v>101.7</v>
      </c>
      <c r="G44" s="163">
        <v>444271570</v>
      </c>
      <c r="H44" s="178">
        <v>403154617.85000002</v>
      </c>
      <c r="I44" s="126">
        <v>90.7</v>
      </c>
      <c r="J44" s="651">
        <v>24999213.399999976</v>
      </c>
      <c r="K44" s="176">
        <v>69899999.879999995</v>
      </c>
      <c r="L44" s="513">
        <v>16.3</v>
      </c>
    </row>
    <row r="45" spans="1:12" ht="14.45" customHeight="1">
      <c r="A45" s="629">
        <v>24</v>
      </c>
      <c r="B45" s="177">
        <v>61</v>
      </c>
      <c r="C45" s="672" t="s">
        <v>183</v>
      </c>
      <c r="D45" s="510">
        <v>1448388291.5599999</v>
      </c>
      <c r="E45" s="178">
        <v>1503882892.2</v>
      </c>
      <c r="F45" s="511">
        <v>103.8</v>
      </c>
      <c r="G45" s="163">
        <v>1680607752.21</v>
      </c>
      <c r="H45" s="178">
        <v>1540028880.4400001</v>
      </c>
      <c r="I45" s="126">
        <v>91.6</v>
      </c>
      <c r="J45" s="651">
        <v>-36145988.24000001</v>
      </c>
      <c r="K45" s="176">
        <v>410682485.29000002</v>
      </c>
      <c r="L45" s="513">
        <v>27.3</v>
      </c>
    </row>
    <row r="46" spans="1:12" ht="14.45" customHeight="1">
      <c r="A46" s="629">
        <v>24</v>
      </c>
      <c r="B46" s="177">
        <v>62</v>
      </c>
      <c r="C46" s="672" t="s">
        <v>184</v>
      </c>
      <c r="D46" s="510">
        <v>1196605254</v>
      </c>
      <c r="E46" s="178">
        <v>1175168236.98</v>
      </c>
      <c r="F46" s="511">
        <v>98.2</v>
      </c>
      <c r="G46" s="163">
        <v>1230048661</v>
      </c>
      <c r="H46" s="178">
        <v>1198976595.6400001</v>
      </c>
      <c r="I46" s="126">
        <v>97.5</v>
      </c>
      <c r="J46" s="651">
        <v>-23808358.660000086</v>
      </c>
      <c r="K46" s="176">
        <v>364438047.20999998</v>
      </c>
      <c r="L46" s="513">
        <v>31</v>
      </c>
    </row>
    <row r="47" spans="1:12" ht="14.45" customHeight="1">
      <c r="A47" s="629">
        <v>24</v>
      </c>
      <c r="B47" s="177">
        <v>63</v>
      </c>
      <c r="C47" s="672" t="s">
        <v>185</v>
      </c>
      <c r="D47" s="510">
        <v>831008454.87</v>
      </c>
      <c r="E47" s="178">
        <v>847543453.33000004</v>
      </c>
      <c r="F47" s="511">
        <v>102</v>
      </c>
      <c r="G47" s="163">
        <v>820719762.58000004</v>
      </c>
      <c r="H47" s="178">
        <v>776540209.72000003</v>
      </c>
      <c r="I47" s="126">
        <v>94.6</v>
      </c>
      <c r="J47" s="651">
        <v>71003243.610000014</v>
      </c>
      <c r="K47" s="176">
        <v>259220721.44999999</v>
      </c>
      <c r="L47" s="513">
        <v>30.6</v>
      </c>
    </row>
    <row r="48" spans="1:12" ht="14.45" customHeight="1">
      <c r="A48" s="629">
        <v>24</v>
      </c>
      <c r="B48" s="177">
        <v>64</v>
      </c>
      <c r="C48" s="672" t="s">
        <v>186</v>
      </c>
      <c r="D48" s="510">
        <v>1670215306</v>
      </c>
      <c r="E48" s="178">
        <v>1629091976.3800001</v>
      </c>
      <c r="F48" s="511">
        <v>97.5</v>
      </c>
      <c r="G48" s="163">
        <v>1700960060</v>
      </c>
      <c r="H48" s="178">
        <v>1551401674.24</v>
      </c>
      <c r="I48" s="126">
        <v>91.2</v>
      </c>
      <c r="J48" s="651">
        <v>77690302.140000105</v>
      </c>
      <c r="K48" s="176">
        <v>610173527.13</v>
      </c>
      <c r="L48" s="513">
        <v>37.5</v>
      </c>
    </row>
    <row r="49" spans="1:12" ht="14.45" customHeight="1">
      <c r="A49" s="629">
        <v>24</v>
      </c>
      <c r="B49" s="177">
        <v>65</v>
      </c>
      <c r="C49" s="672" t="s">
        <v>187</v>
      </c>
      <c r="D49" s="510">
        <v>1035917870.34</v>
      </c>
      <c r="E49" s="178">
        <v>1060694260.4</v>
      </c>
      <c r="F49" s="511">
        <v>102.4</v>
      </c>
      <c r="G49" s="163">
        <v>1061112633.59</v>
      </c>
      <c r="H49" s="178">
        <v>965189423.12</v>
      </c>
      <c r="I49" s="126">
        <v>91</v>
      </c>
      <c r="J49" s="651">
        <v>95504837.279999971</v>
      </c>
      <c r="K49" s="176">
        <v>287793346.49000001</v>
      </c>
      <c r="L49" s="513">
        <v>27.1</v>
      </c>
    </row>
    <row r="50" spans="1:12" ht="14.45" customHeight="1">
      <c r="A50" s="629">
        <v>24</v>
      </c>
      <c r="B50" s="177">
        <v>66</v>
      </c>
      <c r="C50" s="672" t="s">
        <v>189</v>
      </c>
      <c r="D50" s="510">
        <v>1540770837.54</v>
      </c>
      <c r="E50" s="178">
        <v>1642713037</v>
      </c>
      <c r="F50" s="511">
        <v>106.6</v>
      </c>
      <c r="G50" s="163">
        <v>1756410419.54</v>
      </c>
      <c r="H50" s="178">
        <v>1667175725.0799999</v>
      </c>
      <c r="I50" s="126">
        <v>94.9</v>
      </c>
      <c r="J50" s="651">
        <v>-24462688.079999924</v>
      </c>
      <c r="K50" s="176">
        <v>488011595.19</v>
      </c>
      <c r="L50" s="513">
        <v>29.7</v>
      </c>
    </row>
    <row r="51" spans="1:12" ht="14.45" customHeight="1">
      <c r="A51" s="629">
        <v>24</v>
      </c>
      <c r="B51" s="177">
        <v>67</v>
      </c>
      <c r="C51" s="672" t="s">
        <v>700</v>
      </c>
      <c r="D51" s="510">
        <v>609022412.33000004</v>
      </c>
      <c r="E51" s="178">
        <v>614382753.83000004</v>
      </c>
      <c r="F51" s="511">
        <v>100.9</v>
      </c>
      <c r="G51" s="163">
        <v>607178583.77999997</v>
      </c>
      <c r="H51" s="178">
        <v>582285563.57000005</v>
      </c>
      <c r="I51" s="126">
        <v>95.9</v>
      </c>
      <c r="J51" s="651">
        <v>32097190.25999999</v>
      </c>
      <c r="K51" s="176">
        <v>18000000</v>
      </c>
      <c r="L51" s="513">
        <v>2.9</v>
      </c>
    </row>
    <row r="52" spans="1:12" ht="14.45" customHeight="1">
      <c r="A52" s="629">
        <v>24</v>
      </c>
      <c r="B52" s="177">
        <v>68</v>
      </c>
      <c r="C52" s="672" t="s">
        <v>191</v>
      </c>
      <c r="D52" s="510">
        <v>709758303.35000002</v>
      </c>
      <c r="E52" s="178">
        <v>716636386.25999999</v>
      </c>
      <c r="F52" s="511">
        <v>101</v>
      </c>
      <c r="G52" s="163">
        <v>703456305.35000002</v>
      </c>
      <c r="H52" s="178">
        <v>666357653.55999994</v>
      </c>
      <c r="I52" s="126">
        <v>94.7</v>
      </c>
      <c r="J52" s="651">
        <v>50278732.700000048</v>
      </c>
      <c r="K52" s="176">
        <v>155290639.61000001</v>
      </c>
      <c r="L52" s="513">
        <v>21.7</v>
      </c>
    </row>
    <row r="53" spans="1:12" ht="14.45" customHeight="1">
      <c r="A53" s="629">
        <v>24</v>
      </c>
      <c r="B53" s="177">
        <v>69</v>
      </c>
      <c r="C53" s="672" t="s">
        <v>193</v>
      </c>
      <c r="D53" s="510">
        <v>2439624290</v>
      </c>
      <c r="E53" s="178">
        <v>2548819540.9699998</v>
      </c>
      <c r="F53" s="511">
        <v>104.5</v>
      </c>
      <c r="G53" s="163">
        <v>2703100344</v>
      </c>
      <c r="H53" s="178">
        <v>2461366894.5100002</v>
      </c>
      <c r="I53" s="126">
        <v>91.1</v>
      </c>
      <c r="J53" s="651">
        <v>87452646.459999561</v>
      </c>
      <c r="K53" s="176">
        <v>797025099</v>
      </c>
      <c r="L53" s="513">
        <v>31.3</v>
      </c>
    </row>
    <row r="54" spans="1:12" ht="14.45" customHeight="1">
      <c r="A54" s="629">
        <v>24</v>
      </c>
      <c r="B54" s="177">
        <v>70</v>
      </c>
      <c r="C54" s="672" t="s">
        <v>195</v>
      </c>
      <c r="D54" s="510">
        <v>564319936.75999999</v>
      </c>
      <c r="E54" s="178">
        <v>568415662.72000003</v>
      </c>
      <c r="F54" s="511">
        <v>100.7</v>
      </c>
      <c r="G54" s="163">
        <v>594008924.17999995</v>
      </c>
      <c r="H54" s="178">
        <v>562338383.63</v>
      </c>
      <c r="I54" s="126">
        <v>94.7</v>
      </c>
      <c r="J54" s="651">
        <v>6077279.0900000334</v>
      </c>
      <c r="K54" s="176">
        <v>146907450.31999999</v>
      </c>
      <c r="L54" s="513">
        <v>25.8</v>
      </c>
    </row>
    <row r="55" spans="1:12" ht="14.45" customHeight="1">
      <c r="A55" s="629">
        <v>24</v>
      </c>
      <c r="B55" s="177">
        <v>71</v>
      </c>
      <c r="C55" s="672" t="s">
        <v>196</v>
      </c>
      <c r="D55" s="510">
        <v>342413358</v>
      </c>
      <c r="E55" s="178">
        <v>362615744.05000001</v>
      </c>
      <c r="F55" s="511">
        <v>105.9</v>
      </c>
      <c r="G55" s="163">
        <v>370547919</v>
      </c>
      <c r="H55" s="178">
        <v>344203076.66000003</v>
      </c>
      <c r="I55" s="126">
        <v>92.9</v>
      </c>
      <c r="J55" s="651">
        <v>18412667.389999986</v>
      </c>
      <c r="K55" s="176">
        <v>116212938.02</v>
      </c>
      <c r="L55" s="513">
        <v>32</v>
      </c>
    </row>
    <row r="56" spans="1:12" ht="14.45" customHeight="1">
      <c r="A56" s="629">
        <v>24</v>
      </c>
      <c r="B56" s="177">
        <v>72</v>
      </c>
      <c r="C56" s="672" t="s">
        <v>197</v>
      </c>
      <c r="D56" s="510">
        <v>972386546.65999997</v>
      </c>
      <c r="E56" s="178">
        <v>976545243.38</v>
      </c>
      <c r="F56" s="511">
        <v>100.4</v>
      </c>
      <c r="G56" s="163">
        <v>958839488.03999996</v>
      </c>
      <c r="H56" s="178">
        <v>934443717.38999999</v>
      </c>
      <c r="I56" s="126">
        <v>97.5</v>
      </c>
      <c r="J56" s="651">
        <v>42101525.99000001</v>
      </c>
      <c r="K56" s="176">
        <v>242893560.16</v>
      </c>
      <c r="L56" s="513">
        <v>24.9</v>
      </c>
    </row>
    <row r="57" spans="1:12" ht="14.45" customHeight="1">
      <c r="A57" s="629">
        <v>24</v>
      </c>
      <c r="B57" s="177">
        <v>73</v>
      </c>
      <c r="C57" s="672" t="s">
        <v>198</v>
      </c>
      <c r="D57" s="510">
        <v>1058409553.01</v>
      </c>
      <c r="E57" s="178">
        <v>1038140658.03</v>
      </c>
      <c r="F57" s="511">
        <v>98.1</v>
      </c>
      <c r="G57" s="163">
        <v>1110530216.3099999</v>
      </c>
      <c r="H57" s="178">
        <v>1025487601.05</v>
      </c>
      <c r="I57" s="126">
        <v>92.3</v>
      </c>
      <c r="J57" s="651">
        <v>12653056.980000019</v>
      </c>
      <c r="K57" s="176">
        <v>241309866.91</v>
      </c>
      <c r="L57" s="513">
        <v>23.2</v>
      </c>
    </row>
    <row r="58" spans="1:12" ht="14.45" customHeight="1">
      <c r="A58" s="629">
        <v>24</v>
      </c>
      <c r="B58" s="177">
        <v>74</v>
      </c>
      <c r="C58" s="672" t="s">
        <v>199</v>
      </c>
      <c r="D58" s="510">
        <v>461952119.47000003</v>
      </c>
      <c r="E58" s="178">
        <v>469150459.08999997</v>
      </c>
      <c r="F58" s="511">
        <v>101.6</v>
      </c>
      <c r="G58" s="163">
        <v>495103103.57999998</v>
      </c>
      <c r="H58" s="178">
        <v>458672978.24000001</v>
      </c>
      <c r="I58" s="126">
        <v>92.6</v>
      </c>
      <c r="J58" s="651">
        <v>10477480.849999964</v>
      </c>
      <c r="K58" s="176">
        <v>107343753.09999999</v>
      </c>
      <c r="L58" s="513">
        <v>22.9</v>
      </c>
    </row>
    <row r="59" spans="1:12" ht="14.45" customHeight="1">
      <c r="A59" s="629">
        <v>24</v>
      </c>
      <c r="B59" s="177">
        <v>75</v>
      </c>
      <c r="C59" s="672" t="s">
        <v>200</v>
      </c>
      <c r="D59" s="510">
        <v>1305173182.8599999</v>
      </c>
      <c r="E59" s="178">
        <v>1310033167.8299999</v>
      </c>
      <c r="F59" s="511">
        <v>100.4</v>
      </c>
      <c r="G59" s="163">
        <v>1397786169.26</v>
      </c>
      <c r="H59" s="178">
        <v>1323566370.8499999</v>
      </c>
      <c r="I59" s="126">
        <v>94.7</v>
      </c>
      <c r="J59" s="651">
        <v>-13533203.019999981</v>
      </c>
      <c r="K59" s="176">
        <v>206492776.09999999</v>
      </c>
      <c r="L59" s="513">
        <v>15.8</v>
      </c>
    </row>
    <row r="60" spans="1:12" ht="14.45" customHeight="1">
      <c r="A60" s="629">
        <v>24</v>
      </c>
      <c r="B60" s="177">
        <v>76</v>
      </c>
      <c r="C60" s="672" t="s">
        <v>201</v>
      </c>
      <c r="D60" s="510">
        <v>335906967.07999998</v>
      </c>
      <c r="E60" s="178">
        <v>336110531.11000001</v>
      </c>
      <c r="F60" s="511">
        <v>100.1</v>
      </c>
      <c r="G60" s="163">
        <v>341355816.57999998</v>
      </c>
      <c r="H60" s="178">
        <v>325700485.30000001</v>
      </c>
      <c r="I60" s="126">
        <v>95.4</v>
      </c>
      <c r="J60" s="651">
        <v>10410045.810000002</v>
      </c>
      <c r="K60" s="176">
        <v>80878816.769999996</v>
      </c>
      <c r="L60" s="513">
        <v>24.1</v>
      </c>
    </row>
    <row r="61" spans="1:12" ht="14.45" customHeight="1">
      <c r="A61" s="629">
        <v>24</v>
      </c>
      <c r="B61" s="177">
        <v>77</v>
      </c>
      <c r="C61" s="672" t="s">
        <v>203</v>
      </c>
      <c r="D61" s="510">
        <v>1025765118</v>
      </c>
      <c r="E61" s="178">
        <v>1014405159.8099999</v>
      </c>
      <c r="F61" s="511">
        <v>98.9</v>
      </c>
      <c r="G61" s="163">
        <v>1035871880</v>
      </c>
      <c r="H61" s="178">
        <v>994850889.42999995</v>
      </c>
      <c r="I61" s="126">
        <v>96</v>
      </c>
      <c r="J61" s="651">
        <v>19554270.379999995</v>
      </c>
      <c r="K61" s="176">
        <v>122093006.97</v>
      </c>
      <c r="L61" s="513">
        <v>12</v>
      </c>
    </row>
    <row r="62" spans="1:12" ht="14.45" customHeight="1">
      <c r="A62" s="629">
        <v>24</v>
      </c>
      <c r="B62" s="177">
        <v>78</v>
      </c>
      <c r="C62" s="672" t="s">
        <v>204</v>
      </c>
      <c r="D62" s="510">
        <v>1194542533</v>
      </c>
      <c r="E62" s="178">
        <v>1154958608.9000001</v>
      </c>
      <c r="F62" s="511">
        <v>96.7</v>
      </c>
      <c r="G62" s="163">
        <v>1216068149</v>
      </c>
      <c r="H62" s="178">
        <v>1125984616.8900001</v>
      </c>
      <c r="I62" s="126">
        <v>92.6</v>
      </c>
      <c r="J62" s="651">
        <v>28973992.00999999</v>
      </c>
      <c r="K62" s="176">
        <v>730498293.53999996</v>
      </c>
      <c r="L62" s="513">
        <v>63.2</v>
      </c>
    </row>
    <row r="63" spans="1:12" ht="14.45" customHeight="1">
      <c r="A63" s="629">
        <v>24</v>
      </c>
      <c r="B63" s="177">
        <v>79</v>
      </c>
      <c r="C63" s="672" t="s">
        <v>205</v>
      </c>
      <c r="D63" s="510">
        <v>483082057.38</v>
      </c>
      <c r="E63" s="178">
        <v>460027168.07999998</v>
      </c>
      <c r="F63" s="511">
        <v>95.2</v>
      </c>
      <c r="G63" s="163">
        <v>495641813.83999997</v>
      </c>
      <c r="H63" s="178">
        <v>439261556.67000002</v>
      </c>
      <c r="I63" s="126">
        <v>88.6</v>
      </c>
      <c r="J63" s="651">
        <v>20765611.409999967</v>
      </c>
      <c r="K63" s="176">
        <v>223943957.40000001</v>
      </c>
      <c r="L63" s="513">
        <v>48.7</v>
      </c>
    </row>
    <row r="64" spans="1:12" ht="14.45" customHeight="1">
      <c r="A64" s="629">
        <v>26</v>
      </c>
      <c r="B64" s="177">
        <v>61</v>
      </c>
      <c r="C64" s="672" t="s">
        <v>206</v>
      </c>
      <c r="D64" s="510">
        <v>1593752533.7</v>
      </c>
      <c r="E64" s="178">
        <v>1552042335.78</v>
      </c>
      <c r="F64" s="511">
        <v>97.4</v>
      </c>
      <c r="G64" s="163">
        <v>1695536297.7</v>
      </c>
      <c r="H64" s="178">
        <v>1542389586.71</v>
      </c>
      <c r="I64" s="126">
        <v>91</v>
      </c>
      <c r="J64" s="651">
        <v>9652749.0699999332</v>
      </c>
      <c r="K64" s="176">
        <v>1018261608.0700001</v>
      </c>
      <c r="L64" s="513">
        <v>65.599999999999994</v>
      </c>
    </row>
    <row r="65" spans="1:12" ht="14.45" customHeight="1">
      <c r="A65" s="629">
        <v>28</v>
      </c>
      <c r="B65" s="177">
        <v>61</v>
      </c>
      <c r="C65" s="672" t="s">
        <v>207</v>
      </c>
      <c r="D65" s="510">
        <v>770765012</v>
      </c>
      <c r="E65" s="178">
        <v>820959856.28999996</v>
      </c>
      <c r="F65" s="511">
        <v>106.5</v>
      </c>
      <c r="G65" s="163">
        <v>806127635</v>
      </c>
      <c r="H65" s="178">
        <v>782571626.11000001</v>
      </c>
      <c r="I65" s="126">
        <v>97.1</v>
      </c>
      <c r="J65" s="651">
        <v>38388230.179999948</v>
      </c>
      <c r="K65" s="176">
        <v>299251331.04000002</v>
      </c>
      <c r="L65" s="513">
        <v>36.5</v>
      </c>
    </row>
    <row r="66" spans="1:12" ht="14.45" customHeight="1">
      <c r="A66" s="629">
        <v>28</v>
      </c>
      <c r="B66" s="177">
        <v>62</v>
      </c>
      <c r="C66" s="672" t="s">
        <v>208</v>
      </c>
      <c r="D66" s="510">
        <v>1404988546.0699999</v>
      </c>
      <c r="E66" s="178">
        <v>1528165045.99</v>
      </c>
      <c r="F66" s="511">
        <v>108.8</v>
      </c>
      <c r="G66" s="163">
        <v>1472917192.0699999</v>
      </c>
      <c r="H66" s="178">
        <v>1384796345.3399999</v>
      </c>
      <c r="I66" s="126">
        <v>94</v>
      </c>
      <c r="J66" s="651">
        <v>143368700.6500001</v>
      </c>
      <c r="K66" s="176">
        <v>292324783.48000002</v>
      </c>
      <c r="L66" s="513">
        <v>19.100000000000001</v>
      </c>
    </row>
    <row r="67" spans="1:12" ht="14.45" customHeight="1">
      <c r="A67" s="629">
        <v>30</v>
      </c>
      <c r="B67" s="177">
        <v>61</v>
      </c>
      <c r="C67" s="672" t="s">
        <v>209</v>
      </c>
      <c r="D67" s="510">
        <v>823635689.97000003</v>
      </c>
      <c r="E67" s="178">
        <v>832416642.11000001</v>
      </c>
      <c r="F67" s="511">
        <v>101.1</v>
      </c>
      <c r="G67" s="163">
        <v>838591163.05999994</v>
      </c>
      <c r="H67" s="178">
        <v>789215201.17999995</v>
      </c>
      <c r="I67" s="126">
        <v>94.1</v>
      </c>
      <c r="J67" s="651">
        <v>43201440.930000067</v>
      </c>
      <c r="K67" s="176">
        <v>274813200</v>
      </c>
      <c r="L67" s="513">
        <v>33</v>
      </c>
    </row>
    <row r="68" spans="1:12" ht="14.45" customHeight="1">
      <c r="A68" s="629">
        <v>30</v>
      </c>
      <c r="B68" s="177">
        <v>62</v>
      </c>
      <c r="C68" s="672" t="s">
        <v>210</v>
      </c>
      <c r="D68" s="510">
        <v>630220568.88999999</v>
      </c>
      <c r="E68" s="178">
        <v>630324667.12</v>
      </c>
      <c r="F68" s="511">
        <v>100</v>
      </c>
      <c r="G68" s="163">
        <v>644090368.97000003</v>
      </c>
      <c r="H68" s="178">
        <v>618397066.25</v>
      </c>
      <c r="I68" s="126">
        <v>96</v>
      </c>
      <c r="J68" s="651">
        <v>11927600.870000005</v>
      </c>
      <c r="K68" s="176">
        <v>233978020.40000001</v>
      </c>
      <c r="L68" s="513">
        <v>37.1</v>
      </c>
    </row>
    <row r="69" spans="1:12" ht="14.45" customHeight="1">
      <c r="A69" s="629">
        <v>30</v>
      </c>
      <c r="B69" s="177">
        <v>63</v>
      </c>
      <c r="C69" s="672" t="s">
        <v>211</v>
      </c>
      <c r="D69" s="510">
        <v>530078152.41000003</v>
      </c>
      <c r="E69" s="178">
        <v>515534895.94</v>
      </c>
      <c r="F69" s="511">
        <v>97.3</v>
      </c>
      <c r="G69" s="163">
        <v>555637520.40999997</v>
      </c>
      <c r="H69" s="178">
        <v>524532914.93000001</v>
      </c>
      <c r="I69" s="126">
        <v>94.4</v>
      </c>
      <c r="J69" s="651">
        <v>-8998018.9900000095</v>
      </c>
      <c r="K69" s="176">
        <v>244114704.75</v>
      </c>
      <c r="L69" s="513">
        <v>47.4</v>
      </c>
    </row>
    <row r="70" spans="1:12" ht="14.45" customHeight="1">
      <c r="A70" s="629">
        <v>30</v>
      </c>
      <c r="B70" s="177">
        <v>64</v>
      </c>
      <c r="C70" s="672" t="s">
        <v>212</v>
      </c>
      <c r="D70" s="510">
        <v>4740256770.2200003</v>
      </c>
      <c r="E70" s="178">
        <v>4988553057.6899996</v>
      </c>
      <c r="F70" s="511">
        <v>105.2</v>
      </c>
      <c r="G70" s="163">
        <v>5217533686.54</v>
      </c>
      <c r="H70" s="178">
        <v>4928466559.6199999</v>
      </c>
      <c r="I70" s="126">
        <v>94.5</v>
      </c>
      <c r="J70" s="651">
        <v>60086498.069999695</v>
      </c>
      <c r="K70" s="176">
        <v>1614689285.6400001</v>
      </c>
      <c r="L70" s="513">
        <v>32.4</v>
      </c>
    </row>
    <row r="71" spans="1:12" ht="14.45" customHeight="1">
      <c r="A71" s="629">
        <v>32</v>
      </c>
      <c r="B71" s="177">
        <v>61</v>
      </c>
      <c r="C71" s="672" t="s">
        <v>213</v>
      </c>
      <c r="D71" s="510">
        <v>782428625.15999997</v>
      </c>
      <c r="E71" s="178">
        <v>810751235.88</v>
      </c>
      <c r="F71" s="511">
        <v>103.6</v>
      </c>
      <c r="G71" s="163">
        <v>826549005.15999997</v>
      </c>
      <c r="H71" s="178">
        <v>761364891.85000002</v>
      </c>
      <c r="I71" s="126">
        <v>92.1</v>
      </c>
      <c r="J71" s="651">
        <v>49386344.029999971</v>
      </c>
      <c r="K71" s="176">
        <v>342800000</v>
      </c>
      <c r="L71" s="513">
        <v>42.3</v>
      </c>
    </row>
    <row r="72" spans="1:12" ht="14.45" customHeight="1">
      <c r="A72" s="629">
        <v>32</v>
      </c>
      <c r="B72" s="177">
        <v>62</v>
      </c>
      <c r="C72" s="672" t="s">
        <v>214</v>
      </c>
      <c r="D72" s="510">
        <v>3176674262.9699998</v>
      </c>
      <c r="E72" s="178">
        <v>3245442624.5900002</v>
      </c>
      <c r="F72" s="511">
        <v>102.2</v>
      </c>
      <c r="G72" s="163">
        <v>3703041477.9699998</v>
      </c>
      <c r="H72" s="178">
        <v>3502549627.8600001</v>
      </c>
      <c r="I72" s="126">
        <v>94.6</v>
      </c>
      <c r="J72" s="651">
        <v>-257107003.26999998</v>
      </c>
      <c r="K72" s="176">
        <v>2519911689.48</v>
      </c>
      <c r="L72" s="513">
        <v>77.599999999999994</v>
      </c>
    </row>
    <row r="73" spans="1:12" ht="14.45" customHeight="1">
      <c r="A73" s="630">
        <v>32</v>
      </c>
      <c r="B73" s="631">
        <v>63</v>
      </c>
      <c r="C73" s="673" t="s">
        <v>215</v>
      </c>
      <c r="D73" s="674">
        <v>747802211.95000005</v>
      </c>
      <c r="E73" s="632">
        <v>779720959.75999999</v>
      </c>
      <c r="F73" s="675">
        <v>104.3</v>
      </c>
      <c r="G73" s="633">
        <v>861883655.82000005</v>
      </c>
      <c r="H73" s="632">
        <v>806244878.88999999</v>
      </c>
      <c r="I73" s="671">
        <v>93.5</v>
      </c>
      <c r="J73" s="652">
        <v>-26523919.129999995</v>
      </c>
      <c r="K73" s="497">
        <v>282217815.36000001</v>
      </c>
      <c r="L73" s="515">
        <v>36.200000000000003</v>
      </c>
    </row>
    <row r="74" spans="1:12" ht="21" customHeight="1"/>
    <row r="75" spans="1:12" ht="13.5">
      <c r="A75" s="2278" t="s">
        <v>1178</v>
      </c>
      <c r="B75" s="2279"/>
      <c r="C75" s="2279"/>
      <c r="D75" s="2279"/>
      <c r="E75" s="2279"/>
      <c r="F75" s="2279"/>
      <c r="G75" s="2279"/>
      <c r="H75" s="2279"/>
      <c r="I75" s="2279"/>
    </row>
    <row r="76" spans="1:12" ht="12.95" customHeight="1"/>
  </sheetData>
  <mergeCells count="15">
    <mergeCell ref="A1:L1"/>
    <mergeCell ref="A75:I75"/>
    <mergeCell ref="A3:A5"/>
    <mergeCell ref="B3:B5"/>
    <mergeCell ref="C3:C5"/>
    <mergeCell ref="D3:E3"/>
    <mergeCell ref="F3:F4"/>
    <mergeCell ref="I3:I4"/>
    <mergeCell ref="J3:J4"/>
    <mergeCell ref="K3:K4"/>
    <mergeCell ref="L3:L4"/>
    <mergeCell ref="D5:E5"/>
    <mergeCell ref="J5:K5"/>
    <mergeCell ref="G3:H3"/>
    <mergeCell ref="G5:H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5" orientation="landscape" r:id="rId1"/>
  <headerFooter alignWithMargins="0"/>
  <rowBreaks count="1" manualBreakCount="1">
    <brk id="40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7"/>
  <sheetViews>
    <sheetView showGridLines="0" workbookViewId="0">
      <selection activeCell="O9" sqref="O9"/>
    </sheetView>
  </sheetViews>
  <sheetFormatPr defaultColWidth="8.85546875" defaultRowHeight="13.5"/>
  <cols>
    <col min="1" max="1" width="4.7109375" style="68" customWidth="1"/>
    <col min="2" max="2" width="5.28515625" style="68" customWidth="1"/>
    <col min="3" max="3" width="16.5703125" style="68" customWidth="1"/>
    <col min="4" max="4" width="14.7109375" style="68" customWidth="1"/>
    <col min="5" max="5" width="12.85546875" style="68" customWidth="1"/>
    <col min="6" max="6" width="11.42578125" style="68" customWidth="1"/>
    <col min="7" max="7" width="12.140625" style="68" customWidth="1"/>
    <col min="8" max="8" width="22.7109375" style="68" customWidth="1"/>
    <col min="9" max="16384" width="8.85546875" style="68"/>
  </cols>
  <sheetData>
    <row r="1" spans="1:9" ht="39" customHeight="1">
      <c r="A1" s="2288" t="s">
        <v>1058</v>
      </c>
      <c r="B1" s="2288"/>
      <c r="C1" s="2288"/>
      <c r="D1" s="2288"/>
      <c r="E1" s="2288"/>
      <c r="F1" s="2288"/>
      <c r="G1" s="2288"/>
      <c r="H1" s="2288"/>
      <c r="I1" s="2288"/>
    </row>
    <row r="2" spans="1:9" ht="13.5" customHeight="1">
      <c r="A2" s="2212" t="s">
        <v>41</v>
      </c>
      <c r="B2" s="2215" t="s">
        <v>67</v>
      </c>
      <c r="C2" s="2291" t="s">
        <v>765</v>
      </c>
      <c r="D2" s="2062" t="s">
        <v>1038</v>
      </c>
      <c r="E2" s="2063"/>
      <c r="F2" s="2063"/>
      <c r="G2" s="2063"/>
      <c r="H2" s="2063"/>
      <c r="I2" s="2064"/>
    </row>
    <row r="3" spans="1:9" ht="13.5" customHeight="1">
      <c r="A3" s="2213"/>
      <c r="B3" s="2216"/>
      <c r="C3" s="2292"/>
      <c r="D3" s="2222" t="s">
        <v>733</v>
      </c>
      <c r="E3" s="925" t="s">
        <v>734</v>
      </c>
      <c r="F3" s="2056" t="s">
        <v>375</v>
      </c>
      <c r="G3" s="2294"/>
      <c r="H3" s="2295" t="s">
        <v>760</v>
      </c>
      <c r="I3" s="2298" t="s">
        <v>883</v>
      </c>
    </row>
    <row r="4" spans="1:9" ht="17.25" customHeight="1">
      <c r="A4" s="2213"/>
      <c r="B4" s="2216"/>
      <c r="C4" s="2292"/>
      <c r="D4" s="2223"/>
      <c r="E4" s="2230" t="s">
        <v>761</v>
      </c>
      <c r="F4" s="2223" t="s">
        <v>25</v>
      </c>
      <c r="G4" s="2300" t="s">
        <v>737</v>
      </c>
      <c r="H4" s="2296"/>
      <c r="I4" s="2299"/>
    </row>
    <row r="5" spans="1:9" ht="56.45" customHeight="1">
      <c r="A5" s="2213"/>
      <c r="B5" s="2216"/>
      <c r="C5" s="2292"/>
      <c r="D5" s="2066"/>
      <c r="E5" s="2231"/>
      <c r="F5" s="2066"/>
      <c r="G5" s="2301"/>
      <c r="H5" s="2297"/>
      <c r="I5" s="2070"/>
    </row>
    <row r="6" spans="1:9">
      <c r="A6" s="2289"/>
      <c r="B6" s="2290"/>
      <c r="C6" s="2293"/>
      <c r="D6" s="2073" t="s">
        <v>4</v>
      </c>
      <c r="E6" s="2074"/>
      <c r="F6" s="2074"/>
      <c r="G6" s="2074"/>
      <c r="H6" s="2075"/>
      <c r="I6" s="940" t="s">
        <v>5</v>
      </c>
    </row>
    <row r="7" spans="1:9">
      <c r="A7" s="919" t="s">
        <v>887</v>
      </c>
      <c r="B7" s="920" t="s">
        <v>888</v>
      </c>
      <c r="C7" s="921" t="s">
        <v>889</v>
      </c>
      <c r="D7" s="919" t="s">
        <v>890</v>
      </c>
      <c r="E7" s="926" t="s">
        <v>891</v>
      </c>
      <c r="F7" s="922" t="s">
        <v>892</v>
      </c>
      <c r="G7" s="931" t="s">
        <v>893</v>
      </c>
      <c r="H7" s="937" t="s">
        <v>894</v>
      </c>
      <c r="I7" s="934" t="s">
        <v>932</v>
      </c>
    </row>
    <row r="8" spans="1:9" ht="13.5" customHeight="1">
      <c r="A8" s="904">
        <v>2</v>
      </c>
      <c r="B8" s="905">
        <v>61</v>
      </c>
      <c r="C8" s="908" t="s">
        <v>143</v>
      </c>
      <c r="D8" s="927">
        <v>118529894</v>
      </c>
      <c r="E8" s="928">
        <v>3180125</v>
      </c>
      <c r="F8" s="923">
        <v>1389745.42</v>
      </c>
      <c r="G8" s="932">
        <v>0</v>
      </c>
      <c r="H8" s="938">
        <v>119919639.42</v>
      </c>
      <c r="I8" s="935">
        <f>E8/D8*100</f>
        <v>2.6829729553288892</v>
      </c>
    </row>
    <row r="9" spans="1:9" ht="13.5" customHeight="1">
      <c r="A9" s="902">
        <v>2</v>
      </c>
      <c r="B9" s="903">
        <v>62</v>
      </c>
      <c r="C9" s="909" t="s">
        <v>145</v>
      </c>
      <c r="D9" s="929">
        <v>143507405</v>
      </c>
      <c r="E9" s="930">
        <v>4238858</v>
      </c>
      <c r="F9" s="924">
        <v>2293550.77</v>
      </c>
      <c r="G9" s="933">
        <v>0</v>
      </c>
      <c r="H9" s="939">
        <v>145800955.77000001</v>
      </c>
      <c r="I9" s="936">
        <f>E9/D9*100</f>
        <v>2.9537555919152743</v>
      </c>
    </row>
    <row r="10" spans="1:9" ht="13.5" customHeight="1">
      <c r="A10" s="902">
        <v>2</v>
      </c>
      <c r="B10" s="903">
        <v>64</v>
      </c>
      <c r="C10" s="909" t="s">
        <v>147</v>
      </c>
      <c r="D10" s="929">
        <v>778998714</v>
      </c>
      <c r="E10" s="930">
        <v>28307669</v>
      </c>
      <c r="F10" s="924">
        <v>10905257.73</v>
      </c>
      <c r="G10" s="933">
        <v>34374.99</v>
      </c>
      <c r="H10" s="939">
        <v>789938346.72000003</v>
      </c>
      <c r="I10" s="936">
        <f t="shared" ref="I10:I73" si="0">E10/D10*100</f>
        <v>3.6338531105713736</v>
      </c>
    </row>
    <row r="11" spans="1:9" ht="13.5" customHeight="1">
      <c r="A11" s="902">
        <v>2</v>
      </c>
      <c r="B11" s="903">
        <v>65</v>
      </c>
      <c r="C11" s="909" t="s">
        <v>149</v>
      </c>
      <c r="D11" s="929">
        <v>117489494</v>
      </c>
      <c r="E11" s="930">
        <v>3899002</v>
      </c>
      <c r="F11" s="924">
        <v>3489970.09</v>
      </c>
      <c r="G11" s="933">
        <v>0</v>
      </c>
      <c r="H11" s="939">
        <v>120979464.09</v>
      </c>
      <c r="I11" s="936">
        <f t="shared" si="0"/>
        <v>3.318596299342305</v>
      </c>
    </row>
    <row r="12" spans="1:9" ht="13.5" customHeight="1">
      <c r="A12" s="902">
        <v>4</v>
      </c>
      <c r="B12" s="903">
        <v>61</v>
      </c>
      <c r="C12" s="909" t="s">
        <v>150</v>
      </c>
      <c r="D12" s="929">
        <v>474402159</v>
      </c>
      <c r="E12" s="930">
        <v>14547788</v>
      </c>
      <c r="F12" s="924">
        <v>6525216.0899999999</v>
      </c>
      <c r="G12" s="933">
        <v>0</v>
      </c>
      <c r="H12" s="939">
        <v>480927375.08999997</v>
      </c>
      <c r="I12" s="936">
        <f t="shared" si="0"/>
        <v>3.0665518113714993</v>
      </c>
    </row>
    <row r="13" spans="1:9" ht="13.5" customHeight="1">
      <c r="A13" s="902">
        <v>4</v>
      </c>
      <c r="B13" s="903">
        <v>62</v>
      </c>
      <c r="C13" s="909" t="s">
        <v>151</v>
      </c>
      <c r="D13" s="929">
        <v>160228534</v>
      </c>
      <c r="E13" s="930">
        <v>4387307</v>
      </c>
      <c r="F13" s="924">
        <v>2154771.69</v>
      </c>
      <c r="G13" s="933">
        <v>0</v>
      </c>
      <c r="H13" s="939">
        <v>162383305.69</v>
      </c>
      <c r="I13" s="936">
        <f t="shared" si="0"/>
        <v>2.7381558642981778</v>
      </c>
    </row>
    <row r="14" spans="1:9" ht="13.5" customHeight="1">
      <c r="A14" s="902">
        <v>4</v>
      </c>
      <c r="B14" s="903">
        <v>63</v>
      </c>
      <c r="C14" s="909" t="s">
        <v>153</v>
      </c>
      <c r="D14" s="929">
        <v>299058255</v>
      </c>
      <c r="E14" s="930">
        <v>9138190</v>
      </c>
      <c r="F14" s="924">
        <v>5692711.8700000001</v>
      </c>
      <c r="G14" s="933">
        <v>0</v>
      </c>
      <c r="H14" s="939">
        <v>304750966.87</v>
      </c>
      <c r="I14" s="936">
        <f t="shared" si="0"/>
        <v>3.0556554942781968</v>
      </c>
    </row>
    <row r="15" spans="1:9" ht="13.5" customHeight="1">
      <c r="A15" s="902">
        <v>4</v>
      </c>
      <c r="B15" s="903">
        <v>64</v>
      </c>
      <c r="C15" s="909" t="s">
        <v>154</v>
      </c>
      <c r="D15" s="929">
        <v>172391302</v>
      </c>
      <c r="E15" s="930">
        <v>4333507</v>
      </c>
      <c r="F15" s="924">
        <v>2324013.4</v>
      </c>
      <c r="G15" s="933">
        <v>0</v>
      </c>
      <c r="H15" s="939">
        <v>174715315.40000001</v>
      </c>
      <c r="I15" s="936">
        <f t="shared" si="0"/>
        <v>2.5137619762277796</v>
      </c>
    </row>
    <row r="16" spans="1:9" ht="13.5" customHeight="1">
      <c r="A16" s="902">
        <v>6</v>
      </c>
      <c r="B16" s="903">
        <v>61</v>
      </c>
      <c r="C16" s="909" t="s">
        <v>155</v>
      </c>
      <c r="D16" s="929">
        <v>115972049</v>
      </c>
      <c r="E16" s="930">
        <v>3173592</v>
      </c>
      <c r="F16" s="924">
        <v>958615.3</v>
      </c>
      <c r="G16" s="933">
        <v>0</v>
      </c>
      <c r="H16" s="939">
        <v>116930664.3</v>
      </c>
      <c r="I16" s="936">
        <f t="shared" si="0"/>
        <v>2.7365145544682066</v>
      </c>
    </row>
    <row r="17" spans="1:9" ht="13.5" customHeight="1">
      <c r="A17" s="902">
        <v>6</v>
      </c>
      <c r="B17" s="903">
        <v>62</v>
      </c>
      <c r="C17" s="909" t="s">
        <v>156</v>
      </c>
      <c r="D17" s="929">
        <v>120491111</v>
      </c>
      <c r="E17" s="930">
        <v>3151810</v>
      </c>
      <c r="F17" s="924">
        <v>1993699.25</v>
      </c>
      <c r="G17" s="933">
        <v>0</v>
      </c>
      <c r="H17" s="939">
        <v>122484810.25</v>
      </c>
      <c r="I17" s="936">
        <f t="shared" si="0"/>
        <v>2.6158029201008861</v>
      </c>
    </row>
    <row r="18" spans="1:9" ht="13.5" customHeight="1">
      <c r="A18" s="902">
        <v>6</v>
      </c>
      <c r="B18" s="903">
        <v>63</v>
      </c>
      <c r="C18" s="909" t="s">
        <v>157</v>
      </c>
      <c r="D18" s="929">
        <v>519179116</v>
      </c>
      <c r="E18" s="930">
        <v>15437851</v>
      </c>
      <c r="F18" s="924">
        <v>7464926.5599999996</v>
      </c>
      <c r="G18" s="933">
        <v>143664</v>
      </c>
      <c r="H18" s="939">
        <v>526787706.56</v>
      </c>
      <c r="I18" s="936">
        <f t="shared" si="0"/>
        <v>2.9735115539585766</v>
      </c>
    </row>
    <row r="19" spans="1:9" ht="13.5" customHeight="1">
      <c r="A19" s="902">
        <v>6</v>
      </c>
      <c r="B19" s="903">
        <v>64</v>
      </c>
      <c r="C19" s="909" t="s">
        <v>158</v>
      </c>
      <c r="D19" s="929">
        <v>145332158</v>
      </c>
      <c r="E19" s="930">
        <v>3015154</v>
      </c>
      <c r="F19" s="924">
        <v>2804126.22</v>
      </c>
      <c r="G19" s="933">
        <v>0</v>
      </c>
      <c r="H19" s="939">
        <v>148136284.22</v>
      </c>
      <c r="I19" s="936">
        <f t="shared" si="0"/>
        <v>2.0746640258379703</v>
      </c>
    </row>
    <row r="20" spans="1:9" ht="13.5" customHeight="1">
      <c r="A20" s="902">
        <v>8</v>
      </c>
      <c r="B20" s="903">
        <v>61</v>
      </c>
      <c r="C20" s="909" t="s">
        <v>159</v>
      </c>
      <c r="D20" s="929">
        <v>196480638</v>
      </c>
      <c r="E20" s="930">
        <v>5541842</v>
      </c>
      <c r="F20" s="924">
        <v>2535190.98</v>
      </c>
      <c r="G20" s="933">
        <v>0</v>
      </c>
      <c r="H20" s="939">
        <v>199015828.97999999</v>
      </c>
      <c r="I20" s="936">
        <f t="shared" si="0"/>
        <v>2.8205537484054788</v>
      </c>
    </row>
    <row r="21" spans="1:9" ht="13.5" customHeight="1">
      <c r="A21" s="902">
        <v>8</v>
      </c>
      <c r="B21" s="903">
        <v>62</v>
      </c>
      <c r="C21" s="909" t="s">
        <v>160</v>
      </c>
      <c r="D21" s="929">
        <v>196035682</v>
      </c>
      <c r="E21" s="930">
        <v>6706002</v>
      </c>
      <c r="F21" s="924">
        <v>2741673.1</v>
      </c>
      <c r="G21" s="933">
        <v>0</v>
      </c>
      <c r="H21" s="939">
        <v>198777355.09999999</v>
      </c>
      <c r="I21" s="936">
        <f t="shared" si="0"/>
        <v>3.4208068304626296</v>
      </c>
    </row>
    <row r="22" spans="1:9" ht="13.5" customHeight="1">
      <c r="A22" s="902">
        <v>10</v>
      </c>
      <c r="B22" s="903">
        <v>61</v>
      </c>
      <c r="C22" s="909" t="s">
        <v>161</v>
      </c>
      <c r="D22" s="929">
        <v>748617694</v>
      </c>
      <c r="E22" s="930">
        <v>25817265</v>
      </c>
      <c r="F22" s="924">
        <v>9482939.4199999999</v>
      </c>
      <c r="G22" s="933">
        <v>0</v>
      </c>
      <c r="H22" s="939">
        <v>758100633.41999996</v>
      </c>
      <c r="I22" s="936">
        <f t="shared" si="0"/>
        <v>3.4486581344415832</v>
      </c>
    </row>
    <row r="23" spans="1:9" ht="13.5" customHeight="1">
      <c r="A23" s="902">
        <v>10</v>
      </c>
      <c r="B23" s="903">
        <v>62</v>
      </c>
      <c r="C23" s="909" t="s">
        <v>162</v>
      </c>
      <c r="D23" s="929">
        <v>136766677</v>
      </c>
      <c r="E23" s="930">
        <v>3688533</v>
      </c>
      <c r="F23" s="924">
        <v>1801763.56</v>
      </c>
      <c r="G23" s="933">
        <v>0</v>
      </c>
      <c r="H23" s="939">
        <v>138568440.56</v>
      </c>
      <c r="I23" s="936">
        <f t="shared" si="0"/>
        <v>2.6969530012051108</v>
      </c>
    </row>
    <row r="24" spans="1:9" ht="13.5" customHeight="1">
      <c r="A24" s="902">
        <v>10</v>
      </c>
      <c r="B24" s="903">
        <v>63</v>
      </c>
      <c r="C24" s="909" t="s">
        <v>163</v>
      </c>
      <c r="D24" s="929">
        <v>81540745</v>
      </c>
      <c r="E24" s="930">
        <v>2558057</v>
      </c>
      <c r="F24" s="924">
        <v>1277553.04</v>
      </c>
      <c r="G24" s="933">
        <v>0</v>
      </c>
      <c r="H24" s="939">
        <v>82818298.040000007</v>
      </c>
      <c r="I24" s="936">
        <f t="shared" si="0"/>
        <v>3.1371518619311116</v>
      </c>
    </row>
    <row r="25" spans="1:9" ht="13.5" customHeight="1">
      <c r="A25" s="902">
        <v>12</v>
      </c>
      <c r="B25" s="903">
        <v>61</v>
      </c>
      <c r="C25" s="909" t="s">
        <v>164</v>
      </c>
      <c r="D25" s="929">
        <v>1036533463</v>
      </c>
      <c r="E25" s="930">
        <v>35671000</v>
      </c>
      <c r="F25" s="924">
        <v>11066617.949999999</v>
      </c>
      <c r="G25" s="933">
        <v>0</v>
      </c>
      <c r="H25" s="939">
        <v>1047600080.95</v>
      </c>
      <c r="I25" s="936">
        <f t="shared" si="0"/>
        <v>3.4413746659715896</v>
      </c>
    </row>
    <row r="26" spans="1:9" ht="13.5" customHeight="1">
      <c r="A26" s="902">
        <v>12</v>
      </c>
      <c r="B26" s="903">
        <v>62</v>
      </c>
      <c r="C26" s="909" t="s">
        <v>165</v>
      </c>
      <c r="D26" s="929">
        <v>187996125</v>
      </c>
      <c r="E26" s="930">
        <v>4360370</v>
      </c>
      <c r="F26" s="924">
        <v>2818154.92</v>
      </c>
      <c r="G26" s="933">
        <v>0</v>
      </c>
      <c r="H26" s="939">
        <v>190814279.91999999</v>
      </c>
      <c r="I26" s="936">
        <f t="shared" si="0"/>
        <v>2.3193935513298478</v>
      </c>
    </row>
    <row r="27" spans="1:9" ht="13.5" customHeight="1">
      <c r="A27" s="902">
        <v>12</v>
      </c>
      <c r="B27" s="903">
        <v>63</v>
      </c>
      <c r="C27" s="909" t="s">
        <v>166</v>
      </c>
      <c r="D27" s="929">
        <v>212841240</v>
      </c>
      <c r="E27" s="930">
        <v>4706705</v>
      </c>
      <c r="F27" s="924">
        <v>2482726.36</v>
      </c>
      <c r="G27" s="933">
        <v>0</v>
      </c>
      <c r="H27" s="939">
        <v>215323966.36000001</v>
      </c>
      <c r="I27" s="936">
        <f t="shared" si="0"/>
        <v>2.2113689057628116</v>
      </c>
    </row>
    <row r="28" spans="1:9" ht="13.5" customHeight="1">
      <c r="A28" s="902">
        <v>14</v>
      </c>
      <c r="B28" s="903">
        <v>61</v>
      </c>
      <c r="C28" s="909" t="s">
        <v>167</v>
      </c>
      <c r="D28" s="929">
        <v>110765517</v>
      </c>
      <c r="E28" s="930">
        <v>2775891</v>
      </c>
      <c r="F28" s="924">
        <v>1203198.74</v>
      </c>
      <c r="G28" s="933">
        <v>0</v>
      </c>
      <c r="H28" s="939">
        <v>111968715.73999999</v>
      </c>
      <c r="I28" s="936">
        <f t="shared" si="0"/>
        <v>2.5060967304472563</v>
      </c>
    </row>
    <row r="29" spans="1:9" ht="13.5" customHeight="1">
      <c r="A29" s="902">
        <v>14</v>
      </c>
      <c r="B29" s="903">
        <v>62</v>
      </c>
      <c r="C29" s="909" t="s">
        <v>168</v>
      </c>
      <c r="D29" s="929">
        <v>209733294</v>
      </c>
      <c r="E29" s="930">
        <v>5781835</v>
      </c>
      <c r="F29" s="924">
        <v>2783448.56</v>
      </c>
      <c r="G29" s="933">
        <v>0</v>
      </c>
      <c r="H29" s="939">
        <v>212516742.56</v>
      </c>
      <c r="I29" s="936">
        <f t="shared" si="0"/>
        <v>2.7567559206884908</v>
      </c>
    </row>
    <row r="30" spans="1:9" ht="13.5" customHeight="1">
      <c r="A30" s="902">
        <v>14</v>
      </c>
      <c r="B30" s="903">
        <v>63</v>
      </c>
      <c r="C30" s="909" t="s">
        <v>169</v>
      </c>
      <c r="D30" s="929">
        <v>359119072</v>
      </c>
      <c r="E30" s="930">
        <v>9174812</v>
      </c>
      <c r="F30" s="924">
        <v>5472573.8300000001</v>
      </c>
      <c r="G30" s="933">
        <v>0</v>
      </c>
      <c r="H30" s="939">
        <v>364591645.82999998</v>
      </c>
      <c r="I30" s="936">
        <f t="shared" si="0"/>
        <v>2.5548105671202004</v>
      </c>
    </row>
    <row r="31" spans="1:9" ht="13.5" customHeight="1">
      <c r="A31" s="902">
        <v>14</v>
      </c>
      <c r="B31" s="903">
        <v>64</v>
      </c>
      <c r="C31" s="909" t="s">
        <v>170</v>
      </c>
      <c r="D31" s="929">
        <v>165520181</v>
      </c>
      <c r="E31" s="930">
        <v>4612972</v>
      </c>
      <c r="F31" s="924">
        <v>2923402.2</v>
      </c>
      <c r="G31" s="933">
        <v>0</v>
      </c>
      <c r="H31" s="939">
        <v>168443583.19999999</v>
      </c>
      <c r="I31" s="936">
        <f t="shared" si="0"/>
        <v>2.7869544197755558</v>
      </c>
    </row>
    <row r="32" spans="1:9" ht="13.5" customHeight="1">
      <c r="A32" s="902">
        <v>14</v>
      </c>
      <c r="B32" s="903">
        <v>65</v>
      </c>
      <c r="C32" s="909" t="s">
        <v>701</v>
      </c>
      <c r="D32" s="929">
        <v>2461057890</v>
      </c>
      <c r="E32" s="930">
        <v>81983467</v>
      </c>
      <c r="F32" s="924">
        <v>28229553.710000001</v>
      </c>
      <c r="G32" s="933">
        <v>0</v>
      </c>
      <c r="H32" s="939">
        <v>2489287443.71</v>
      </c>
      <c r="I32" s="936">
        <f t="shared" si="0"/>
        <v>3.331228709943105</v>
      </c>
    </row>
    <row r="33" spans="1:9" ht="13.5" customHeight="1">
      <c r="A33" s="902">
        <v>16</v>
      </c>
      <c r="B33" s="903">
        <v>61</v>
      </c>
      <c r="C33" s="909" t="s">
        <v>171</v>
      </c>
      <c r="D33" s="929">
        <v>213476948</v>
      </c>
      <c r="E33" s="930">
        <v>5919914</v>
      </c>
      <c r="F33" s="924">
        <v>2765847.44</v>
      </c>
      <c r="G33" s="933">
        <v>0</v>
      </c>
      <c r="H33" s="939">
        <v>216242795.44</v>
      </c>
      <c r="I33" s="936">
        <f t="shared" si="0"/>
        <v>2.7730928587193402</v>
      </c>
    </row>
    <row r="34" spans="1:9" ht="13.5" customHeight="1">
      <c r="A34" s="902">
        <v>18</v>
      </c>
      <c r="B34" s="903">
        <v>61</v>
      </c>
      <c r="C34" s="909" t="s">
        <v>172</v>
      </c>
      <c r="D34" s="929">
        <v>110931677</v>
      </c>
      <c r="E34" s="930">
        <v>2373942</v>
      </c>
      <c r="F34" s="924">
        <v>1282788.3500000001</v>
      </c>
      <c r="G34" s="933">
        <v>229002</v>
      </c>
      <c r="H34" s="939">
        <v>112443467.34999999</v>
      </c>
      <c r="I34" s="936">
        <f t="shared" si="0"/>
        <v>2.140003706966406</v>
      </c>
    </row>
    <row r="35" spans="1:9" ht="13.5" customHeight="1">
      <c r="A35" s="902">
        <v>18</v>
      </c>
      <c r="B35" s="903">
        <v>62</v>
      </c>
      <c r="C35" s="909" t="s">
        <v>173</v>
      </c>
      <c r="D35" s="929">
        <v>119505668</v>
      </c>
      <c r="E35" s="930">
        <v>2631988</v>
      </c>
      <c r="F35" s="924">
        <v>1251818.42</v>
      </c>
      <c r="G35" s="933">
        <v>0</v>
      </c>
      <c r="H35" s="939">
        <v>120757486.42</v>
      </c>
      <c r="I35" s="936">
        <f t="shared" si="0"/>
        <v>2.2023959566503573</v>
      </c>
    </row>
    <row r="36" spans="1:9" ht="13.5" customHeight="1">
      <c r="A36" s="902">
        <v>18</v>
      </c>
      <c r="B36" s="903">
        <v>63</v>
      </c>
      <c r="C36" s="909" t="s">
        <v>174</v>
      </c>
      <c r="D36" s="929">
        <v>393885346</v>
      </c>
      <c r="E36" s="930">
        <v>10432204</v>
      </c>
      <c r="F36" s="924">
        <v>3294944.61</v>
      </c>
      <c r="G36" s="933">
        <v>0</v>
      </c>
      <c r="H36" s="939">
        <v>397180290.61000001</v>
      </c>
      <c r="I36" s="936">
        <f t="shared" si="0"/>
        <v>2.6485382373174144</v>
      </c>
    </row>
    <row r="37" spans="1:9" ht="13.5" customHeight="1">
      <c r="A37" s="902">
        <v>18</v>
      </c>
      <c r="B37" s="903">
        <v>64</v>
      </c>
      <c r="C37" s="909" t="s">
        <v>175</v>
      </c>
      <c r="D37" s="929">
        <v>84586085</v>
      </c>
      <c r="E37" s="930">
        <v>1582353</v>
      </c>
      <c r="F37" s="924">
        <v>891774.75</v>
      </c>
      <c r="G37" s="933">
        <v>0</v>
      </c>
      <c r="H37" s="939">
        <v>85477859.75</v>
      </c>
      <c r="I37" s="936">
        <f t="shared" si="0"/>
        <v>1.8707013097958132</v>
      </c>
    </row>
    <row r="38" spans="1:9" ht="13.5" customHeight="1">
      <c r="A38" s="902">
        <v>20</v>
      </c>
      <c r="B38" s="903">
        <v>61</v>
      </c>
      <c r="C38" s="909" t="s">
        <v>176</v>
      </c>
      <c r="D38" s="929">
        <v>510561672</v>
      </c>
      <c r="E38" s="930">
        <v>15393597</v>
      </c>
      <c r="F38" s="924">
        <v>7673218.0999999996</v>
      </c>
      <c r="G38" s="933">
        <v>3500000</v>
      </c>
      <c r="H38" s="939">
        <v>521734890.10000002</v>
      </c>
      <c r="I38" s="936">
        <f t="shared" si="0"/>
        <v>3.0150318451636533</v>
      </c>
    </row>
    <row r="39" spans="1:9" ht="13.5" customHeight="1">
      <c r="A39" s="902">
        <v>20</v>
      </c>
      <c r="B39" s="903">
        <v>62</v>
      </c>
      <c r="C39" s="909" t="s">
        <v>177</v>
      </c>
      <c r="D39" s="929">
        <v>109142760</v>
      </c>
      <c r="E39" s="930">
        <v>2972654</v>
      </c>
      <c r="F39" s="924">
        <v>1583933.94</v>
      </c>
      <c r="G39" s="933">
        <v>1000000</v>
      </c>
      <c r="H39" s="939">
        <v>111726693.94</v>
      </c>
      <c r="I39" s="936">
        <f t="shared" si="0"/>
        <v>2.723638288055021</v>
      </c>
    </row>
    <row r="40" spans="1:9" ht="13.5" customHeight="1">
      <c r="A40" s="902">
        <v>20</v>
      </c>
      <c r="B40" s="903">
        <v>63</v>
      </c>
      <c r="C40" s="909" t="s">
        <v>178</v>
      </c>
      <c r="D40" s="929">
        <v>111168254</v>
      </c>
      <c r="E40" s="930">
        <v>3510025</v>
      </c>
      <c r="F40" s="924">
        <v>2165258.0299999998</v>
      </c>
      <c r="G40" s="933">
        <v>0</v>
      </c>
      <c r="H40" s="939">
        <v>113333512.03</v>
      </c>
      <c r="I40" s="936">
        <f t="shared" si="0"/>
        <v>3.1573986940552294</v>
      </c>
    </row>
    <row r="41" spans="1:9" ht="13.5" customHeight="1">
      <c r="A41" s="902">
        <v>22</v>
      </c>
      <c r="B41" s="903">
        <v>61</v>
      </c>
      <c r="C41" s="909" t="s">
        <v>179</v>
      </c>
      <c r="D41" s="929">
        <v>598979066</v>
      </c>
      <c r="E41" s="930">
        <v>19899341</v>
      </c>
      <c r="F41" s="924">
        <v>7035291.6900000004</v>
      </c>
      <c r="G41" s="933">
        <v>0</v>
      </c>
      <c r="H41" s="939">
        <v>606014357.69000006</v>
      </c>
      <c r="I41" s="936">
        <f t="shared" si="0"/>
        <v>3.3222097615010804</v>
      </c>
    </row>
    <row r="42" spans="1:9" ht="13.5" customHeight="1">
      <c r="A42" s="902">
        <v>22</v>
      </c>
      <c r="B42" s="903">
        <v>62</v>
      </c>
      <c r="C42" s="909" t="s">
        <v>180</v>
      </c>
      <c r="D42" s="929">
        <v>288680742</v>
      </c>
      <c r="E42" s="930">
        <v>9772167</v>
      </c>
      <c r="F42" s="924">
        <v>4811201.05</v>
      </c>
      <c r="G42" s="933">
        <v>0</v>
      </c>
      <c r="H42" s="939">
        <v>293491943.05000001</v>
      </c>
      <c r="I42" s="936">
        <f t="shared" si="0"/>
        <v>3.3851121942869331</v>
      </c>
    </row>
    <row r="43" spans="1:9" ht="13.5" customHeight="1">
      <c r="A43" s="902">
        <v>22</v>
      </c>
      <c r="B43" s="903">
        <v>63</v>
      </c>
      <c r="C43" s="909" t="s">
        <v>181</v>
      </c>
      <c r="D43" s="929">
        <v>159753759</v>
      </c>
      <c r="E43" s="930">
        <v>3989732</v>
      </c>
      <c r="F43" s="924">
        <v>2669105.5699999998</v>
      </c>
      <c r="G43" s="933">
        <v>0</v>
      </c>
      <c r="H43" s="939">
        <v>162422864.56999999</v>
      </c>
      <c r="I43" s="936">
        <f t="shared" si="0"/>
        <v>2.4974260543064903</v>
      </c>
    </row>
    <row r="44" spans="1:9" ht="13.5" customHeight="1">
      <c r="A44" s="902">
        <v>22</v>
      </c>
      <c r="B44" s="903">
        <v>64</v>
      </c>
      <c r="C44" s="909" t="s">
        <v>182</v>
      </c>
      <c r="D44" s="929">
        <v>42570961</v>
      </c>
      <c r="E44" s="930">
        <v>1107894</v>
      </c>
      <c r="F44" s="924">
        <v>716606.2</v>
      </c>
      <c r="G44" s="933">
        <v>0</v>
      </c>
      <c r="H44" s="939">
        <v>43287567.200000003</v>
      </c>
      <c r="I44" s="936">
        <f t="shared" si="0"/>
        <v>2.6024641539099855</v>
      </c>
    </row>
    <row r="45" spans="1:9" ht="13.5" customHeight="1">
      <c r="A45" s="902">
        <v>24</v>
      </c>
      <c r="B45" s="903">
        <v>61</v>
      </c>
      <c r="C45" s="909" t="s">
        <v>183</v>
      </c>
      <c r="D45" s="929">
        <v>292511670</v>
      </c>
      <c r="E45" s="930">
        <v>8338266</v>
      </c>
      <c r="F45" s="924">
        <v>3174103.34</v>
      </c>
      <c r="G45" s="933">
        <v>0</v>
      </c>
      <c r="H45" s="939">
        <v>295685773.33999997</v>
      </c>
      <c r="I45" s="936">
        <f t="shared" si="0"/>
        <v>2.8505755001159443</v>
      </c>
    </row>
    <row r="46" spans="1:9" ht="13.5" customHeight="1">
      <c r="A46" s="902">
        <v>24</v>
      </c>
      <c r="B46" s="903">
        <v>62</v>
      </c>
      <c r="C46" s="909" t="s">
        <v>184</v>
      </c>
      <c r="D46" s="929">
        <v>189350551</v>
      </c>
      <c r="E46" s="930">
        <v>6057977</v>
      </c>
      <c r="F46" s="924">
        <v>2810147.69</v>
      </c>
      <c r="G46" s="933">
        <v>0</v>
      </c>
      <c r="H46" s="939">
        <v>192160698.69</v>
      </c>
      <c r="I46" s="936">
        <f t="shared" si="0"/>
        <v>3.1993447962028903</v>
      </c>
    </row>
    <row r="47" spans="1:9" ht="13.5" customHeight="1">
      <c r="A47" s="902">
        <v>24</v>
      </c>
      <c r="B47" s="903">
        <v>63</v>
      </c>
      <c r="C47" s="909" t="s">
        <v>185</v>
      </c>
      <c r="D47" s="929">
        <v>165029285</v>
      </c>
      <c r="E47" s="930">
        <v>4603549</v>
      </c>
      <c r="F47" s="924">
        <v>1832327.26</v>
      </c>
      <c r="G47" s="933">
        <v>0</v>
      </c>
      <c r="H47" s="939">
        <v>166861612.25999999</v>
      </c>
      <c r="I47" s="936">
        <f t="shared" si="0"/>
        <v>2.7895345968444327</v>
      </c>
    </row>
    <row r="48" spans="1:9" ht="13.5" customHeight="1">
      <c r="A48" s="902">
        <v>24</v>
      </c>
      <c r="B48" s="903">
        <v>64</v>
      </c>
      <c r="C48" s="909" t="s">
        <v>186</v>
      </c>
      <c r="D48" s="929">
        <v>350117131</v>
      </c>
      <c r="E48" s="930">
        <v>8318860</v>
      </c>
      <c r="F48" s="924">
        <v>3850804.5</v>
      </c>
      <c r="G48" s="933">
        <v>0</v>
      </c>
      <c r="H48" s="939">
        <v>353967935.5</v>
      </c>
      <c r="I48" s="936">
        <f t="shared" si="0"/>
        <v>2.3760219833401983</v>
      </c>
    </row>
    <row r="49" spans="1:9" ht="13.5" customHeight="1">
      <c r="A49" s="902">
        <v>24</v>
      </c>
      <c r="B49" s="903">
        <v>65</v>
      </c>
      <c r="C49" s="909" t="s">
        <v>187</v>
      </c>
      <c r="D49" s="929">
        <v>157317395</v>
      </c>
      <c r="E49" s="930">
        <v>4814060</v>
      </c>
      <c r="F49" s="924">
        <v>2492846.9900000002</v>
      </c>
      <c r="G49" s="933">
        <v>0</v>
      </c>
      <c r="H49" s="939">
        <v>159810241.99000001</v>
      </c>
      <c r="I49" s="936">
        <f t="shared" si="0"/>
        <v>3.0600938948931873</v>
      </c>
    </row>
    <row r="50" spans="1:9" ht="13.5" customHeight="1">
      <c r="A50" s="902">
        <v>24</v>
      </c>
      <c r="B50" s="903">
        <v>66</v>
      </c>
      <c r="C50" s="909" t="s">
        <v>189</v>
      </c>
      <c r="D50" s="929">
        <v>255849390</v>
      </c>
      <c r="E50" s="930">
        <v>7413330</v>
      </c>
      <c r="F50" s="924">
        <v>3220136.21</v>
      </c>
      <c r="G50" s="933">
        <v>0</v>
      </c>
      <c r="H50" s="939">
        <v>259069526.21000001</v>
      </c>
      <c r="I50" s="936">
        <f t="shared" si="0"/>
        <v>2.8975367109532684</v>
      </c>
    </row>
    <row r="51" spans="1:9" ht="13.5" customHeight="1">
      <c r="A51" s="902">
        <v>24</v>
      </c>
      <c r="B51" s="903">
        <v>67</v>
      </c>
      <c r="C51" s="909" t="s">
        <v>700</v>
      </c>
      <c r="D51" s="929">
        <v>122170295</v>
      </c>
      <c r="E51" s="930">
        <v>3717962</v>
      </c>
      <c r="F51" s="924">
        <v>1287135.4099999999</v>
      </c>
      <c r="G51" s="933">
        <v>0</v>
      </c>
      <c r="H51" s="939">
        <v>123457430.41</v>
      </c>
      <c r="I51" s="936">
        <f t="shared" si="0"/>
        <v>3.0432618665609343</v>
      </c>
    </row>
    <row r="52" spans="1:9" ht="13.5" customHeight="1">
      <c r="A52" s="902">
        <v>24</v>
      </c>
      <c r="B52" s="903">
        <v>68</v>
      </c>
      <c r="C52" s="909" t="s">
        <v>191</v>
      </c>
      <c r="D52" s="929">
        <v>109232407</v>
      </c>
      <c r="E52" s="930">
        <v>3927389</v>
      </c>
      <c r="F52" s="924">
        <v>1698112.52</v>
      </c>
      <c r="G52" s="933">
        <v>0</v>
      </c>
      <c r="H52" s="939">
        <v>110930519.52</v>
      </c>
      <c r="I52" s="936">
        <f t="shared" si="0"/>
        <v>3.5954430629730609</v>
      </c>
    </row>
    <row r="53" spans="1:9" ht="13.5" customHeight="1">
      <c r="A53" s="902">
        <v>24</v>
      </c>
      <c r="B53" s="903">
        <v>69</v>
      </c>
      <c r="C53" s="909" t="s">
        <v>193</v>
      </c>
      <c r="D53" s="929">
        <v>376586821</v>
      </c>
      <c r="E53" s="930">
        <v>11242064</v>
      </c>
      <c r="F53" s="924">
        <v>4797457.0199999996</v>
      </c>
      <c r="G53" s="933">
        <v>0</v>
      </c>
      <c r="H53" s="939">
        <v>381384278.01999998</v>
      </c>
      <c r="I53" s="936">
        <f t="shared" si="0"/>
        <v>2.9852515736337999</v>
      </c>
    </row>
    <row r="54" spans="1:9" ht="13.5" customHeight="1">
      <c r="A54" s="902">
        <v>24</v>
      </c>
      <c r="B54" s="903">
        <v>70</v>
      </c>
      <c r="C54" s="909" t="s">
        <v>195</v>
      </c>
      <c r="D54" s="929">
        <v>76047678</v>
      </c>
      <c r="E54" s="930">
        <v>3271751</v>
      </c>
      <c r="F54" s="924">
        <v>1279334.56</v>
      </c>
      <c r="G54" s="933">
        <v>0</v>
      </c>
      <c r="H54" s="939">
        <v>77327012.560000002</v>
      </c>
      <c r="I54" s="936">
        <f t="shared" si="0"/>
        <v>4.3022365521798047</v>
      </c>
    </row>
    <row r="55" spans="1:9" ht="13.5" customHeight="1">
      <c r="A55" s="902">
        <v>24</v>
      </c>
      <c r="B55" s="903">
        <v>71</v>
      </c>
      <c r="C55" s="909" t="s">
        <v>196</v>
      </c>
      <c r="D55" s="929">
        <v>68947188</v>
      </c>
      <c r="E55" s="930">
        <v>2188369</v>
      </c>
      <c r="F55" s="924">
        <v>963523.62</v>
      </c>
      <c r="G55" s="933">
        <v>0</v>
      </c>
      <c r="H55" s="939">
        <v>69910711.620000005</v>
      </c>
      <c r="I55" s="936">
        <f t="shared" si="0"/>
        <v>3.1739786109913579</v>
      </c>
    </row>
    <row r="56" spans="1:9" ht="13.5" customHeight="1">
      <c r="A56" s="902">
        <v>24</v>
      </c>
      <c r="B56" s="903">
        <v>72</v>
      </c>
      <c r="C56" s="909" t="s">
        <v>197</v>
      </c>
      <c r="D56" s="929">
        <v>156224879</v>
      </c>
      <c r="E56" s="930">
        <v>6161933</v>
      </c>
      <c r="F56" s="924">
        <v>2297085.2799999998</v>
      </c>
      <c r="G56" s="933">
        <v>0</v>
      </c>
      <c r="H56" s="939">
        <v>158521964.28</v>
      </c>
      <c r="I56" s="936">
        <f t="shared" si="0"/>
        <v>3.9442712578449175</v>
      </c>
    </row>
    <row r="57" spans="1:9" ht="13.5" customHeight="1">
      <c r="A57" s="902">
        <v>24</v>
      </c>
      <c r="B57" s="903">
        <v>73</v>
      </c>
      <c r="C57" s="909" t="s">
        <v>198</v>
      </c>
      <c r="D57" s="929">
        <v>200784365</v>
      </c>
      <c r="E57" s="930">
        <v>6428236</v>
      </c>
      <c r="F57" s="924">
        <v>2463965.79</v>
      </c>
      <c r="G57" s="933">
        <v>0</v>
      </c>
      <c r="H57" s="939">
        <v>203248330.78999999</v>
      </c>
      <c r="I57" s="936">
        <f t="shared" si="0"/>
        <v>3.201562033976102</v>
      </c>
    </row>
    <row r="58" spans="1:9" ht="13.5" customHeight="1">
      <c r="A58" s="902">
        <v>24</v>
      </c>
      <c r="B58" s="903">
        <v>74</v>
      </c>
      <c r="C58" s="909" t="s">
        <v>199</v>
      </c>
      <c r="D58" s="929">
        <v>67117417</v>
      </c>
      <c r="E58" s="930">
        <v>2975791</v>
      </c>
      <c r="F58" s="924">
        <v>1922475.56</v>
      </c>
      <c r="G58" s="933">
        <v>0</v>
      </c>
      <c r="H58" s="939">
        <v>69039892.560000002</v>
      </c>
      <c r="I58" s="936">
        <f t="shared" si="0"/>
        <v>4.4337090624330795</v>
      </c>
    </row>
    <row r="59" spans="1:9" ht="13.5" customHeight="1">
      <c r="A59" s="902">
        <v>24</v>
      </c>
      <c r="B59" s="903">
        <v>75</v>
      </c>
      <c r="C59" s="909" t="s">
        <v>200</v>
      </c>
      <c r="D59" s="929">
        <v>222771149</v>
      </c>
      <c r="E59" s="930">
        <v>7259575</v>
      </c>
      <c r="F59" s="924">
        <v>4572634.0999999996</v>
      </c>
      <c r="G59" s="933">
        <v>0</v>
      </c>
      <c r="H59" s="939">
        <v>227343783.09999999</v>
      </c>
      <c r="I59" s="936">
        <f t="shared" si="0"/>
        <v>3.2587590595046039</v>
      </c>
    </row>
    <row r="60" spans="1:9" ht="13.5" customHeight="1">
      <c r="A60" s="902">
        <v>24</v>
      </c>
      <c r="B60" s="903">
        <v>76</v>
      </c>
      <c r="C60" s="909" t="s">
        <v>201</v>
      </c>
      <c r="D60" s="929">
        <v>48637883</v>
      </c>
      <c r="E60" s="930">
        <v>1857784</v>
      </c>
      <c r="F60" s="924">
        <v>1120219</v>
      </c>
      <c r="G60" s="933">
        <v>0</v>
      </c>
      <c r="H60" s="939">
        <v>49758102</v>
      </c>
      <c r="I60" s="936">
        <f t="shared" si="0"/>
        <v>3.8196234815565471</v>
      </c>
    </row>
    <row r="61" spans="1:9" ht="13.5" customHeight="1">
      <c r="A61" s="902">
        <v>24</v>
      </c>
      <c r="B61" s="903">
        <v>77</v>
      </c>
      <c r="C61" s="909" t="s">
        <v>203</v>
      </c>
      <c r="D61" s="929">
        <v>177501605</v>
      </c>
      <c r="E61" s="930">
        <v>5993137</v>
      </c>
      <c r="F61" s="924">
        <v>2147541.5499999998</v>
      </c>
      <c r="G61" s="933">
        <v>0</v>
      </c>
      <c r="H61" s="939">
        <v>179649146.55000001</v>
      </c>
      <c r="I61" s="936">
        <f t="shared" si="0"/>
        <v>3.3763846811413338</v>
      </c>
    </row>
    <row r="62" spans="1:9" ht="13.5" customHeight="1">
      <c r="A62" s="902">
        <v>24</v>
      </c>
      <c r="B62" s="903">
        <v>78</v>
      </c>
      <c r="C62" s="909" t="s">
        <v>204</v>
      </c>
      <c r="D62" s="929">
        <v>197684570</v>
      </c>
      <c r="E62" s="930">
        <v>6451395</v>
      </c>
      <c r="F62" s="924">
        <v>4534884.7300000004</v>
      </c>
      <c r="G62" s="933">
        <v>0</v>
      </c>
      <c r="H62" s="939">
        <v>202219454.72999999</v>
      </c>
      <c r="I62" s="936">
        <f t="shared" si="0"/>
        <v>3.2634792892535818</v>
      </c>
    </row>
    <row r="63" spans="1:9" ht="13.5" customHeight="1">
      <c r="A63" s="902">
        <v>24</v>
      </c>
      <c r="B63" s="903">
        <v>79</v>
      </c>
      <c r="C63" s="909" t="s">
        <v>205</v>
      </c>
      <c r="D63" s="929">
        <v>96956319</v>
      </c>
      <c r="E63" s="930">
        <v>3366293</v>
      </c>
      <c r="F63" s="924">
        <v>1266076.77</v>
      </c>
      <c r="G63" s="933">
        <v>0</v>
      </c>
      <c r="H63" s="939">
        <v>98222395.769999996</v>
      </c>
      <c r="I63" s="936">
        <f t="shared" si="0"/>
        <v>3.4719686501299618</v>
      </c>
    </row>
    <row r="64" spans="1:9" ht="13.5" customHeight="1">
      <c r="A64" s="902">
        <v>26</v>
      </c>
      <c r="B64" s="903">
        <v>61</v>
      </c>
      <c r="C64" s="909" t="s">
        <v>206</v>
      </c>
      <c r="D64" s="929">
        <v>351871431</v>
      </c>
      <c r="E64" s="930">
        <v>8335593</v>
      </c>
      <c r="F64" s="924">
        <v>3821726.29</v>
      </c>
      <c r="G64" s="933">
        <v>0</v>
      </c>
      <c r="H64" s="939">
        <v>355693157.29000002</v>
      </c>
      <c r="I64" s="936">
        <f t="shared" si="0"/>
        <v>2.3689314521246256</v>
      </c>
    </row>
    <row r="65" spans="1:9" ht="13.5" customHeight="1">
      <c r="A65" s="902">
        <v>28</v>
      </c>
      <c r="B65" s="903">
        <v>61</v>
      </c>
      <c r="C65" s="909" t="s">
        <v>207</v>
      </c>
      <c r="D65" s="929">
        <v>155260187</v>
      </c>
      <c r="E65" s="930">
        <v>5131325</v>
      </c>
      <c r="F65" s="924">
        <v>2567038.5</v>
      </c>
      <c r="G65" s="933">
        <v>0</v>
      </c>
      <c r="H65" s="939">
        <v>157827225.5</v>
      </c>
      <c r="I65" s="936">
        <f t="shared" si="0"/>
        <v>3.3049844259172505</v>
      </c>
    </row>
    <row r="66" spans="1:9" ht="13.5" customHeight="1">
      <c r="A66" s="902">
        <v>28</v>
      </c>
      <c r="B66" s="903">
        <v>62</v>
      </c>
      <c r="C66" s="909" t="s">
        <v>208</v>
      </c>
      <c r="D66" s="929">
        <v>305559252</v>
      </c>
      <c r="E66" s="930">
        <v>8698557</v>
      </c>
      <c r="F66" s="924">
        <v>3577797.15</v>
      </c>
      <c r="G66" s="933">
        <v>0</v>
      </c>
      <c r="H66" s="939">
        <v>309137049.14999998</v>
      </c>
      <c r="I66" s="936">
        <f t="shared" si="0"/>
        <v>2.8467660341045735</v>
      </c>
    </row>
    <row r="67" spans="1:9" ht="13.5" customHeight="1">
      <c r="A67" s="902">
        <v>30</v>
      </c>
      <c r="B67" s="903">
        <v>61</v>
      </c>
      <c r="C67" s="909" t="s">
        <v>209</v>
      </c>
      <c r="D67" s="929">
        <v>165336366</v>
      </c>
      <c r="E67" s="930">
        <v>4269988</v>
      </c>
      <c r="F67" s="924">
        <v>1825759.58</v>
      </c>
      <c r="G67" s="933">
        <v>0</v>
      </c>
      <c r="H67" s="939">
        <v>167162125.58000001</v>
      </c>
      <c r="I67" s="936">
        <f t="shared" si="0"/>
        <v>2.5826066601705762</v>
      </c>
    </row>
    <row r="68" spans="1:9" ht="13.5" customHeight="1">
      <c r="A68" s="902">
        <v>30</v>
      </c>
      <c r="B68" s="903">
        <v>62</v>
      </c>
      <c r="C68" s="909" t="s">
        <v>210</v>
      </c>
      <c r="D68" s="929">
        <v>136632857</v>
      </c>
      <c r="E68" s="930">
        <v>3545430</v>
      </c>
      <c r="F68" s="924">
        <v>2277774.48</v>
      </c>
      <c r="G68" s="933">
        <v>337080</v>
      </c>
      <c r="H68" s="939">
        <v>139247711.47999999</v>
      </c>
      <c r="I68" s="936">
        <f t="shared" si="0"/>
        <v>2.5948590096450959</v>
      </c>
    </row>
    <row r="69" spans="1:9" ht="13.5" customHeight="1">
      <c r="A69" s="902">
        <v>30</v>
      </c>
      <c r="B69" s="903">
        <v>63</v>
      </c>
      <c r="C69" s="909" t="s">
        <v>211</v>
      </c>
      <c r="D69" s="929">
        <v>120076167</v>
      </c>
      <c r="E69" s="930">
        <v>3334456</v>
      </c>
      <c r="F69" s="924">
        <v>1568762.97</v>
      </c>
      <c r="G69" s="933">
        <v>0</v>
      </c>
      <c r="H69" s="939">
        <v>121644929.97</v>
      </c>
      <c r="I69" s="936">
        <f t="shared" si="0"/>
        <v>2.7769507332791528</v>
      </c>
    </row>
    <row r="70" spans="1:9" ht="13.5" customHeight="1">
      <c r="A70" s="902">
        <v>30</v>
      </c>
      <c r="B70" s="903">
        <v>64</v>
      </c>
      <c r="C70" s="909" t="s">
        <v>212</v>
      </c>
      <c r="D70" s="929">
        <v>753863950</v>
      </c>
      <c r="E70" s="930">
        <v>22430466</v>
      </c>
      <c r="F70" s="924">
        <v>7571097.3700000001</v>
      </c>
      <c r="G70" s="933">
        <v>0</v>
      </c>
      <c r="H70" s="939">
        <v>761435047.37</v>
      </c>
      <c r="I70" s="936">
        <f t="shared" si="0"/>
        <v>2.9753997389051436</v>
      </c>
    </row>
    <row r="71" spans="1:9" ht="13.5" customHeight="1">
      <c r="A71" s="902">
        <v>32</v>
      </c>
      <c r="B71" s="903">
        <v>61</v>
      </c>
      <c r="C71" s="909" t="s">
        <v>213</v>
      </c>
      <c r="D71" s="929">
        <v>162782755</v>
      </c>
      <c r="E71" s="930">
        <v>5109772</v>
      </c>
      <c r="F71" s="924">
        <v>1966861.38</v>
      </c>
      <c r="G71" s="933">
        <v>0</v>
      </c>
      <c r="H71" s="939">
        <v>164749616.38</v>
      </c>
      <c r="I71" s="936">
        <f t="shared" si="0"/>
        <v>3.1390130975483244</v>
      </c>
    </row>
    <row r="72" spans="1:9" ht="13.5" customHeight="1">
      <c r="A72" s="902">
        <v>32</v>
      </c>
      <c r="B72" s="903">
        <v>62</v>
      </c>
      <c r="C72" s="909" t="s">
        <v>214</v>
      </c>
      <c r="D72" s="929">
        <v>534680356</v>
      </c>
      <c r="E72" s="930">
        <v>16680392</v>
      </c>
      <c r="F72" s="924">
        <v>7490342.4800000004</v>
      </c>
      <c r="G72" s="933">
        <v>0</v>
      </c>
      <c r="H72" s="939">
        <v>542170698.48000002</v>
      </c>
      <c r="I72" s="936">
        <f t="shared" si="0"/>
        <v>3.1196941897749468</v>
      </c>
    </row>
    <row r="73" spans="1:9" ht="13.5" customHeight="1">
      <c r="A73" s="941">
        <v>32</v>
      </c>
      <c r="B73" s="942">
        <v>63</v>
      </c>
      <c r="C73" s="943" t="s">
        <v>215</v>
      </c>
      <c r="D73" s="944">
        <v>37319409</v>
      </c>
      <c r="E73" s="945">
        <v>1497148</v>
      </c>
      <c r="F73" s="946">
        <v>487471.34</v>
      </c>
      <c r="G73" s="947">
        <v>0</v>
      </c>
      <c r="H73" s="948">
        <v>37806880.340000004</v>
      </c>
      <c r="I73" s="949">
        <f t="shared" si="0"/>
        <v>4.0117141190526358</v>
      </c>
    </row>
    <row r="74" spans="1:9" s="918" customFormat="1" ht="20.45" customHeight="1">
      <c r="A74" s="2052" t="s">
        <v>44</v>
      </c>
      <c r="B74" s="2284"/>
      <c r="C74" s="2285"/>
      <c r="D74" s="864">
        <f>SUM(D8:D73)</f>
        <v>18066052075</v>
      </c>
      <c r="E74" s="950">
        <f t="shared" ref="E74:H74" si="1">SUM(E8:E73)</f>
        <v>553196263</v>
      </c>
      <c r="F74" s="951">
        <f t="shared" si="1"/>
        <v>239842632.34999999</v>
      </c>
      <c r="G74" s="952">
        <f t="shared" si="1"/>
        <v>5244120.99</v>
      </c>
      <c r="H74" s="953">
        <f t="shared" si="1"/>
        <v>18311138828.340004</v>
      </c>
      <c r="I74" s="954">
        <f>E74/D74*100</f>
        <v>3.062076101095264</v>
      </c>
    </row>
    <row r="75" spans="1:9">
      <c r="A75" s="914"/>
      <c r="B75" s="914"/>
      <c r="C75" s="915"/>
      <c r="D75" s="916"/>
      <c r="E75" s="917"/>
      <c r="F75" s="916"/>
      <c r="G75" s="916"/>
      <c r="H75" s="916"/>
      <c r="I75" s="916"/>
    </row>
    <row r="76" spans="1:9">
      <c r="A76" s="914" t="s">
        <v>1057</v>
      </c>
      <c r="B76" s="914"/>
      <c r="C76" s="915"/>
      <c r="D76" s="916"/>
      <c r="E76" s="917"/>
      <c r="F76" s="916"/>
      <c r="G76" s="916"/>
      <c r="H76" s="916"/>
      <c r="I76" s="916"/>
    </row>
    <row r="77" spans="1:9" ht="29.45" customHeight="1">
      <c r="A77" s="914"/>
      <c r="B77" s="2286" t="s">
        <v>1059</v>
      </c>
      <c r="C77" s="2287"/>
      <c r="D77" s="2287"/>
      <c r="E77" s="2287"/>
      <c r="F77" s="2287"/>
      <c r="G77" s="2287"/>
      <c r="H77" s="2287"/>
      <c r="I77" s="2287"/>
    </row>
  </sheetData>
  <mergeCells count="15">
    <mergeCell ref="A74:C74"/>
    <mergeCell ref="B77:I77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  <mergeCell ref="F4:F5"/>
    <mergeCell ref="G4:G5"/>
    <mergeCell ref="D6:H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6"/>
  <sheetViews>
    <sheetView showGridLines="0" workbookViewId="0">
      <selection activeCell="M11" sqref="M11"/>
    </sheetView>
  </sheetViews>
  <sheetFormatPr defaultColWidth="8.85546875" defaultRowHeight="13.5"/>
  <cols>
    <col min="1" max="1" width="3.28515625" style="1569" bestFit="1" customWidth="1"/>
    <col min="2" max="2" width="3" style="1569" bestFit="1" customWidth="1"/>
    <col min="3" max="3" width="17.85546875" style="1569" customWidth="1"/>
    <col min="4" max="5" width="14.5703125" style="1569" bestFit="1" customWidth="1"/>
    <col min="6" max="6" width="13.7109375" style="1569" bestFit="1" customWidth="1"/>
    <col min="7" max="8" width="9" style="1569" bestFit="1" customWidth="1"/>
    <col min="9" max="16384" width="8.85546875" style="1569"/>
  </cols>
  <sheetData>
    <row r="1" spans="1:8" ht="36" customHeight="1">
      <c r="A1" s="2055" t="s">
        <v>1175</v>
      </c>
      <c r="B1" s="2055"/>
      <c r="C1" s="2055"/>
      <c r="D1" s="2055"/>
      <c r="E1" s="2055"/>
      <c r="F1" s="2055"/>
      <c r="G1" s="2055"/>
      <c r="H1" s="2055"/>
    </row>
    <row r="2" spans="1:8">
      <c r="A2" s="2239" t="s">
        <v>41</v>
      </c>
      <c r="B2" s="2239" t="s">
        <v>67</v>
      </c>
      <c r="C2" s="2302" t="s">
        <v>765</v>
      </c>
      <c r="D2" s="2240" t="s">
        <v>1038</v>
      </c>
      <c r="E2" s="2240"/>
      <c r="F2" s="2240"/>
      <c r="G2" s="2240"/>
      <c r="H2" s="2240"/>
    </row>
    <row r="3" spans="1:8" ht="21" customHeight="1">
      <c r="A3" s="2239"/>
      <c r="B3" s="2239"/>
      <c r="C3" s="2302"/>
      <c r="D3" s="2084" t="s">
        <v>1174</v>
      </c>
      <c r="E3" s="2241" t="s">
        <v>21</v>
      </c>
      <c r="F3" s="2241"/>
      <c r="G3" s="2303" t="s">
        <v>1053</v>
      </c>
      <c r="H3" s="2303" t="s">
        <v>985</v>
      </c>
    </row>
    <row r="4" spans="1:8">
      <c r="A4" s="2239"/>
      <c r="B4" s="2239"/>
      <c r="C4" s="2302"/>
      <c r="D4" s="2084"/>
      <c r="E4" s="2084" t="s">
        <v>739</v>
      </c>
      <c r="F4" s="2084" t="s">
        <v>740</v>
      </c>
      <c r="G4" s="2303"/>
      <c r="H4" s="2303"/>
    </row>
    <row r="5" spans="1:8" ht="43.5" customHeight="1">
      <c r="A5" s="2239"/>
      <c r="B5" s="2239"/>
      <c r="C5" s="2302"/>
      <c r="D5" s="2084"/>
      <c r="E5" s="2084"/>
      <c r="F5" s="2084"/>
      <c r="G5" s="2303"/>
      <c r="H5" s="2303"/>
    </row>
    <row r="6" spans="1:8">
      <c r="A6" s="2239"/>
      <c r="B6" s="2239"/>
      <c r="C6" s="2302"/>
      <c r="D6" s="2084" t="s">
        <v>4</v>
      </c>
      <c r="E6" s="2084"/>
      <c r="F6" s="2084"/>
      <c r="G6" s="2303" t="s">
        <v>5</v>
      </c>
      <c r="H6" s="2303"/>
    </row>
    <row r="7" spans="1:8">
      <c r="A7" s="937" t="s">
        <v>887</v>
      </c>
      <c r="B7" s="937" t="s">
        <v>888</v>
      </c>
      <c r="C7" s="937" t="s">
        <v>889</v>
      </c>
      <c r="D7" s="937" t="s">
        <v>890</v>
      </c>
      <c r="E7" s="937" t="s">
        <v>891</v>
      </c>
      <c r="F7" s="937" t="s">
        <v>892</v>
      </c>
      <c r="G7" s="937" t="s">
        <v>893</v>
      </c>
      <c r="H7" s="937" t="s">
        <v>894</v>
      </c>
    </row>
    <row r="8" spans="1:8">
      <c r="A8" s="937"/>
      <c r="B8" s="937"/>
      <c r="C8" s="1663" t="s">
        <v>933</v>
      </c>
      <c r="D8" s="1664">
        <f>SUM(D9:D74)</f>
        <v>27017718754.63998</v>
      </c>
      <c r="E8" s="1664">
        <f t="shared" ref="E8:F8" si="0">SUM(E9:E74)</f>
        <v>25912228034.450005</v>
      </c>
      <c r="F8" s="1664">
        <f t="shared" si="0"/>
        <v>1105490720.1900001</v>
      </c>
      <c r="G8" s="1665">
        <f>E8/D8*100</f>
        <v>95.908275120377724</v>
      </c>
      <c r="H8" s="1665">
        <f>F8/D8*100</f>
        <v>4.0917248796223582</v>
      </c>
    </row>
    <row r="9" spans="1:8">
      <c r="A9" s="1649">
        <v>2</v>
      </c>
      <c r="B9" s="1649">
        <v>61</v>
      </c>
      <c r="C9" s="1650" t="s">
        <v>143</v>
      </c>
      <c r="D9" s="1666">
        <v>175601390.81</v>
      </c>
      <c r="E9" s="1666">
        <v>166058516.5</v>
      </c>
      <c r="F9" s="1666">
        <v>9542874.3100000005</v>
      </c>
      <c r="G9" s="1667">
        <f>E9/D9*100</f>
        <v>94.565604369087623</v>
      </c>
      <c r="H9" s="1667">
        <f>F9/D9*100</f>
        <v>5.4343956309123724</v>
      </c>
    </row>
    <row r="10" spans="1:8">
      <c r="A10" s="1649">
        <v>2</v>
      </c>
      <c r="B10" s="1649">
        <v>62</v>
      </c>
      <c r="C10" s="1650" t="s">
        <v>145</v>
      </c>
      <c r="D10" s="1666">
        <v>199473825.22</v>
      </c>
      <c r="E10" s="1666">
        <v>197869135.78</v>
      </c>
      <c r="F10" s="1666">
        <v>1604689.44</v>
      </c>
      <c r="G10" s="1667">
        <f>E10/D10*100</f>
        <v>99.195538844141481</v>
      </c>
      <c r="H10" s="1667">
        <f>F10/D10*100</f>
        <v>0.80446115585851197</v>
      </c>
    </row>
    <row r="11" spans="1:8">
      <c r="A11" s="1649">
        <v>2</v>
      </c>
      <c r="B11" s="1649">
        <v>64</v>
      </c>
      <c r="C11" s="1650" t="s">
        <v>147</v>
      </c>
      <c r="D11" s="1666">
        <v>1338007476.99</v>
      </c>
      <c r="E11" s="1666">
        <v>1256910073.03</v>
      </c>
      <c r="F11" s="1666">
        <v>81097403.959999993</v>
      </c>
      <c r="G11" s="1667">
        <f t="shared" ref="G11:G74" si="1">E11/D11*100</f>
        <v>93.938942393473184</v>
      </c>
      <c r="H11" s="1667">
        <f t="shared" ref="H11:H74" si="2">F11/D11*100</f>
        <v>6.0610576065268207</v>
      </c>
    </row>
    <row r="12" spans="1:8">
      <c r="A12" s="1649">
        <v>2</v>
      </c>
      <c r="B12" s="1649">
        <v>65</v>
      </c>
      <c r="C12" s="1650" t="s">
        <v>149</v>
      </c>
      <c r="D12" s="1666">
        <v>157523035.28999999</v>
      </c>
      <c r="E12" s="1666">
        <v>152110301.66</v>
      </c>
      <c r="F12" s="1666">
        <v>5412733.6299999999</v>
      </c>
      <c r="G12" s="1667">
        <f t="shared" si="1"/>
        <v>96.563846284427441</v>
      </c>
      <c r="H12" s="1667">
        <f t="shared" si="2"/>
        <v>3.4361537155725541</v>
      </c>
    </row>
    <row r="13" spans="1:8">
      <c r="A13" s="1649">
        <v>4</v>
      </c>
      <c r="B13" s="1649">
        <v>61</v>
      </c>
      <c r="C13" s="1650" t="s">
        <v>150</v>
      </c>
      <c r="D13" s="1666">
        <v>651840561.88999999</v>
      </c>
      <c r="E13" s="1666">
        <v>629632956.39999998</v>
      </c>
      <c r="F13" s="1666">
        <v>22207605.489999998</v>
      </c>
      <c r="G13" s="1667">
        <f t="shared" si="1"/>
        <v>96.593092423458671</v>
      </c>
      <c r="H13" s="1667">
        <f t="shared" si="2"/>
        <v>3.4069075765413319</v>
      </c>
    </row>
    <row r="14" spans="1:8">
      <c r="A14" s="1649">
        <v>4</v>
      </c>
      <c r="B14" s="1649">
        <v>62</v>
      </c>
      <c r="C14" s="1650" t="s">
        <v>151</v>
      </c>
      <c r="D14" s="1666">
        <v>221976228.31999999</v>
      </c>
      <c r="E14" s="1666">
        <v>218970207.83000001</v>
      </c>
      <c r="F14" s="1666">
        <v>3006020.49</v>
      </c>
      <c r="G14" s="1667">
        <f t="shared" si="1"/>
        <v>98.645791708080338</v>
      </c>
      <c r="H14" s="1667">
        <f t="shared" si="2"/>
        <v>1.3542082919196796</v>
      </c>
    </row>
    <row r="15" spans="1:8">
      <c r="A15" s="1649">
        <v>4</v>
      </c>
      <c r="B15" s="1649">
        <v>63</v>
      </c>
      <c r="C15" s="1650" t="s">
        <v>153</v>
      </c>
      <c r="D15" s="1666">
        <v>406532498.66000003</v>
      </c>
      <c r="E15" s="1666">
        <v>400700920.72000003</v>
      </c>
      <c r="F15" s="1666">
        <v>5831577.9400000004</v>
      </c>
      <c r="G15" s="1667">
        <f t="shared" si="1"/>
        <v>98.565532163056616</v>
      </c>
      <c r="H15" s="1667">
        <f t="shared" si="2"/>
        <v>1.4344678369433856</v>
      </c>
    </row>
    <row r="16" spans="1:8">
      <c r="A16" s="1649">
        <v>4</v>
      </c>
      <c r="B16" s="1649">
        <v>64</v>
      </c>
      <c r="C16" s="1650" t="s">
        <v>154</v>
      </c>
      <c r="D16" s="1666">
        <v>250013797.02000001</v>
      </c>
      <c r="E16" s="1666">
        <v>243234056.66999999</v>
      </c>
      <c r="F16" s="1666">
        <v>6779740.3499999996</v>
      </c>
      <c r="G16" s="1667">
        <f t="shared" si="1"/>
        <v>97.28825351608188</v>
      </c>
      <c r="H16" s="1667">
        <f t="shared" si="2"/>
        <v>2.7117464839181054</v>
      </c>
    </row>
    <row r="17" spans="1:8">
      <c r="A17" s="1649">
        <v>6</v>
      </c>
      <c r="B17" s="1649">
        <v>61</v>
      </c>
      <c r="C17" s="1650" t="s">
        <v>155</v>
      </c>
      <c r="D17" s="1666">
        <v>141685145.02000001</v>
      </c>
      <c r="E17" s="1666">
        <v>141177218.13999999</v>
      </c>
      <c r="F17" s="1666">
        <v>507926.88</v>
      </c>
      <c r="G17" s="1667">
        <f t="shared" si="1"/>
        <v>99.64151013860463</v>
      </c>
      <c r="H17" s="1667">
        <f t="shared" si="2"/>
        <v>0.35848986139535094</v>
      </c>
    </row>
    <row r="18" spans="1:8">
      <c r="A18" s="1649">
        <v>6</v>
      </c>
      <c r="B18" s="1649">
        <v>62</v>
      </c>
      <c r="C18" s="1650" t="s">
        <v>156</v>
      </c>
      <c r="D18" s="1666">
        <v>177216089.37</v>
      </c>
      <c r="E18" s="1666">
        <v>164624274.44999999</v>
      </c>
      <c r="F18" s="1666">
        <v>12591814.92</v>
      </c>
      <c r="G18" s="1667">
        <f t="shared" si="1"/>
        <v>92.894654788533202</v>
      </c>
      <c r="H18" s="1667">
        <f t="shared" si="2"/>
        <v>7.1053452114667888</v>
      </c>
    </row>
    <row r="19" spans="1:8">
      <c r="A19" s="1649">
        <v>6</v>
      </c>
      <c r="B19" s="1649">
        <v>63</v>
      </c>
      <c r="C19" s="1650" t="s">
        <v>157</v>
      </c>
      <c r="D19" s="1666">
        <v>807297165.52999997</v>
      </c>
      <c r="E19" s="1666">
        <v>768460495</v>
      </c>
      <c r="F19" s="1666">
        <v>38836670.530000001</v>
      </c>
      <c r="G19" s="1667">
        <f t="shared" si="1"/>
        <v>95.189296805656042</v>
      </c>
      <c r="H19" s="1667">
        <f t="shared" si="2"/>
        <v>4.8107031943439651</v>
      </c>
    </row>
    <row r="20" spans="1:8">
      <c r="A20" s="1649">
        <v>6</v>
      </c>
      <c r="B20" s="1649">
        <v>64</v>
      </c>
      <c r="C20" s="1650" t="s">
        <v>158</v>
      </c>
      <c r="D20" s="1666">
        <v>183956711.78999999</v>
      </c>
      <c r="E20" s="1666">
        <v>179402156.40000001</v>
      </c>
      <c r="F20" s="1666">
        <v>4554555.3899999997</v>
      </c>
      <c r="G20" s="1667">
        <f t="shared" si="1"/>
        <v>97.52411567608398</v>
      </c>
      <c r="H20" s="1667">
        <f t="shared" si="2"/>
        <v>2.4758843239160293</v>
      </c>
    </row>
    <row r="21" spans="1:8">
      <c r="A21" s="1649">
        <v>8</v>
      </c>
      <c r="B21" s="1649">
        <v>61</v>
      </c>
      <c r="C21" s="1650" t="s">
        <v>159</v>
      </c>
      <c r="D21" s="1666">
        <v>297921121.80000001</v>
      </c>
      <c r="E21" s="1666">
        <v>253163016.81999999</v>
      </c>
      <c r="F21" s="1666">
        <v>44758104.979999997</v>
      </c>
      <c r="G21" s="1667">
        <f t="shared" si="1"/>
        <v>84.976525091749963</v>
      </c>
      <c r="H21" s="1667">
        <f t="shared" si="2"/>
        <v>15.023474908250027</v>
      </c>
    </row>
    <row r="22" spans="1:8">
      <c r="A22" s="1649">
        <v>8</v>
      </c>
      <c r="B22" s="1649">
        <v>62</v>
      </c>
      <c r="C22" s="1650" t="s">
        <v>160</v>
      </c>
      <c r="D22" s="1666">
        <v>303078066.06999999</v>
      </c>
      <c r="E22" s="1666">
        <v>300264889.27999997</v>
      </c>
      <c r="F22" s="1666">
        <v>2813176.79</v>
      </c>
      <c r="G22" s="1667">
        <f t="shared" si="1"/>
        <v>99.071797960677799</v>
      </c>
      <c r="H22" s="1667">
        <f t="shared" si="2"/>
        <v>0.92820203932219192</v>
      </c>
    </row>
    <row r="23" spans="1:8">
      <c r="A23" s="1649">
        <v>10</v>
      </c>
      <c r="B23" s="1649">
        <v>61</v>
      </c>
      <c r="C23" s="1650" t="s">
        <v>161</v>
      </c>
      <c r="D23" s="1666">
        <v>1102866406.29</v>
      </c>
      <c r="E23" s="1666">
        <v>1085193854.3499999</v>
      </c>
      <c r="F23" s="1666">
        <v>17672551.940000001</v>
      </c>
      <c r="G23" s="1667">
        <f t="shared" si="1"/>
        <v>98.397579993441838</v>
      </c>
      <c r="H23" s="1667">
        <f t="shared" si="2"/>
        <v>1.6024200065581635</v>
      </c>
    </row>
    <row r="24" spans="1:8">
      <c r="A24" s="1649">
        <v>10</v>
      </c>
      <c r="B24" s="1649">
        <v>62</v>
      </c>
      <c r="C24" s="1650" t="s">
        <v>162</v>
      </c>
      <c r="D24" s="1666">
        <v>176820297.25</v>
      </c>
      <c r="E24" s="1666">
        <v>175510650.46000001</v>
      </c>
      <c r="F24" s="1666">
        <v>1309646.79</v>
      </c>
      <c r="G24" s="1667">
        <f t="shared" si="1"/>
        <v>99.259334584112636</v>
      </c>
      <c r="H24" s="1667">
        <f t="shared" si="2"/>
        <v>0.74066541588737211</v>
      </c>
    </row>
    <row r="25" spans="1:8">
      <c r="A25" s="1649">
        <v>10</v>
      </c>
      <c r="B25" s="1649">
        <v>63</v>
      </c>
      <c r="C25" s="1650" t="s">
        <v>163</v>
      </c>
      <c r="D25" s="1666">
        <v>113698355.73999999</v>
      </c>
      <c r="E25" s="1666">
        <v>112615671.23</v>
      </c>
      <c r="F25" s="1666">
        <v>1082684.51</v>
      </c>
      <c r="G25" s="1667">
        <f t="shared" si="1"/>
        <v>99.047757108752023</v>
      </c>
      <c r="H25" s="1667">
        <f t="shared" si="2"/>
        <v>0.95224289124798911</v>
      </c>
    </row>
    <row r="26" spans="1:8">
      <c r="A26" s="1649">
        <v>12</v>
      </c>
      <c r="B26" s="1649">
        <v>61</v>
      </c>
      <c r="C26" s="1650" t="s">
        <v>164</v>
      </c>
      <c r="D26" s="1666">
        <v>1656958268.5799999</v>
      </c>
      <c r="E26" s="1666">
        <v>1556913581.0899999</v>
      </c>
      <c r="F26" s="1666">
        <v>100044687.48999999</v>
      </c>
      <c r="G26" s="1667">
        <f t="shared" si="1"/>
        <v>93.962148028282115</v>
      </c>
      <c r="H26" s="1667">
        <f t="shared" si="2"/>
        <v>6.0378519717178811</v>
      </c>
    </row>
    <row r="27" spans="1:8">
      <c r="A27" s="1649">
        <v>12</v>
      </c>
      <c r="B27" s="1649">
        <v>62</v>
      </c>
      <c r="C27" s="1650" t="s">
        <v>165</v>
      </c>
      <c r="D27" s="1666">
        <v>236878329.43000001</v>
      </c>
      <c r="E27" s="1666">
        <v>230698560.25</v>
      </c>
      <c r="F27" s="1666">
        <v>6179769.1799999997</v>
      </c>
      <c r="G27" s="1667">
        <f t="shared" si="1"/>
        <v>97.391163136420971</v>
      </c>
      <c r="H27" s="1667">
        <f t="shared" si="2"/>
        <v>2.6088368635790236</v>
      </c>
    </row>
    <row r="28" spans="1:8">
      <c r="A28" s="1649">
        <v>12</v>
      </c>
      <c r="B28" s="1649">
        <v>63</v>
      </c>
      <c r="C28" s="1650" t="s">
        <v>166</v>
      </c>
      <c r="D28" s="1666">
        <v>289244115.26999998</v>
      </c>
      <c r="E28" s="1666">
        <v>287762351.22000003</v>
      </c>
      <c r="F28" s="1666">
        <v>1481764.05</v>
      </c>
      <c r="G28" s="1667">
        <f t="shared" si="1"/>
        <v>99.487711600072913</v>
      </c>
      <c r="H28" s="1667">
        <f t="shared" si="2"/>
        <v>0.51228839992710706</v>
      </c>
    </row>
    <row r="29" spans="1:8">
      <c r="A29" s="1649">
        <v>14</v>
      </c>
      <c r="B29" s="1649">
        <v>61</v>
      </c>
      <c r="C29" s="1650" t="s">
        <v>167</v>
      </c>
      <c r="D29" s="1666">
        <v>139922687.81</v>
      </c>
      <c r="E29" s="1666">
        <v>137468685.19999999</v>
      </c>
      <c r="F29" s="1666">
        <v>2454002.61</v>
      </c>
      <c r="G29" s="1667">
        <f t="shared" si="1"/>
        <v>98.246172476809278</v>
      </c>
      <c r="H29" s="1667">
        <f t="shared" si="2"/>
        <v>1.7538275231907152</v>
      </c>
    </row>
    <row r="30" spans="1:8">
      <c r="A30" s="1649">
        <v>14</v>
      </c>
      <c r="B30" s="1649">
        <v>62</v>
      </c>
      <c r="C30" s="1650" t="s">
        <v>168</v>
      </c>
      <c r="D30" s="1666">
        <v>326209754.06</v>
      </c>
      <c r="E30" s="1666">
        <v>314972703.44</v>
      </c>
      <c r="F30" s="1666">
        <v>11237050.619999999</v>
      </c>
      <c r="G30" s="1667">
        <f t="shared" si="1"/>
        <v>96.555268357201498</v>
      </c>
      <c r="H30" s="1667">
        <f t="shared" si="2"/>
        <v>3.4447316427985042</v>
      </c>
    </row>
    <row r="31" spans="1:8">
      <c r="A31" s="1649">
        <v>14</v>
      </c>
      <c r="B31" s="1649">
        <v>63</v>
      </c>
      <c r="C31" s="1650" t="s">
        <v>169</v>
      </c>
      <c r="D31" s="1666">
        <v>500508985.45999998</v>
      </c>
      <c r="E31" s="1666">
        <v>495012320.85000002</v>
      </c>
      <c r="F31" s="1666">
        <v>5496664.6100000003</v>
      </c>
      <c r="G31" s="1667">
        <f t="shared" si="1"/>
        <v>98.901785028904484</v>
      </c>
      <c r="H31" s="1667">
        <f t="shared" si="2"/>
        <v>1.0982149710955162</v>
      </c>
    </row>
    <row r="32" spans="1:8">
      <c r="A32" s="1649">
        <v>14</v>
      </c>
      <c r="B32" s="1649">
        <v>64</v>
      </c>
      <c r="C32" s="1650" t="s">
        <v>170</v>
      </c>
      <c r="D32" s="1666">
        <v>225173095.87</v>
      </c>
      <c r="E32" s="1666">
        <v>221500252.86000001</v>
      </c>
      <c r="F32" s="1666">
        <v>3672843.01</v>
      </c>
      <c r="G32" s="1667">
        <f t="shared" si="1"/>
        <v>98.368880173801742</v>
      </c>
      <c r="H32" s="1667">
        <f t="shared" si="2"/>
        <v>1.6311198261982665</v>
      </c>
    </row>
    <row r="33" spans="1:8">
      <c r="A33" s="1649">
        <v>14</v>
      </c>
      <c r="B33" s="1649">
        <v>65</v>
      </c>
      <c r="C33" s="1650" t="s">
        <v>701</v>
      </c>
      <c r="D33" s="1666">
        <v>3979640647.3299999</v>
      </c>
      <c r="E33" s="1666">
        <v>3794987873.9099998</v>
      </c>
      <c r="F33" s="1666">
        <v>184652773.41999999</v>
      </c>
      <c r="G33" s="1667">
        <f t="shared" si="1"/>
        <v>95.36006414187456</v>
      </c>
      <c r="H33" s="1667">
        <f t="shared" si="2"/>
        <v>4.6399358581254386</v>
      </c>
    </row>
    <row r="34" spans="1:8">
      <c r="A34" s="1649">
        <v>16</v>
      </c>
      <c r="B34" s="1649">
        <v>61</v>
      </c>
      <c r="C34" s="1650" t="s">
        <v>171</v>
      </c>
      <c r="D34" s="1666">
        <v>322486204.60000002</v>
      </c>
      <c r="E34" s="1666">
        <v>309527073.94</v>
      </c>
      <c r="F34" s="1666">
        <v>12959130.66</v>
      </c>
      <c r="G34" s="1667">
        <f t="shared" si="1"/>
        <v>95.981493014228604</v>
      </c>
      <c r="H34" s="1667">
        <f t="shared" si="2"/>
        <v>4.018506985771384</v>
      </c>
    </row>
    <row r="35" spans="1:8">
      <c r="A35" s="1649">
        <v>18</v>
      </c>
      <c r="B35" s="1649">
        <v>61</v>
      </c>
      <c r="C35" s="1650" t="s">
        <v>172</v>
      </c>
      <c r="D35" s="1666">
        <v>129825248.98</v>
      </c>
      <c r="E35" s="1666">
        <v>127129526.08</v>
      </c>
      <c r="F35" s="1666">
        <v>2695722.9</v>
      </c>
      <c r="G35" s="1667">
        <f t="shared" si="1"/>
        <v>97.923575790395518</v>
      </c>
      <c r="H35" s="1667">
        <f t="shared" si="2"/>
        <v>2.0764242096044696</v>
      </c>
    </row>
    <row r="36" spans="1:8">
      <c r="A36" s="1649">
        <v>18</v>
      </c>
      <c r="B36" s="1649">
        <v>62</v>
      </c>
      <c r="C36" s="1650" t="s">
        <v>173</v>
      </c>
      <c r="D36" s="1666">
        <v>153790787.59</v>
      </c>
      <c r="E36" s="1666">
        <v>153073539.34</v>
      </c>
      <c r="F36" s="1666">
        <v>717248.25</v>
      </c>
      <c r="G36" s="1667">
        <f t="shared" si="1"/>
        <v>99.533620796642154</v>
      </c>
      <c r="H36" s="1667">
        <f t="shared" si="2"/>
        <v>0.46637920335784655</v>
      </c>
    </row>
    <row r="37" spans="1:8">
      <c r="A37" s="1649">
        <v>18</v>
      </c>
      <c r="B37" s="1649">
        <v>63</v>
      </c>
      <c r="C37" s="1650" t="s">
        <v>174</v>
      </c>
      <c r="D37" s="1666">
        <v>519217783.70999998</v>
      </c>
      <c r="E37" s="1666">
        <v>497015672.67000002</v>
      </c>
      <c r="F37" s="1666">
        <v>22202111.039999999</v>
      </c>
      <c r="G37" s="1667">
        <f t="shared" si="1"/>
        <v>95.723930932920325</v>
      </c>
      <c r="H37" s="1667">
        <f t="shared" si="2"/>
        <v>4.2760690670796828</v>
      </c>
    </row>
    <row r="38" spans="1:8">
      <c r="A38" s="1649">
        <v>18</v>
      </c>
      <c r="B38" s="1649">
        <v>64</v>
      </c>
      <c r="C38" s="1650" t="s">
        <v>175</v>
      </c>
      <c r="D38" s="1666">
        <v>111727949.59</v>
      </c>
      <c r="E38" s="1666">
        <v>111579181.06</v>
      </c>
      <c r="F38" s="1666">
        <v>148768.53</v>
      </c>
      <c r="G38" s="1667">
        <f t="shared" si="1"/>
        <v>99.866847525130538</v>
      </c>
      <c r="H38" s="1667">
        <f t="shared" si="2"/>
        <v>0.13315247486947102</v>
      </c>
    </row>
    <row r="39" spans="1:8">
      <c r="A39" s="1649">
        <v>20</v>
      </c>
      <c r="B39" s="1649">
        <v>61</v>
      </c>
      <c r="C39" s="1650" t="s">
        <v>176</v>
      </c>
      <c r="D39" s="1666">
        <v>763223177.85000002</v>
      </c>
      <c r="E39" s="1666">
        <v>712448795.26999998</v>
      </c>
      <c r="F39" s="1666">
        <v>50774382.579999998</v>
      </c>
      <c r="G39" s="1667">
        <f t="shared" si="1"/>
        <v>93.34737412940845</v>
      </c>
      <c r="H39" s="1667">
        <f t="shared" si="2"/>
        <v>6.6526258705915424</v>
      </c>
    </row>
    <row r="40" spans="1:8">
      <c r="A40" s="1649">
        <v>20</v>
      </c>
      <c r="B40" s="1649">
        <v>62</v>
      </c>
      <c r="C40" s="1650" t="s">
        <v>177</v>
      </c>
      <c r="D40" s="1666">
        <v>154919106.59999999</v>
      </c>
      <c r="E40" s="1666">
        <v>150334868.19999999</v>
      </c>
      <c r="F40" s="1666">
        <v>4584238.4000000004</v>
      </c>
      <c r="G40" s="1667">
        <f t="shared" si="1"/>
        <v>97.040882496284681</v>
      </c>
      <c r="H40" s="1667">
        <f t="shared" si="2"/>
        <v>2.9591175037153232</v>
      </c>
    </row>
    <row r="41" spans="1:8">
      <c r="A41" s="1649">
        <v>20</v>
      </c>
      <c r="B41" s="1649">
        <v>63</v>
      </c>
      <c r="C41" s="1650" t="s">
        <v>178</v>
      </c>
      <c r="D41" s="1666">
        <v>149456999.41</v>
      </c>
      <c r="E41" s="1666">
        <v>146921202.77000001</v>
      </c>
      <c r="F41" s="1666">
        <v>2535796.64</v>
      </c>
      <c r="G41" s="1667">
        <f t="shared" si="1"/>
        <v>98.303326943528674</v>
      </c>
      <c r="H41" s="1667">
        <f t="shared" si="2"/>
        <v>1.6966730564713404</v>
      </c>
    </row>
    <row r="42" spans="1:8">
      <c r="A42" s="1649">
        <v>22</v>
      </c>
      <c r="B42" s="1649">
        <v>61</v>
      </c>
      <c r="C42" s="1650" t="s">
        <v>179</v>
      </c>
      <c r="D42" s="1666">
        <v>1042402401.13</v>
      </c>
      <c r="E42" s="1666">
        <v>974850522.59000003</v>
      </c>
      <c r="F42" s="1666">
        <v>67551878.540000007</v>
      </c>
      <c r="G42" s="1667">
        <f t="shared" si="1"/>
        <v>93.519596801890387</v>
      </c>
      <c r="H42" s="1667">
        <f t="shared" si="2"/>
        <v>6.480403198109622</v>
      </c>
    </row>
    <row r="43" spans="1:8">
      <c r="A43" s="1649">
        <v>22</v>
      </c>
      <c r="B43" s="1649">
        <v>62</v>
      </c>
      <c r="C43" s="1650" t="s">
        <v>180</v>
      </c>
      <c r="D43" s="1666">
        <v>467672172.23000002</v>
      </c>
      <c r="E43" s="1666">
        <v>452540136.22000003</v>
      </c>
      <c r="F43" s="1666">
        <v>15132036.01</v>
      </c>
      <c r="G43" s="1667">
        <f t="shared" si="1"/>
        <v>96.764392472221317</v>
      </c>
      <c r="H43" s="1667">
        <f t="shared" si="2"/>
        <v>3.2356075277786895</v>
      </c>
    </row>
    <row r="44" spans="1:8">
      <c r="A44" s="1649">
        <v>22</v>
      </c>
      <c r="B44" s="1649">
        <v>63</v>
      </c>
      <c r="C44" s="1650" t="s">
        <v>181</v>
      </c>
      <c r="D44" s="1666">
        <v>199922745.41999999</v>
      </c>
      <c r="E44" s="1666">
        <v>196048099.38999999</v>
      </c>
      <c r="F44" s="1666">
        <v>3874646.03</v>
      </c>
      <c r="G44" s="1667">
        <f t="shared" si="1"/>
        <v>98.061928360447382</v>
      </c>
      <c r="H44" s="1667">
        <f t="shared" si="2"/>
        <v>1.9380716395526176</v>
      </c>
    </row>
    <row r="45" spans="1:8">
      <c r="A45" s="1649">
        <v>22</v>
      </c>
      <c r="B45" s="1649">
        <v>64</v>
      </c>
      <c r="C45" s="1650" t="s">
        <v>182</v>
      </c>
      <c r="D45" s="1666">
        <v>72480828.109999999</v>
      </c>
      <c r="E45" s="1666">
        <v>71568466.640000001</v>
      </c>
      <c r="F45" s="1666">
        <v>912361.47</v>
      </c>
      <c r="G45" s="1667">
        <f t="shared" si="1"/>
        <v>98.741237519230111</v>
      </c>
      <c r="H45" s="1667">
        <f t="shared" si="2"/>
        <v>1.2587624807698958</v>
      </c>
    </row>
    <row r="46" spans="1:8">
      <c r="A46" s="1649">
        <v>24</v>
      </c>
      <c r="B46" s="1649">
        <v>61</v>
      </c>
      <c r="C46" s="1650" t="s">
        <v>183</v>
      </c>
      <c r="D46" s="1666">
        <v>410127478.04000002</v>
      </c>
      <c r="E46" s="1666">
        <v>395598277.70999998</v>
      </c>
      <c r="F46" s="1666">
        <v>14529200.33</v>
      </c>
      <c r="G46" s="1667">
        <f t="shared" si="1"/>
        <v>96.457394076730694</v>
      </c>
      <c r="H46" s="1667">
        <f t="shared" si="2"/>
        <v>3.5426059232692908</v>
      </c>
    </row>
    <row r="47" spans="1:8">
      <c r="A47" s="1649">
        <v>24</v>
      </c>
      <c r="B47" s="1649">
        <v>62</v>
      </c>
      <c r="C47" s="1650" t="s">
        <v>184</v>
      </c>
      <c r="D47" s="1666">
        <v>285680612.94</v>
      </c>
      <c r="E47" s="1666">
        <v>272282358.17000002</v>
      </c>
      <c r="F47" s="1666">
        <v>13398254.77</v>
      </c>
      <c r="G47" s="1667">
        <f t="shared" si="1"/>
        <v>95.310058098757324</v>
      </c>
      <c r="H47" s="1667">
        <f t="shared" si="2"/>
        <v>4.6899419012426877</v>
      </c>
    </row>
    <row r="48" spans="1:8">
      <c r="A48" s="1649">
        <v>24</v>
      </c>
      <c r="B48" s="1649">
        <v>63</v>
      </c>
      <c r="C48" s="1650" t="s">
        <v>185</v>
      </c>
      <c r="D48" s="1666">
        <v>217259976.81</v>
      </c>
      <c r="E48" s="1666">
        <v>216106641.44999999</v>
      </c>
      <c r="F48" s="1666">
        <v>1153335.3600000001</v>
      </c>
      <c r="G48" s="1667">
        <f t="shared" si="1"/>
        <v>99.469145041376564</v>
      </c>
      <c r="H48" s="1667">
        <f t="shared" si="2"/>
        <v>0.53085495862343046</v>
      </c>
    </row>
    <row r="49" spans="1:8">
      <c r="A49" s="1649">
        <v>24</v>
      </c>
      <c r="B49" s="1649">
        <v>64</v>
      </c>
      <c r="C49" s="1650" t="s">
        <v>186</v>
      </c>
      <c r="D49" s="1666">
        <v>499299759.19999999</v>
      </c>
      <c r="E49" s="1666">
        <v>482007700.88999999</v>
      </c>
      <c r="F49" s="1666">
        <v>17292058.309999999</v>
      </c>
      <c r="G49" s="1667">
        <f t="shared" si="1"/>
        <v>96.536738103437884</v>
      </c>
      <c r="H49" s="1667">
        <f t="shared" si="2"/>
        <v>3.4632618965621162</v>
      </c>
    </row>
    <row r="50" spans="1:8">
      <c r="A50" s="1649">
        <v>24</v>
      </c>
      <c r="B50" s="1649">
        <v>65</v>
      </c>
      <c r="C50" s="1650" t="s">
        <v>187</v>
      </c>
      <c r="D50" s="1666">
        <v>243006062.05000001</v>
      </c>
      <c r="E50" s="1666">
        <v>242709962.24000001</v>
      </c>
      <c r="F50" s="1666">
        <v>296099.81</v>
      </c>
      <c r="G50" s="1667">
        <f t="shared" si="1"/>
        <v>99.878151266062204</v>
      </c>
      <c r="H50" s="1667">
        <f t="shared" si="2"/>
        <v>0.12184873393778779</v>
      </c>
    </row>
    <row r="51" spans="1:8">
      <c r="A51" s="1649">
        <v>24</v>
      </c>
      <c r="B51" s="1649">
        <v>66</v>
      </c>
      <c r="C51" s="1650" t="s">
        <v>189</v>
      </c>
      <c r="D51" s="1666">
        <v>379240170.68000001</v>
      </c>
      <c r="E51" s="1666">
        <v>338740642.62</v>
      </c>
      <c r="F51" s="1666">
        <v>40499528.060000002</v>
      </c>
      <c r="G51" s="1667">
        <f t="shared" si="1"/>
        <v>89.320876006520635</v>
      </c>
      <c r="H51" s="1667">
        <f t="shared" si="2"/>
        <v>10.679123993479372</v>
      </c>
    </row>
    <row r="52" spans="1:8">
      <c r="A52" s="1649">
        <v>24</v>
      </c>
      <c r="B52" s="1649">
        <v>67</v>
      </c>
      <c r="C52" s="1650" t="s">
        <v>700</v>
      </c>
      <c r="D52" s="1666">
        <v>164206541.81999999</v>
      </c>
      <c r="E52" s="1666">
        <v>156176367.68000001</v>
      </c>
      <c r="F52" s="1666">
        <v>8030174.1399999997</v>
      </c>
      <c r="G52" s="1667">
        <f t="shared" si="1"/>
        <v>95.109711189946069</v>
      </c>
      <c r="H52" s="1667">
        <f t="shared" si="2"/>
        <v>4.8902888100539377</v>
      </c>
    </row>
    <row r="53" spans="1:8">
      <c r="A53" s="1649">
        <v>24</v>
      </c>
      <c r="B53" s="1649">
        <v>68</v>
      </c>
      <c r="C53" s="1650" t="s">
        <v>191</v>
      </c>
      <c r="D53" s="1666">
        <v>165646799.44</v>
      </c>
      <c r="E53" s="1666">
        <v>161390558.05000001</v>
      </c>
      <c r="F53" s="1666">
        <v>4256241.3899999997</v>
      </c>
      <c r="G53" s="1667">
        <f t="shared" si="1"/>
        <v>97.430532069204475</v>
      </c>
      <c r="H53" s="1667">
        <f t="shared" si="2"/>
        <v>2.5694679307955361</v>
      </c>
    </row>
    <row r="54" spans="1:8">
      <c r="A54" s="1649">
        <v>24</v>
      </c>
      <c r="B54" s="1649">
        <v>69</v>
      </c>
      <c r="C54" s="1650" t="s">
        <v>193</v>
      </c>
      <c r="D54" s="1666">
        <v>596096335.57000005</v>
      </c>
      <c r="E54" s="1666">
        <v>568295690.87</v>
      </c>
      <c r="F54" s="1666">
        <v>27800644.699999999</v>
      </c>
      <c r="G54" s="1667">
        <f t="shared" si="1"/>
        <v>95.336216138048144</v>
      </c>
      <c r="H54" s="1667">
        <f t="shared" si="2"/>
        <v>4.663783861951849</v>
      </c>
    </row>
    <row r="55" spans="1:8">
      <c r="A55" s="1649">
        <v>24</v>
      </c>
      <c r="B55" s="1649">
        <v>70</v>
      </c>
      <c r="C55" s="1650" t="s">
        <v>195</v>
      </c>
      <c r="D55" s="1666">
        <v>128801319.8</v>
      </c>
      <c r="E55" s="1666">
        <v>127668638.73999999</v>
      </c>
      <c r="F55" s="1666">
        <v>1132681.06</v>
      </c>
      <c r="G55" s="1667">
        <f t="shared" si="1"/>
        <v>99.120598250267307</v>
      </c>
      <c r="H55" s="1667">
        <f t="shared" si="2"/>
        <v>0.87940174973269192</v>
      </c>
    </row>
    <row r="56" spans="1:8">
      <c r="A56" s="1649">
        <v>24</v>
      </c>
      <c r="B56" s="1649">
        <v>71</v>
      </c>
      <c r="C56" s="1650" t="s">
        <v>196</v>
      </c>
      <c r="D56" s="1666">
        <v>83656079.480000004</v>
      </c>
      <c r="E56" s="1666">
        <v>82665226.030000001</v>
      </c>
      <c r="F56" s="1666">
        <v>990853.45</v>
      </c>
      <c r="G56" s="1667">
        <f t="shared" si="1"/>
        <v>98.815563129232117</v>
      </c>
      <c r="H56" s="1667">
        <f t="shared" si="2"/>
        <v>1.1844368707678767</v>
      </c>
    </row>
    <row r="57" spans="1:8">
      <c r="A57" s="1649">
        <v>24</v>
      </c>
      <c r="B57" s="1649">
        <v>72</v>
      </c>
      <c r="C57" s="1650" t="s">
        <v>197</v>
      </c>
      <c r="D57" s="1666">
        <v>262860904.02000001</v>
      </c>
      <c r="E57" s="1666">
        <v>255405544.81999999</v>
      </c>
      <c r="F57" s="1666">
        <v>7455359.2000000002</v>
      </c>
      <c r="G57" s="1667">
        <f t="shared" si="1"/>
        <v>97.163762626551431</v>
      </c>
      <c r="H57" s="1667">
        <f t="shared" si="2"/>
        <v>2.8362373734485646</v>
      </c>
    </row>
    <row r="58" spans="1:8">
      <c r="A58" s="1649">
        <v>24</v>
      </c>
      <c r="B58" s="1649">
        <v>73</v>
      </c>
      <c r="C58" s="1650" t="s">
        <v>198</v>
      </c>
      <c r="D58" s="1666">
        <v>286430434.35000002</v>
      </c>
      <c r="E58" s="1666">
        <v>281695379.63999999</v>
      </c>
      <c r="F58" s="1666">
        <v>4735054.71</v>
      </c>
      <c r="G58" s="1667">
        <f t="shared" si="1"/>
        <v>98.346874444140212</v>
      </c>
      <c r="H58" s="1667">
        <f t="shared" si="2"/>
        <v>1.6531255558597728</v>
      </c>
    </row>
    <row r="59" spans="1:8">
      <c r="A59" s="1649">
        <v>24</v>
      </c>
      <c r="B59" s="1649">
        <v>74</v>
      </c>
      <c r="C59" s="1650" t="s">
        <v>199</v>
      </c>
      <c r="D59" s="1666">
        <v>109283416.59999999</v>
      </c>
      <c r="E59" s="1666">
        <v>98246637.760000005</v>
      </c>
      <c r="F59" s="1666">
        <v>11036778.84</v>
      </c>
      <c r="G59" s="1667">
        <f t="shared" si="1"/>
        <v>89.900774350424186</v>
      </c>
      <c r="H59" s="1667">
        <f t="shared" si="2"/>
        <v>10.099225649575821</v>
      </c>
    </row>
    <row r="60" spans="1:8">
      <c r="A60" s="1649">
        <v>24</v>
      </c>
      <c r="B60" s="1649">
        <v>75</v>
      </c>
      <c r="C60" s="1650" t="s">
        <v>200</v>
      </c>
      <c r="D60" s="1666">
        <v>331701341.31999999</v>
      </c>
      <c r="E60" s="1666">
        <v>327091668.07999998</v>
      </c>
      <c r="F60" s="1666">
        <v>4609673.24</v>
      </c>
      <c r="G60" s="1667">
        <f t="shared" si="1"/>
        <v>98.610294061020113</v>
      </c>
      <c r="H60" s="1667">
        <f t="shared" si="2"/>
        <v>1.3897059389798914</v>
      </c>
    </row>
    <row r="61" spans="1:8">
      <c r="A61" s="1649">
        <v>24</v>
      </c>
      <c r="B61" s="1649">
        <v>76</v>
      </c>
      <c r="C61" s="1650" t="s">
        <v>201</v>
      </c>
      <c r="D61" s="1666">
        <v>78017656.709999993</v>
      </c>
      <c r="E61" s="1666">
        <v>74719522.700000003</v>
      </c>
      <c r="F61" s="1666">
        <v>3298134.01</v>
      </c>
      <c r="G61" s="1667">
        <f t="shared" si="1"/>
        <v>95.772580017034471</v>
      </c>
      <c r="H61" s="1667">
        <f t="shared" si="2"/>
        <v>4.2274199829655457</v>
      </c>
    </row>
    <row r="62" spans="1:8">
      <c r="A62" s="1649">
        <v>24</v>
      </c>
      <c r="B62" s="1649">
        <v>77</v>
      </c>
      <c r="C62" s="1650" t="s">
        <v>203</v>
      </c>
      <c r="D62" s="1666">
        <v>264571593.68000001</v>
      </c>
      <c r="E62" s="1666">
        <v>245635860.81999999</v>
      </c>
      <c r="F62" s="1666">
        <v>18935732.859999999</v>
      </c>
      <c r="G62" s="1667">
        <f t="shared" si="1"/>
        <v>92.84287001615796</v>
      </c>
      <c r="H62" s="1667">
        <f t="shared" si="2"/>
        <v>7.1571299838420348</v>
      </c>
    </row>
    <row r="63" spans="1:8">
      <c r="A63" s="1649">
        <v>24</v>
      </c>
      <c r="B63" s="1649">
        <v>78</v>
      </c>
      <c r="C63" s="1650" t="s">
        <v>204</v>
      </c>
      <c r="D63" s="1666">
        <v>293051890.31999999</v>
      </c>
      <c r="E63" s="1666">
        <v>280621414</v>
      </c>
      <c r="F63" s="1666">
        <v>12430476.32</v>
      </c>
      <c r="G63" s="1667">
        <f t="shared" si="1"/>
        <v>95.758267825392124</v>
      </c>
      <c r="H63" s="1667">
        <f t="shared" si="2"/>
        <v>4.2417321746078676</v>
      </c>
    </row>
    <row r="64" spans="1:8">
      <c r="A64" s="1649">
        <v>24</v>
      </c>
      <c r="B64" s="1649">
        <v>79</v>
      </c>
      <c r="C64" s="1650" t="s">
        <v>205</v>
      </c>
      <c r="D64" s="1666">
        <v>141269235.59999999</v>
      </c>
      <c r="E64" s="1666">
        <v>136703053.13999999</v>
      </c>
      <c r="F64" s="1666">
        <v>4566182.46</v>
      </c>
      <c r="G64" s="1667">
        <f t="shared" si="1"/>
        <v>96.767744625638784</v>
      </c>
      <c r="H64" s="1667">
        <f t="shared" si="2"/>
        <v>3.2322553743612108</v>
      </c>
    </row>
    <row r="65" spans="1:8">
      <c r="A65" s="1649">
        <v>26</v>
      </c>
      <c r="B65" s="1649">
        <v>61</v>
      </c>
      <c r="C65" s="1650" t="s">
        <v>206</v>
      </c>
      <c r="D65" s="1666">
        <v>475654201.00999999</v>
      </c>
      <c r="E65" s="1666">
        <v>464436905.29000002</v>
      </c>
      <c r="F65" s="1666">
        <v>11217295.720000001</v>
      </c>
      <c r="G65" s="1667">
        <f t="shared" si="1"/>
        <v>97.641712047075117</v>
      </c>
      <c r="H65" s="1667">
        <f t="shared" si="2"/>
        <v>2.3582879529248966</v>
      </c>
    </row>
    <row r="66" spans="1:8">
      <c r="A66" s="1649">
        <v>28</v>
      </c>
      <c r="B66" s="1649">
        <v>61</v>
      </c>
      <c r="C66" s="1650" t="s">
        <v>207</v>
      </c>
      <c r="D66" s="1666">
        <v>221869950.94</v>
      </c>
      <c r="E66" s="1666">
        <v>221494155.72</v>
      </c>
      <c r="F66" s="1666">
        <v>375795.22</v>
      </c>
      <c r="G66" s="1667">
        <f>E66/D66*100</f>
        <v>99.830623652095355</v>
      </c>
      <c r="H66" s="1667">
        <f t="shared" si="2"/>
        <v>0.16937634790464517</v>
      </c>
    </row>
    <row r="67" spans="1:8">
      <c r="A67" s="1649">
        <v>28</v>
      </c>
      <c r="B67" s="1649">
        <v>62</v>
      </c>
      <c r="C67" s="1650" t="s">
        <v>208</v>
      </c>
      <c r="D67" s="1666">
        <v>417887368.55000001</v>
      </c>
      <c r="E67" s="1666">
        <v>417266174.12</v>
      </c>
      <c r="F67" s="1666">
        <v>621194.43000000005</v>
      </c>
      <c r="G67" s="1667">
        <f t="shared" si="1"/>
        <v>99.851348837808757</v>
      </c>
      <c r="H67" s="1667">
        <f t="shared" si="2"/>
        <v>0.1486511621912483</v>
      </c>
    </row>
    <row r="68" spans="1:8">
      <c r="A68" s="1649">
        <v>30</v>
      </c>
      <c r="B68" s="1649">
        <v>61</v>
      </c>
      <c r="C68" s="1650" t="s">
        <v>209</v>
      </c>
      <c r="D68" s="1666">
        <v>231119156.63</v>
      </c>
      <c r="E68" s="1666">
        <v>227918012.52000001</v>
      </c>
      <c r="F68" s="1666">
        <v>3201144.11</v>
      </c>
      <c r="G68" s="1667">
        <f t="shared" si="1"/>
        <v>98.61493778504709</v>
      </c>
      <c r="H68" s="1667">
        <f t="shared" si="2"/>
        <v>1.3850622149529259</v>
      </c>
    </row>
    <row r="69" spans="1:8">
      <c r="A69" s="1649">
        <v>30</v>
      </c>
      <c r="B69" s="1649">
        <v>62</v>
      </c>
      <c r="C69" s="1650" t="s">
        <v>210</v>
      </c>
      <c r="D69" s="1666">
        <v>189043804.44</v>
      </c>
      <c r="E69" s="1666">
        <v>186616891.65000001</v>
      </c>
      <c r="F69" s="1666">
        <v>2426912.79</v>
      </c>
      <c r="G69" s="1667">
        <f t="shared" si="1"/>
        <v>98.716216700574151</v>
      </c>
      <c r="H69" s="1667">
        <f t="shared" si="2"/>
        <v>1.2837832994258587</v>
      </c>
    </row>
    <row r="70" spans="1:8">
      <c r="A70" s="1649">
        <v>30</v>
      </c>
      <c r="B70" s="1649">
        <v>63</v>
      </c>
      <c r="C70" s="1650" t="s">
        <v>211</v>
      </c>
      <c r="D70" s="1666">
        <v>168142888.03</v>
      </c>
      <c r="E70" s="1666">
        <v>164058776.94999999</v>
      </c>
      <c r="F70" s="1666">
        <v>4084111.08</v>
      </c>
      <c r="G70" s="1667">
        <f t="shared" si="1"/>
        <v>97.571047382467142</v>
      </c>
      <c r="H70" s="1667">
        <f t="shared" si="2"/>
        <v>2.4289526175328415</v>
      </c>
    </row>
    <row r="71" spans="1:8">
      <c r="A71" s="1649">
        <v>30</v>
      </c>
      <c r="B71" s="1649">
        <v>64</v>
      </c>
      <c r="C71" s="1650" t="s">
        <v>212</v>
      </c>
      <c r="D71" s="1666">
        <v>1146482560.8299999</v>
      </c>
      <c r="E71" s="1666">
        <v>1097114803.7</v>
      </c>
      <c r="F71" s="1666">
        <v>49367757.130000003</v>
      </c>
      <c r="G71" s="1667">
        <f t="shared" si="1"/>
        <v>95.693980980028172</v>
      </c>
      <c r="H71" s="1667">
        <f t="shared" si="2"/>
        <v>4.3060190199718384</v>
      </c>
    </row>
    <row r="72" spans="1:8">
      <c r="A72" s="1649">
        <v>32</v>
      </c>
      <c r="B72" s="1649">
        <v>61</v>
      </c>
      <c r="C72" s="1650" t="s">
        <v>213</v>
      </c>
      <c r="D72" s="1666">
        <v>239060150.59999999</v>
      </c>
      <c r="E72" s="1666">
        <v>235432628.56</v>
      </c>
      <c r="F72" s="1666">
        <v>3627522.04</v>
      </c>
      <c r="G72" s="1667">
        <f t="shared" si="1"/>
        <v>98.482590247309915</v>
      </c>
      <c r="H72" s="1667">
        <f t="shared" si="2"/>
        <v>1.5174097526900832</v>
      </c>
    </row>
    <row r="73" spans="1:8">
      <c r="A73" s="1649">
        <v>32</v>
      </c>
      <c r="B73" s="1649">
        <v>62</v>
      </c>
      <c r="C73" s="1650" t="s">
        <v>214</v>
      </c>
      <c r="D73" s="1666">
        <v>781733661.25999999</v>
      </c>
      <c r="E73" s="1666">
        <v>707723618.63</v>
      </c>
      <c r="F73" s="1666">
        <v>74010042.629999995</v>
      </c>
      <c r="G73" s="1667">
        <f t="shared" si="1"/>
        <v>90.532575697110133</v>
      </c>
      <c r="H73" s="1667">
        <f t="shared" si="2"/>
        <v>9.4674243028898672</v>
      </c>
    </row>
    <row r="74" spans="1:8">
      <c r="A74" s="1649">
        <v>32</v>
      </c>
      <c r="B74" s="1649">
        <v>63</v>
      </c>
      <c r="C74" s="1650" t="s">
        <v>215</v>
      </c>
      <c r="D74" s="1666">
        <v>59347941.829999998</v>
      </c>
      <c r="E74" s="1666">
        <v>58153114.189999998</v>
      </c>
      <c r="F74" s="1666">
        <v>1194827.6399999999</v>
      </c>
      <c r="G74" s="1667">
        <f t="shared" si="1"/>
        <v>97.986741236246161</v>
      </c>
      <c r="H74" s="1667">
        <f t="shared" si="2"/>
        <v>2.0132587637538295</v>
      </c>
    </row>
    <row r="75" spans="1:8">
      <c r="A75" s="1573"/>
      <c r="B75" s="1573"/>
      <c r="C75" s="1573"/>
      <c r="D75" s="1573"/>
      <c r="E75" s="1573"/>
      <c r="F75" s="1573"/>
      <c r="G75" s="1573"/>
      <c r="H75" s="1573"/>
    </row>
    <row r="76" spans="1:8">
      <c r="A76" s="2237" t="s">
        <v>1057</v>
      </c>
      <c r="B76" s="2237"/>
      <c r="C76" s="2237"/>
      <c r="D76" s="2237"/>
      <c r="E76" s="2237"/>
      <c r="F76" s="2237"/>
      <c r="G76" s="2237"/>
      <c r="H76" s="2237"/>
    </row>
  </sheetData>
  <mergeCells count="14">
    <mergeCell ref="A76:H76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  <mergeCell ref="F4:F5"/>
    <mergeCell ref="D6:F6"/>
    <mergeCell ref="G6:H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6"/>
  <sheetViews>
    <sheetView showGridLines="0" workbookViewId="0">
      <selection activeCell="J5" sqref="J5"/>
    </sheetView>
  </sheetViews>
  <sheetFormatPr defaultColWidth="9.140625" defaultRowHeight="13.5"/>
  <cols>
    <col min="1" max="1" width="4.85546875" style="865" customWidth="1"/>
    <col min="2" max="2" width="11.5703125" style="865" customWidth="1"/>
    <col min="3" max="3" width="11.5703125" style="865" bestFit="1" customWidth="1"/>
    <col min="4" max="4" width="9.140625" style="865"/>
    <col min="5" max="5" width="38.5703125" style="865" customWidth="1"/>
    <col min="6" max="6" width="15.42578125" style="865" customWidth="1"/>
    <col min="7" max="7" width="18.85546875" style="865" customWidth="1"/>
    <col min="8" max="8" width="17.28515625" style="865" customWidth="1"/>
    <col min="9" max="16384" width="9.140625" style="865"/>
  </cols>
  <sheetData>
    <row r="1" spans="1:8" ht="36.75" customHeight="1">
      <c r="A1" s="2088" t="s">
        <v>1060</v>
      </c>
      <c r="B1" s="2088"/>
      <c r="C1" s="2088"/>
      <c r="D1" s="2088"/>
      <c r="E1" s="2088"/>
      <c r="F1" s="2088"/>
      <c r="G1" s="2088"/>
      <c r="H1" s="2088"/>
    </row>
    <row r="2" spans="1:8">
      <c r="A2" s="955"/>
      <c r="B2" s="955"/>
      <c r="C2" s="955"/>
      <c r="D2" s="955"/>
      <c r="E2" s="955"/>
      <c r="F2" s="955"/>
      <c r="G2" s="955"/>
      <c r="H2" s="955"/>
    </row>
    <row r="3" spans="1:8" ht="26.25" customHeight="1">
      <c r="A3" s="2086" t="s">
        <v>1040</v>
      </c>
      <c r="B3" s="2247"/>
      <c r="C3" s="2247"/>
      <c r="D3" s="2247"/>
      <c r="E3" s="2247"/>
      <c r="F3" s="2247"/>
      <c r="G3" s="2247"/>
      <c r="H3" s="2087"/>
    </row>
    <row r="4" spans="1:8" ht="12.75" customHeight="1">
      <c r="A4" s="2092" t="s">
        <v>741</v>
      </c>
      <c r="B4" s="2100" t="s">
        <v>762</v>
      </c>
      <c r="C4" s="2100"/>
      <c r="D4" s="2100"/>
      <c r="E4" s="2095"/>
      <c r="F4" s="2101" t="s">
        <v>766</v>
      </c>
      <c r="G4" s="2100" t="s">
        <v>743</v>
      </c>
      <c r="H4" s="2095" t="s">
        <v>767</v>
      </c>
    </row>
    <row r="5" spans="1:8" ht="73.150000000000006" customHeight="1">
      <c r="A5" s="2093"/>
      <c r="B5" s="2250"/>
      <c r="C5" s="2250"/>
      <c r="D5" s="2250"/>
      <c r="E5" s="2096"/>
      <c r="F5" s="2102"/>
      <c r="G5" s="2252"/>
      <c r="H5" s="2103"/>
    </row>
    <row r="6" spans="1:8" ht="18.75" customHeight="1">
      <c r="A6" s="2094"/>
      <c r="B6" s="2251"/>
      <c r="C6" s="2251"/>
      <c r="D6" s="2251"/>
      <c r="E6" s="2097"/>
      <c r="F6" s="2104" t="s">
        <v>748</v>
      </c>
      <c r="G6" s="2105"/>
      <c r="H6" s="2106"/>
    </row>
    <row r="7" spans="1:8" ht="54" customHeight="1">
      <c r="A7" s="870" t="s">
        <v>749</v>
      </c>
      <c r="B7" s="2248" t="s">
        <v>1054</v>
      </c>
      <c r="C7" s="2248"/>
      <c r="D7" s="2248"/>
      <c r="E7" s="2249"/>
      <c r="F7" s="873">
        <v>69876876</v>
      </c>
      <c r="G7" s="871">
        <v>132663189</v>
      </c>
      <c r="H7" s="872">
        <f t="shared" ref="H7:H15" si="0">F7/G$16*100</f>
        <v>17.344135479738753</v>
      </c>
    </row>
    <row r="8" spans="1:8" ht="50.45" customHeight="1">
      <c r="A8" s="867" t="s">
        <v>750</v>
      </c>
      <c r="B8" s="2243" t="s">
        <v>1042</v>
      </c>
      <c r="C8" s="2243"/>
      <c r="D8" s="2243"/>
      <c r="E8" s="2244"/>
      <c r="F8" s="874">
        <v>352237</v>
      </c>
      <c r="G8" s="868">
        <v>3735589</v>
      </c>
      <c r="H8" s="869">
        <f t="shared" si="0"/>
        <v>8.7428726049183114E-2</v>
      </c>
    </row>
    <row r="9" spans="1:8" ht="43.15" customHeight="1">
      <c r="A9" s="867" t="s">
        <v>751</v>
      </c>
      <c r="B9" s="2243" t="s">
        <v>1043</v>
      </c>
      <c r="C9" s="2243"/>
      <c r="D9" s="2243"/>
      <c r="E9" s="2244"/>
      <c r="F9" s="874">
        <v>0</v>
      </c>
      <c r="G9" s="868">
        <v>0</v>
      </c>
      <c r="H9" s="869">
        <f t="shared" si="0"/>
        <v>0</v>
      </c>
    </row>
    <row r="10" spans="1:8" ht="55.9" customHeight="1">
      <c r="A10" s="867" t="s">
        <v>752</v>
      </c>
      <c r="B10" s="2243" t="s">
        <v>1044</v>
      </c>
      <c r="C10" s="2243"/>
      <c r="D10" s="2243"/>
      <c r="E10" s="2244"/>
      <c r="F10" s="874">
        <v>9600970</v>
      </c>
      <c r="G10" s="868">
        <v>31837301</v>
      </c>
      <c r="H10" s="869">
        <f t="shared" si="0"/>
        <v>2.3830562261671138</v>
      </c>
    </row>
    <row r="11" spans="1:8" ht="31.15" customHeight="1">
      <c r="A11" s="867" t="s">
        <v>753</v>
      </c>
      <c r="B11" s="2243" t="s">
        <v>754</v>
      </c>
      <c r="C11" s="2243"/>
      <c r="D11" s="2243"/>
      <c r="E11" s="2244"/>
      <c r="F11" s="874">
        <v>12971489</v>
      </c>
      <c r="G11" s="868">
        <v>72805620</v>
      </c>
      <c r="H11" s="869">
        <f t="shared" si="0"/>
        <v>3.2196525584506808</v>
      </c>
    </row>
    <row r="12" spans="1:8" ht="62.25" customHeight="1">
      <c r="A12" s="867" t="s">
        <v>755</v>
      </c>
      <c r="B12" s="2243" t="s">
        <v>1045</v>
      </c>
      <c r="C12" s="2243"/>
      <c r="D12" s="2243"/>
      <c r="E12" s="2244"/>
      <c r="F12" s="874">
        <v>6194798</v>
      </c>
      <c r="G12" s="868">
        <v>20571058</v>
      </c>
      <c r="H12" s="869">
        <f t="shared" si="0"/>
        <v>1.5376104647496642</v>
      </c>
    </row>
    <row r="13" spans="1:8" ht="36" customHeight="1">
      <c r="A13" s="867" t="s">
        <v>756</v>
      </c>
      <c r="B13" s="2243" t="s">
        <v>1055</v>
      </c>
      <c r="C13" s="2243"/>
      <c r="D13" s="2243"/>
      <c r="E13" s="2244"/>
      <c r="F13" s="874">
        <v>48096860</v>
      </c>
      <c r="G13" s="868">
        <v>140854420</v>
      </c>
      <c r="H13" s="869">
        <f t="shared" si="0"/>
        <v>11.938118927784174</v>
      </c>
    </row>
    <row r="14" spans="1:8" ht="36" customHeight="1">
      <c r="A14" s="867" t="s">
        <v>758</v>
      </c>
      <c r="B14" s="2243" t="s">
        <v>757</v>
      </c>
      <c r="C14" s="2243"/>
      <c r="D14" s="2243"/>
      <c r="E14" s="2244"/>
      <c r="F14" s="874">
        <v>0</v>
      </c>
      <c r="G14" s="868">
        <v>57816</v>
      </c>
      <c r="H14" s="869">
        <f t="shared" si="0"/>
        <v>0</v>
      </c>
    </row>
    <row r="15" spans="1:8" ht="26.25" customHeight="1">
      <c r="A15" s="877" t="s">
        <v>1047</v>
      </c>
      <c r="B15" s="2245" t="s">
        <v>1048</v>
      </c>
      <c r="C15" s="2245"/>
      <c r="D15" s="2245"/>
      <c r="E15" s="2246"/>
      <c r="F15" s="879">
        <v>0</v>
      </c>
      <c r="G15" s="880">
        <v>359752</v>
      </c>
      <c r="H15" s="881">
        <f t="shared" si="0"/>
        <v>0</v>
      </c>
    </row>
    <row r="16" spans="1:8" ht="27" customHeight="1">
      <c r="A16" s="2086" t="s">
        <v>759</v>
      </c>
      <c r="B16" s="2247"/>
      <c r="C16" s="2247"/>
      <c r="D16" s="2247"/>
      <c r="E16" s="2087"/>
      <c r="F16" s="882">
        <f>SUM(F7:F15)</f>
        <v>147093230</v>
      </c>
      <c r="G16" s="883">
        <f>SUM(G7:G15)</f>
        <v>402884745</v>
      </c>
      <c r="H16" s="884">
        <f>F16/G16*100</f>
        <v>36.510002382939568</v>
      </c>
    </row>
  </sheetData>
  <mergeCells count="18">
    <mergeCell ref="A1:H1"/>
    <mergeCell ref="A3:H3"/>
    <mergeCell ref="A4:A6"/>
    <mergeCell ref="B4:E6"/>
    <mergeCell ref="F4:F5"/>
    <mergeCell ref="G4:G5"/>
    <mergeCell ref="H4:H5"/>
    <mergeCell ref="F6:H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A16:E16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showGridLines="0" workbookViewId="0">
      <selection activeCell="O3" sqref="O3"/>
    </sheetView>
  </sheetViews>
  <sheetFormatPr defaultColWidth="9.140625" defaultRowHeight="12.75"/>
  <cols>
    <col min="1" max="1" width="5.42578125" style="25" customWidth="1"/>
    <col min="2" max="2" width="17" style="25" customWidth="1"/>
    <col min="3" max="4" width="11.7109375" style="25" bestFit="1" customWidth="1"/>
    <col min="5" max="5" width="10.5703125" style="25" bestFit="1" customWidth="1"/>
    <col min="6" max="6" width="11.7109375" style="25" bestFit="1" customWidth="1"/>
    <col min="7" max="7" width="7.140625" style="25" bestFit="1" customWidth="1"/>
    <col min="8" max="8" width="7.42578125" style="25" bestFit="1" customWidth="1"/>
    <col min="9" max="9" width="11.85546875" style="25" customWidth="1"/>
    <col min="10" max="16384" width="9.140625" style="25"/>
  </cols>
  <sheetData>
    <row r="1" spans="1:9" ht="27" customHeight="1">
      <c r="A1" s="1861" t="s">
        <v>987</v>
      </c>
      <c r="B1" s="1861"/>
      <c r="C1" s="1861"/>
      <c r="D1" s="1861"/>
      <c r="E1" s="1861"/>
      <c r="F1" s="1861"/>
      <c r="G1" s="1861"/>
      <c r="H1" s="1861"/>
      <c r="I1" s="1861"/>
    </row>
    <row r="2" spans="1:9" ht="13.9" customHeight="1">
      <c r="A2" s="340"/>
      <c r="B2" s="340"/>
      <c r="C2" s="340"/>
      <c r="D2" s="340"/>
      <c r="E2" s="340"/>
      <c r="F2" s="340"/>
      <c r="G2" s="340"/>
      <c r="H2" s="340"/>
      <c r="I2" s="340"/>
    </row>
    <row r="3" spans="1:9" ht="16.899999999999999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574">
        <v>2021</v>
      </c>
      <c r="E4" s="326" t="s">
        <v>24</v>
      </c>
      <c r="F4" s="330" t="s">
        <v>25</v>
      </c>
      <c r="G4" s="1856"/>
      <c r="H4" s="326" t="s">
        <v>931</v>
      </c>
      <c r="I4" s="1849"/>
    </row>
    <row r="5" spans="1:9" s="26" customFormat="1" ht="15" customHeight="1">
      <c r="A5" s="1800"/>
      <c r="B5" s="1803"/>
      <c r="C5" s="1850" t="s">
        <v>885</v>
      </c>
      <c r="D5" s="1806"/>
      <c r="E5" s="1806"/>
      <c r="F5" s="1807"/>
      <c r="G5" s="1853" t="s">
        <v>886</v>
      </c>
      <c r="H5" s="1854"/>
      <c r="I5" s="322" t="s">
        <v>885</v>
      </c>
    </row>
    <row r="6" spans="1:9" s="27" customFormat="1" ht="13.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ht="20.45" customHeight="1">
      <c r="A7" s="231"/>
      <c r="B7" s="76" t="s">
        <v>933</v>
      </c>
      <c r="C7" s="567">
        <v>6152377903.5699997</v>
      </c>
      <c r="D7" s="159">
        <v>6129211521.7700005</v>
      </c>
      <c r="E7" s="158">
        <v>548857743.94000006</v>
      </c>
      <c r="F7" s="332">
        <v>5580353777.8299999</v>
      </c>
      <c r="G7" s="328">
        <v>100</v>
      </c>
      <c r="H7" s="150">
        <v>99.6</v>
      </c>
      <c r="I7" s="232">
        <v>160.19999999999999</v>
      </c>
    </row>
    <row r="8" spans="1:9" ht="20.45" customHeight="1">
      <c r="A8" s="233" t="s">
        <v>6</v>
      </c>
      <c r="B8" s="246" t="s">
        <v>26</v>
      </c>
      <c r="C8" s="568">
        <v>429881020</v>
      </c>
      <c r="D8" s="160">
        <v>437032839.01999998</v>
      </c>
      <c r="E8" s="155">
        <v>31031031.850000001</v>
      </c>
      <c r="F8" s="334">
        <v>406001807.16999996</v>
      </c>
      <c r="G8" s="64">
        <v>7.1</v>
      </c>
      <c r="H8" s="157">
        <v>101.7</v>
      </c>
      <c r="I8" s="234">
        <v>151.19999999999999</v>
      </c>
    </row>
    <row r="9" spans="1:9" ht="20.45" customHeight="1">
      <c r="A9" s="233" t="s">
        <v>7</v>
      </c>
      <c r="B9" s="246" t="s">
        <v>42</v>
      </c>
      <c r="C9" s="568">
        <v>399626834.19</v>
      </c>
      <c r="D9" s="160">
        <v>385050162.52999997</v>
      </c>
      <c r="E9" s="155">
        <v>25897586.5</v>
      </c>
      <c r="F9" s="334">
        <v>359152576.02999997</v>
      </c>
      <c r="G9" s="64">
        <v>6.3</v>
      </c>
      <c r="H9" s="157">
        <v>96.4</v>
      </c>
      <c r="I9" s="234">
        <v>186.7</v>
      </c>
    </row>
    <row r="10" spans="1:9" ht="20.45" customHeight="1">
      <c r="A10" s="233" t="s">
        <v>8</v>
      </c>
      <c r="B10" s="246" t="s">
        <v>27</v>
      </c>
      <c r="C10" s="568">
        <v>344556319.72000003</v>
      </c>
      <c r="D10" s="160">
        <v>359833314.08999997</v>
      </c>
      <c r="E10" s="155">
        <v>46915689.780000001</v>
      </c>
      <c r="F10" s="334">
        <v>312917624.30999994</v>
      </c>
      <c r="G10" s="64">
        <v>5.9</v>
      </c>
      <c r="H10" s="157">
        <v>104.4</v>
      </c>
      <c r="I10" s="234">
        <v>171.7</v>
      </c>
    </row>
    <row r="11" spans="1:9" ht="20.45" customHeight="1">
      <c r="A11" s="233" t="s">
        <v>9</v>
      </c>
      <c r="B11" s="246" t="s">
        <v>28</v>
      </c>
      <c r="C11" s="568">
        <v>194075438.90000001</v>
      </c>
      <c r="D11" s="160">
        <v>189710599.94999999</v>
      </c>
      <c r="E11" s="155">
        <v>21427747.16</v>
      </c>
      <c r="F11" s="334">
        <v>168282852.78999999</v>
      </c>
      <c r="G11" s="64">
        <v>3.1</v>
      </c>
      <c r="H11" s="157">
        <v>97.8</v>
      </c>
      <c r="I11" s="234">
        <v>188.4</v>
      </c>
    </row>
    <row r="12" spans="1:9" ht="20.45" customHeight="1">
      <c r="A12" s="233" t="s">
        <v>1</v>
      </c>
      <c r="B12" s="246" t="s">
        <v>29</v>
      </c>
      <c r="C12" s="568">
        <v>407231307.98000002</v>
      </c>
      <c r="D12" s="160">
        <v>386644469.39999998</v>
      </c>
      <c r="E12" s="155">
        <v>16731872.199999999</v>
      </c>
      <c r="F12" s="334">
        <v>369912597.19999999</v>
      </c>
      <c r="G12" s="64">
        <v>6.3</v>
      </c>
      <c r="H12" s="157">
        <v>94.9</v>
      </c>
      <c r="I12" s="234">
        <v>158.6</v>
      </c>
    </row>
    <row r="13" spans="1:9" ht="20.45" customHeight="1">
      <c r="A13" s="233" t="s">
        <v>2</v>
      </c>
      <c r="B13" s="246" t="s">
        <v>30</v>
      </c>
      <c r="C13" s="568">
        <v>525982194.31999999</v>
      </c>
      <c r="D13" s="160">
        <v>567976930.21000004</v>
      </c>
      <c r="E13" s="155">
        <v>60365098.420000002</v>
      </c>
      <c r="F13" s="334">
        <v>507611831.79000002</v>
      </c>
      <c r="G13" s="64">
        <v>9.1999999999999993</v>
      </c>
      <c r="H13" s="157">
        <v>108</v>
      </c>
      <c r="I13" s="234">
        <v>166.5</v>
      </c>
    </row>
    <row r="14" spans="1:9" ht="20.45" customHeight="1">
      <c r="A14" s="233" t="s">
        <v>10</v>
      </c>
      <c r="B14" s="246" t="s">
        <v>31</v>
      </c>
      <c r="C14" s="568">
        <v>821579639.15999997</v>
      </c>
      <c r="D14" s="160">
        <v>777680867.64999998</v>
      </c>
      <c r="E14" s="155">
        <v>70350390.769999996</v>
      </c>
      <c r="F14" s="334">
        <v>707330476.88</v>
      </c>
      <c r="G14" s="64">
        <v>12.7</v>
      </c>
      <c r="H14" s="157">
        <v>94.7</v>
      </c>
      <c r="I14" s="234">
        <v>143.4</v>
      </c>
    </row>
    <row r="15" spans="1:9" ht="20.45" customHeight="1">
      <c r="A15" s="233" t="s">
        <v>11</v>
      </c>
      <c r="B15" s="246" t="s">
        <v>32</v>
      </c>
      <c r="C15" s="568">
        <v>155721016.66</v>
      </c>
      <c r="D15" s="160">
        <v>158506129.47</v>
      </c>
      <c r="E15" s="155">
        <v>12059756.130000001</v>
      </c>
      <c r="F15" s="334">
        <v>146446373.34</v>
      </c>
      <c r="G15" s="64">
        <v>2.6</v>
      </c>
      <c r="H15" s="157">
        <v>101.8</v>
      </c>
      <c r="I15" s="234">
        <v>162.30000000000001</v>
      </c>
    </row>
    <row r="16" spans="1:9" ht="20.45" customHeight="1">
      <c r="A16" s="233" t="s">
        <v>12</v>
      </c>
      <c r="B16" s="246" t="s">
        <v>33</v>
      </c>
      <c r="C16" s="568">
        <v>403115655.83999997</v>
      </c>
      <c r="D16" s="160">
        <v>371953114.63999999</v>
      </c>
      <c r="E16" s="155">
        <v>43336193.950000003</v>
      </c>
      <c r="F16" s="334">
        <v>328616920.69</v>
      </c>
      <c r="G16" s="64">
        <v>6.1</v>
      </c>
      <c r="H16" s="157">
        <v>92.3</v>
      </c>
      <c r="I16" s="234">
        <v>175.3</v>
      </c>
    </row>
    <row r="17" spans="1:9" ht="20.45" customHeight="1">
      <c r="A17" s="233" t="s">
        <v>13</v>
      </c>
      <c r="B17" s="246" t="s">
        <v>34</v>
      </c>
      <c r="C17" s="568">
        <v>227496212.94999999</v>
      </c>
      <c r="D17" s="160">
        <v>220883808.78999999</v>
      </c>
      <c r="E17" s="155">
        <v>22355700.109999999</v>
      </c>
      <c r="F17" s="334">
        <v>198528108.68000001</v>
      </c>
      <c r="G17" s="64">
        <v>3.6</v>
      </c>
      <c r="H17" s="157">
        <v>97.1</v>
      </c>
      <c r="I17" s="234">
        <v>188.3</v>
      </c>
    </row>
    <row r="18" spans="1:9" ht="20.45" customHeight="1">
      <c r="A18" s="233" t="s">
        <v>14</v>
      </c>
      <c r="B18" s="246" t="s">
        <v>35</v>
      </c>
      <c r="C18" s="568">
        <v>367754375.51999998</v>
      </c>
      <c r="D18" s="160">
        <v>391462858.88999999</v>
      </c>
      <c r="E18" s="155">
        <v>51372696.119999997</v>
      </c>
      <c r="F18" s="334">
        <v>340090162.76999998</v>
      </c>
      <c r="G18" s="64">
        <v>6.4</v>
      </c>
      <c r="H18" s="157">
        <v>106.4</v>
      </c>
      <c r="I18" s="234">
        <v>166.8</v>
      </c>
    </row>
    <row r="19" spans="1:9" ht="20.45" customHeight="1">
      <c r="A19" s="233" t="s">
        <v>15</v>
      </c>
      <c r="B19" s="246" t="s">
        <v>36</v>
      </c>
      <c r="C19" s="568">
        <v>554266119.58000004</v>
      </c>
      <c r="D19" s="160">
        <v>552564753.38999999</v>
      </c>
      <c r="E19" s="155">
        <v>32420706.43</v>
      </c>
      <c r="F19" s="334">
        <v>520144046.95999998</v>
      </c>
      <c r="G19" s="64">
        <v>9</v>
      </c>
      <c r="H19" s="157">
        <v>99.7</v>
      </c>
      <c r="I19" s="234">
        <v>123</v>
      </c>
    </row>
    <row r="20" spans="1:9" ht="20.45" customHeight="1">
      <c r="A20" s="233" t="s">
        <v>16</v>
      </c>
      <c r="B20" s="246" t="s">
        <v>37</v>
      </c>
      <c r="C20" s="568">
        <v>233970793.74000001</v>
      </c>
      <c r="D20" s="160">
        <v>250260061.31</v>
      </c>
      <c r="E20" s="155">
        <v>26306412.100000001</v>
      </c>
      <c r="F20" s="334">
        <v>223953649.21000001</v>
      </c>
      <c r="G20" s="64">
        <v>4.0999999999999996</v>
      </c>
      <c r="H20" s="157">
        <v>107</v>
      </c>
      <c r="I20" s="234">
        <v>204.4</v>
      </c>
    </row>
    <row r="21" spans="1:9" ht="20.45" customHeight="1">
      <c r="A21" s="233" t="s">
        <v>17</v>
      </c>
      <c r="B21" s="246" t="s">
        <v>43</v>
      </c>
      <c r="C21" s="568">
        <v>312056260.02999997</v>
      </c>
      <c r="D21" s="160">
        <v>304028401.70999998</v>
      </c>
      <c r="E21" s="155">
        <v>25903150.550000001</v>
      </c>
      <c r="F21" s="334">
        <v>278125251.15999997</v>
      </c>
      <c r="G21" s="64">
        <v>4.9000000000000004</v>
      </c>
      <c r="H21" s="157">
        <v>97.4</v>
      </c>
      <c r="I21" s="234">
        <v>214.6</v>
      </c>
    </row>
    <row r="22" spans="1:9" ht="20.45" customHeight="1">
      <c r="A22" s="233" t="s">
        <v>18</v>
      </c>
      <c r="B22" s="246" t="s">
        <v>38</v>
      </c>
      <c r="C22" s="568">
        <v>471021157.50999999</v>
      </c>
      <c r="D22" s="160">
        <v>470637715.93000001</v>
      </c>
      <c r="E22" s="155">
        <v>42373006.840000004</v>
      </c>
      <c r="F22" s="334">
        <v>428264709.09000003</v>
      </c>
      <c r="G22" s="64">
        <v>7.7</v>
      </c>
      <c r="H22" s="157">
        <v>99.9</v>
      </c>
      <c r="I22" s="234">
        <v>134.6</v>
      </c>
    </row>
    <row r="23" spans="1:9" ht="20.45" customHeight="1">
      <c r="A23" s="235" t="s">
        <v>19</v>
      </c>
      <c r="B23" s="247" t="s">
        <v>39</v>
      </c>
      <c r="C23" s="569">
        <v>304043557.47000003</v>
      </c>
      <c r="D23" s="151">
        <v>304985494.79000002</v>
      </c>
      <c r="E23" s="149">
        <v>20010705.030000001</v>
      </c>
      <c r="F23" s="336">
        <v>284974789.75999999</v>
      </c>
      <c r="G23" s="329">
        <v>5</v>
      </c>
      <c r="H23" s="130">
        <v>100.3</v>
      </c>
      <c r="I23" s="238">
        <v>180.7</v>
      </c>
    </row>
    <row r="24" spans="1:9">
      <c r="G24" s="339" t="s">
        <v>3</v>
      </c>
    </row>
    <row r="25" spans="1:9" s="8" customFormat="1" ht="13.5">
      <c r="A25" s="94" t="s">
        <v>934</v>
      </c>
      <c r="B25" s="95" t="s">
        <v>1159</v>
      </c>
      <c r="C25" s="94"/>
      <c r="D25" s="94"/>
      <c r="E25" s="94"/>
      <c r="F25" s="94"/>
      <c r="G25" s="94"/>
      <c r="H25" s="94"/>
      <c r="I25" s="94"/>
    </row>
    <row r="26" spans="1:9" s="8" customFormat="1" ht="13.5">
      <c r="A26" s="94"/>
      <c r="B26" s="95" t="s">
        <v>936</v>
      </c>
      <c r="C26" s="94"/>
      <c r="D26" s="94"/>
      <c r="E26" s="94"/>
      <c r="F26" s="94"/>
      <c r="G26" s="94"/>
      <c r="H26" s="94"/>
      <c r="I26" s="94"/>
    </row>
  </sheetData>
  <mergeCells count="8">
    <mergeCell ref="A1:I1"/>
    <mergeCell ref="I3:I4"/>
    <mergeCell ref="C5:F5"/>
    <mergeCell ref="G5:H5"/>
    <mergeCell ref="A3:A5"/>
    <mergeCell ref="B3:B5"/>
    <mergeCell ref="E3:F3"/>
    <mergeCell ref="G3:G4"/>
  </mergeCells>
  <printOptions horizontalCentered="1"/>
  <pageMargins left="0.70866141732283472" right="0.6692913385826772" top="0.95" bottom="0.98425196850393704" header="0.51181102362204722" footer="0.51181102362204722"/>
  <pageSetup paperSize="9" scale="94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92D050"/>
  </sheetPr>
  <dimension ref="A1:I26"/>
  <sheetViews>
    <sheetView showGridLines="0" workbookViewId="0">
      <selection activeCell="Q25" sqref="Q25"/>
    </sheetView>
  </sheetViews>
  <sheetFormatPr defaultColWidth="9.140625" defaultRowHeight="12.75"/>
  <cols>
    <col min="1" max="1" width="6.42578125" style="100" customWidth="1"/>
    <col min="2" max="2" width="15.85546875" style="100" customWidth="1"/>
    <col min="3" max="4" width="12.42578125" style="100" bestFit="1" customWidth="1"/>
    <col min="5" max="5" width="9.28515625" style="100" bestFit="1" customWidth="1"/>
    <col min="6" max="6" width="12.42578125" style="100" bestFit="1" customWidth="1"/>
    <col min="7" max="7" width="7.140625" style="100" bestFit="1" customWidth="1"/>
    <col min="8" max="8" width="7.42578125" style="100" bestFit="1" customWidth="1"/>
    <col min="9" max="9" width="13.85546875" style="100" customWidth="1"/>
    <col min="10" max="16384" width="9.140625" style="100"/>
  </cols>
  <sheetData>
    <row r="1" spans="1:9" ht="26.25" customHeight="1">
      <c r="A1" s="1861" t="s">
        <v>999</v>
      </c>
      <c r="B1" s="1861"/>
      <c r="C1" s="1861"/>
      <c r="D1" s="1861"/>
      <c r="E1" s="1861"/>
      <c r="F1" s="1861"/>
      <c r="G1" s="1861"/>
      <c r="H1" s="1861"/>
      <c r="I1" s="1861"/>
    </row>
    <row r="2" spans="1:9" ht="15.75" customHeight="1"/>
    <row r="3" spans="1:9" ht="13.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304"/>
      <c r="H4" s="603" t="s">
        <v>931</v>
      </c>
      <c r="I4" s="2117"/>
    </row>
    <row r="5" spans="1:9" ht="13.5">
      <c r="A5" s="1872"/>
      <c r="B5" s="1873"/>
      <c r="C5" s="2112" t="s">
        <v>885</v>
      </c>
      <c r="D5" s="2113"/>
      <c r="E5" s="2113"/>
      <c r="F5" s="2114"/>
      <c r="G5" s="2271" t="s">
        <v>886</v>
      </c>
      <c r="H5" s="2119"/>
      <c r="I5" s="605" t="s">
        <v>885</v>
      </c>
    </row>
    <row r="6" spans="1:9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s="106" customFormat="1" ht="19.899999999999999" customHeight="1">
      <c r="A7" s="231"/>
      <c r="B7" s="1563" t="s">
        <v>933</v>
      </c>
      <c r="C7" s="567">
        <v>16390052441.379999</v>
      </c>
      <c r="D7" s="159">
        <v>16072160686.959999</v>
      </c>
      <c r="E7" s="158">
        <v>2759309.93</v>
      </c>
      <c r="F7" s="332">
        <v>16069401377.030001</v>
      </c>
      <c r="G7" s="328">
        <v>100</v>
      </c>
      <c r="H7" s="150">
        <v>98.1</v>
      </c>
      <c r="I7" s="232">
        <v>1284.7</v>
      </c>
    </row>
    <row r="8" spans="1:9" s="106" customFormat="1" ht="19.899999999999999" customHeight="1">
      <c r="A8" s="233" t="s">
        <v>6</v>
      </c>
      <c r="B8" s="246" t="s">
        <v>26</v>
      </c>
      <c r="C8" s="568">
        <v>1134539608.55</v>
      </c>
      <c r="D8" s="160">
        <v>1126146201.5</v>
      </c>
      <c r="E8" s="155">
        <v>44000</v>
      </c>
      <c r="F8" s="334">
        <v>1126102201.5</v>
      </c>
      <c r="G8" s="64">
        <v>7</v>
      </c>
      <c r="H8" s="157">
        <v>99.3</v>
      </c>
      <c r="I8" s="234">
        <v>1212.5999999999999</v>
      </c>
    </row>
    <row r="9" spans="1:9" s="106" customFormat="1" ht="19.899999999999999" customHeight="1">
      <c r="A9" s="233" t="s">
        <v>7</v>
      </c>
      <c r="B9" s="246" t="s">
        <v>42</v>
      </c>
      <c r="C9" s="568">
        <v>985490346.13</v>
      </c>
      <c r="D9" s="160">
        <v>963671552.75</v>
      </c>
      <c r="E9" s="155">
        <v>0</v>
      </c>
      <c r="F9" s="334">
        <v>963671552.75</v>
      </c>
      <c r="G9" s="64">
        <v>6</v>
      </c>
      <c r="H9" s="157">
        <v>97.8</v>
      </c>
      <c r="I9" s="234">
        <v>1293.8</v>
      </c>
    </row>
    <row r="10" spans="1:9" s="106" customFormat="1" ht="19.899999999999999" customHeight="1">
      <c r="A10" s="233" t="s">
        <v>8</v>
      </c>
      <c r="B10" s="246" t="s">
        <v>27</v>
      </c>
      <c r="C10" s="568">
        <v>709742249.86000001</v>
      </c>
      <c r="D10" s="160">
        <v>694294486.63</v>
      </c>
      <c r="E10" s="155">
        <v>0</v>
      </c>
      <c r="F10" s="334">
        <v>694294486.63</v>
      </c>
      <c r="G10" s="64">
        <v>4.3</v>
      </c>
      <c r="H10" s="157">
        <v>97.8</v>
      </c>
      <c r="I10" s="234">
        <v>1336.6</v>
      </c>
    </row>
    <row r="11" spans="1:9" s="106" customFormat="1" ht="19.899999999999999" customHeight="1">
      <c r="A11" s="233" t="s">
        <v>9</v>
      </c>
      <c r="B11" s="246" t="s">
        <v>28</v>
      </c>
      <c r="C11" s="568">
        <v>376793951.88</v>
      </c>
      <c r="D11" s="160">
        <v>369668544.26999998</v>
      </c>
      <c r="E11" s="155">
        <v>22630.77</v>
      </c>
      <c r="F11" s="334">
        <v>369645913.5</v>
      </c>
      <c r="G11" s="64">
        <v>2.2999999999999998</v>
      </c>
      <c r="H11" s="157">
        <v>98.1</v>
      </c>
      <c r="I11" s="234">
        <v>1403</v>
      </c>
    </row>
    <row r="12" spans="1:9" s="106" customFormat="1" ht="19.899999999999999" customHeight="1">
      <c r="A12" s="233" t="s">
        <v>1</v>
      </c>
      <c r="B12" s="246" t="s">
        <v>29</v>
      </c>
      <c r="C12" s="568">
        <v>966306785.60000002</v>
      </c>
      <c r="D12" s="160">
        <v>938895119.48000002</v>
      </c>
      <c r="E12" s="155">
        <v>0</v>
      </c>
      <c r="F12" s="334">
        <v>938895119.48000002</v>
      </c>
      <c r="G12" s="64">
        <v>5.9</v>
      </c>
      <c r="H12" s="157">
        <v>97.2</v>
      </c>
      <c r="I12" s="234">
        <v>1185.3</v>
      </c>
    </row>
    <row r="13" spans="1:9" s="106" customFormat="1" ht="19.899999999999999" customHeight="1">
      <c r="A13" s="233" t="s">
        <v>2</v>
      </c>
      <c r="B13" s="246" t="s">
        <v>30</v>
      </c>
      <c r="C13" s="568">
        <v>1227518353.8099999</v>
      </c>
      <c r="D13" s="160">
        <v>1205883952.5699999</v>
      </c>
      <c r="E13" s="155">
        <v>39399.360000000001</v>
      </c>
      <c r="F13" s="334">
        <v>1205844553.21</v>
      </c>
      <c r="G13" s="64">
        <v>7.5</v>
      </c>
      <c r="H13" s="157">
        <v>98.2</v>
      </c>
      <c r="I13" s="234">
        <v>1241.9000000000001</v>
      </c>
    </row>
    <row r="14" spans="1:9" s="106" customFormat="1" ht="19.899999999999999" customHeight="1">
      <c r="A14" s="233" t="s">
        <v>10</v>
      </c>
      <c r="B14" s="246" t="s">
        <v>31</v>
      </c>
      <c r="C14" s="568">
        <v>3054719100.6300001</v>
      </c>
      <c r="D14" s="160">
        <v>2986393255.4299998</v>
      </c>
      <c r="E14" s="155">
        <v>0</v>
      </c>
      <c r="F14" s="334">
        <v>2986393255.4299998</v>
      </c>
      <c r="G14" s="64">
        <v>18.600000000000001</v>
      </c>
      <c r="H14" s="157">
        <v>97.8</v>
      </c>
      <c r="I14" s="234">
        <v>1326.6</v>
      </c>
    </row>
    <row r="15" spans="1:9" s="106" customFormat="1" ht="19.899999999999999" customHeight="1">
      <c r="A15" s="233" t="s">
        <v>11</v>
      </c>
      <c r="B15" s="246" t="s">
        <v>32</v>
      </c>
      <c r="C15" s="568">
        <v>157864512.15000001</v>
      </c>
      <c r="D15" s="160">
        <v>155928482.75999999</v>
      </c>
      <c r="E15" s="155">
        <v>47725</v>
      </c>
      <c r="F15" s="334">
        <v>155880757.75999999</v>
      </c>
      <c r="G15" s="64">
        <v>1</v>
      </c>
      <c r="H15" s="157">
        <v>98.8</v>
      </c>
      <c r="I15" s="234">
        <v>1219.7</v>
      </c>
    </row>
    <row r="16" spans="1:9" s="106" customFormat="1" ht="19.899999999999999" customHeight="1">
      <c r="A16" s="233" t="s">
        <v>12</v>
      </c>
      <c r="B16" s="246" t="s">
        <v>33</v>
      </c>
      <c r="C16" s="568">
        <v>491865473.25</v>
      </c>
      <c r="D16" s="160">
        <v>489258035.60000002</v>
      </c>
      <c r="E16" s="155">
        <v>2490584</v>
      </c>
      <c r="F16" s="334">
        <v>486767451.60000002</v>
      </c>
      <c r="G16" s="64">
        <v>3</v>
      </c>
      <c r="H16" s="157">
        <v>99.5</v>
      </c>
      <c r="I16" s="234">
        <v>1403</v>
      </c>
    </row>
    <row r="17" spans="1:9" s="106" customFormat="1" ht="19.899999999999999" customHeight="1">
      <c r="A17" s="233" t="s">
        <v>13</v>
      </c>
      <c r="B17" s="246" t="s">
        <v>34</v>
      </c>
      <c r="C17" s="568">
        <v>609568305.01999998</v>
      </c>
      <c r="D17" s="160">
        <v>601697588.88999999</v>
      </c>
      <c r="E17" s="155">
        <v>0</v>
      </c>
      <c r="F17" s="334">
        <v>601697588.88999999</v>
      </c>
      <c r="G17" s="64">
        <v>3.7</v>
      </c>
      <c r="H17" s="157">
        <v>98.7</v>
      </c>
      <c r="I17" s="234">
        <v>1402</v>
      </c>
    </row>
    <row r="18" spans="1:9" s="106" customFormat="1" ht="19.899999999999999" customHeight="1">
      <c r="A18" s="233" t="s">
        <v>14</v>
      </c>
      <c r="B18" s="246" t="s">
        <v>35</v>
      </c>
      <c r="C18" s="568">
        <v>1116960455.9300001</v>
      </c>
      <c r="D18" s="160">
        <v>1106116620.47</v>
      </c>
      <c r="E18" s="155">
        <v>0</v>
      </c>
      <c r="F18" s="334">
        <v>1106116620.47</v>
      </c>
      <c r="G18" s="64">
        <v>6.9</v>
      </c>
      <c r="H18" s="157">
        <v>99</v>
      </c>
      <c r="I18" s="234">
        <v>1315.5</v>
      </c>
    </row>
    <row r="19" spans="1:9" s="106" customFormat="1" ht="19.899999999999999" customHeight="1">
      <c r="A19" s="233" t="s">
        <v>15</v>
      </c>
      <c r="B19" s="246" t="s">
        <v>36</v>
      </c>
      <c r="C19" s="568">
        <v>3216649346.7600002</v>
      </c>
      <c r="D19" s="160">
        <v>3140069660.9299998</v>
      </c>
      <c r="E19" s="155">
        <v>75000</v>
      </c>
      <c r="F19" s="334">
        <v>3139994660.9299998</v>
      </c>
      <c r="G19" s="64">
        <v>19.5</v>
      </c>
      <c r="H19" s="157">
        <v>97.6</v>
      </c>
      <c r="I19" s="234">
        <v>1257</v>
      </c>
    </row>
    <row r="20" spans="1:9" s="106" customFormat="1" ht="19.899999999999999" customHeight="1">
      <c r="A20" s="233" t="s">
        <v>16</v>
      </c>
      <c r="B20" s="246" t="s">
        <v>37</v>
      </c>
      <c r="C20" s="568">
        <v>261316536.78999999</v>
      </c>
      <c r="D20" s="160">
        <v>258649969.19999999</v>
      </c>
      <c r="E20" s="155">
        <v>0</v>
      </c>
      <c r="F20" s="334">
        <v>258649969.19999999</v>
      </c>
      <c r="G20" s="64">
        <v>1.6</v>
      </c>
      <c r="H20" s="157">
        <v>99</v>
      </c>
      <c r="I20" s="234">
        <v>1337.3</v>
      </c>
    </row>
    <row r="21" spans="1:9" s="106" customFormat="1" ht="19.899999999999999" customHeight="1">
      <c r="A21" s="233" t="s">
        <v>17</v>
      </c>
      <c r="B21" s="246" t="s">
        <v>43</v>
      </c>
      <c r="C21" s="568">
        <v>397124808.75</v>
      </c>
      <c r="D21" s="160">
        <v>390598290.38</v>
      </c>
      <c r="E21" s="155">
        <v>0</v>
      </c>
      <c r="F21" s="334">
        <v>390598290.38</v>
      </c>
      <c r="G21" s="64">
        <v>2.4</v>
      </c>
      <c r="H21" s="157">
        <v>98.4</v>
      </c>
      <c r="I21" s="234">
        <v>1347.7</v>
      </c>
    </row>
    <row r="22" spans="1:9" s="106" customFormat="1" ht="19.899999999999999" customHeight="1">
      <c r="A22" s="233" t="s">
        <v>18</v>
      </c>
      <c r="B22" s="246" t="s">
        <v>38</v>
      </c>
      <c r="C22" s="568">
        <v>1008461707.09</v>
      </c>
      <c r="D22" s="160">
        <v>986131474.64999998</v>
      </c>
      <c r="E22" s="155">
        <v>0</v>
      </c>
      <c r="F22" s="334">
        <v>986131474.64999998</v>
      </c>
      <c r="G22" s="64">
        <v>6.2</v>
      </c>
      <c r="H22" s="157">
        <v>97.8</v>
      </c>
      <c r="I22" s="234">
        <v>1286.5</v>
      </c>
    </row>
    <row r="23" spans="1:9" s="106" customFormat="1" ht="19.899999999999999" customHeight="1">
      <c r="A23" s="235" t="s">
        <v>19</v>
      </c>
      <c r="B23" s="247" t="s">
        <v>39</v>
      </c>
      <c r="C23" s="569">
        <v>675130899.17999995</v>
      </c>
      <c r="D23" s="151">
        <v>658757451.45000005</v>
      </c>
      <c r="E23" s="149">
        <v>39970.800000000003</v>
      </c>
      <c r="F23" s="336">
        <v>658717480.64999998</v>
      </c>
      <c r="G23" s="329">
        <v>4.0999999999999996</v>
      </c>
      <c r="H23" s="130">
        <v>97.6</v>
      </c>
      <c r="I23" s="238">
        <v>1207.8</v>
      </c>
    </row>
    <row r="24" spans="1:9">
      <c r="G24" s="679" t="s">
        <v>3</v>
      </c>
    </row>
    <row r="25" spans="1:9" s="106" customFormat="1" ht="13.5">
      <c r="A25" s="103" t="s">
        <v>934</v>
      </c>
      <c r="B25" s="104" t="s">
        <v>1159</v>
      </c>
      <c r="C25" s="103"/>
      <c r="D25" s="103"/>
      <c r="E25" s="103"/>
      <c r="F25" s="103"/>
      <c r="G25" s="103"/>
      <c r="H25" s="103"/>
      <c r="I25" s="103"/>
    </row>
    <row r="26" spans="1:9" s="106" customFormat="1" ht="13.5">
      <c r="A26" s="103"/>
      <c r="B26" s="104" t="s">
        <v>936</v>
      </c>
      <c r="C26" s="103"/>
      <c r="D26" s="103"/>
      <c r="E26" s="103"/>
      <c r="F26" s="103"/>
      <c r="G26" s="103"/>
      <c r="H26" s="103"/>
      <c r="I26" s="103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honeticPr fontId="0" type="noConversion"/>
  <printOptions horizontalCentered="1"/>
  <pageMargins left="0.48" right="0.46" top="0.92" bottom="0.98425196850393704" header="0.51181102362204722" footer="0.51181102362204722"/>
  <pageSetup paperSize="9" scale="95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6"/>
  <sheetViews>
    <sheetView showGridLines="0" workbookViewId="0">
      <selection activeCell="E32" sqref="E32"/>
    </sheetView>
  </sheetViews>
  <sheetFormatPr defaultColWidth="9.140625" defaultRowHeight="12.75"/>
  <cols>
    <col min="1" max="1" width="4.42578125" style="2" customWidth="1"/>
    <col min="2" max="2" width="16.42578125" style="2" customWidth="1"/>
    <col min="3" max="4" width="11.7109375" style="2" bestFit="1" customWidth="1"/>
    <col min="5" max="5" width="9.85546875" style="2" bestFit="1" customWidth="1"/>
    <col min="6" max="6" width="11.7109375" style="2" bestFit="1" customWidth="1"/>
    <col min="7" max="7" width="7.140625" style="2" bestFit="1" customWidth="1"/>
    <col min="8" max="8" width="7.42578125" style="2" bestFit="1" customWidth="1"/>
    <col min="9" max="9" width="10.85546875" style="2" customWidth="1"/>
    <col min="10" max="16384" width="9.140625" style="2"/>
  </cols>
  <sheetData>
    <row r="1" spans="1:9" ht="27" customHeight="1">
      <c r="A1" s="1861" t="s">
        <v>1000</v>
      </c>
      <c r="B1" s="1861"/>
      <c r="C1" s="1861"/>
      <c r="D1" s="1861"/>
      <c r="E1" s="1861"/>
      <c r="F1" s="1861"/>
      <c r="G1" s="1861"/>
      <c r="H1" s="1861"/>
      <c r="I1" s="1861"/>
    </row>
    <row r="2" spans="1:9" ht="10.5" customHeight="1"/>
    <row r="3" spans="1:9" ht="15.7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.75" customHeight="1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304"/>
      <c r="H4" s="603" t="s">
        <v>931</v>
      </c>
      <c r="I4" s="2117"/>
    </row>
    <row r="5" spans="1:9" s="3" customFormat="1" ht="15" customHeight="1">
      <c r="A5" s="1872"/>
      <c r="B5" s="1873"/>
      <c r="C5" s="2112" t="s">
        <v>885</v>
      </c>
      <c r="D5" s="2113"/>
      <c r="E5" s="2113"/>
      <c r="F5" s="2114"/>
      <c r="G5" s="2271" t="s">
        <v>886</v>
      </c>
      <c r="H5" s="2119"/>
      <c r="I5" s="605" t="s">
        <v>885</v>
      </c>
    </row>
    <row r="6" spans="1:9" s="4" customFormat="1" ht="13.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s="16" customFormat="1" ht="19.5" customHeight="1">
      <c r="A7" s="231"/>
      <c r="B7" s="1563" t="s">
        <v>933</v>
      </c>
      <c r="C7" s="567">
        <v>1426116809.1199999</v>
      </c>
      <c r="D7" s="159">
        <v>1447783060.6099999</v>
      </c>
      <c r="E7" s="158">
        <v>51847067.979999997</v>
      </c>
      <c r="F7" s="332">
        <v>1395935992.6300001</v>
      </c>
      <c r="G7" s="328">
        <v>100</v>
      </c>
      <c r="H7" s="150">
        <v>101.5</v>
      </c>
      <c r="I7" s="232">
        <v>115.7</v>
      </c>
    </row>
    <row r="8" spans="1:9" s="16" customFormat="1" ht="19.5" customHeight="1">
      <c r="A8" s="233" t="s">
        <v>6</v>
      </c>
      <c r="B8" s="246" t="s">
        <v>26</v>
      </c>
      <c r="C8" s="568">
        <v>92914266.040000007</v>
      </c>
      <c r="D8" s="160">
        <v>94513278.739999995</v>
      </c>
      <c r="E8" s="155">
        <v>3772129.45</v>
      </c>
      <c r="F8" s="334">
        <v>90741149.290000007</v>
      </c>
      <c r="G8" s="64">
        <v>6.5</v>
      </c>
      <c r="H8" s="157">
        <v>101.7</v>
      </c>
      <c r="I8" s="234">
        <v>101.8</v>
      </c>
    </row>
    <row r="9" spans="1:9" s="16" customFormat="1" ht="19.5" customHeight="1">
      <c r="A9" s="233" t="s">
        <v>7</v>
      </c>
      <c r="B9" s="246" t="s">
        <v>42</v>
      </c>
      <c r="C9" s="568">
        <v>94335154.400000006</v>
      </c>
      <c r="D9" s="160">
        <v>93104224.590000004</v>
      </c>
      <c r="E9" s="155">
        <v>0</v>
      </c>
      <c r="F9" s="334">
        <v>93104224.590000004</v>
      </c>
      <c r="G9" s="64">
        <v>6.4</v>
      </c>
      <c r="H9" s="157">
        <v>98.7</v>
      </c>
      <c r="I9" s="234">
        <v>125</v>
      </c>
    </row>
    <row r="10" spans="1:9" s="16" customFormat="1" ht="19.5" customHeight="1">
      <c r="A10" s="233" t="s">
        <v>8</v>
      </c>
      <c r="B10" s="246" t="s">
        <v>27</v>
      </c>
      <c r="C10" s="568">
        <v>63148138.609999999</v>
      </c>
      <c r="D10" s="160">
        <v>64366234.390000001</v>
      </c>
      <c r="E10" s="155">
        <v>0</v>
      </c>
      <c r="F10" s="334">
        <v>64366234.390000001</v>
      </c>
      <c r="G10" s="64">
        <v>4.5</v>
      </c>
      <c r="H10" s="157">
        <v>101.9</v>
      </c>
      <c r="I10" s="234">
        <v>123.9</v>
      </c>
    </row>
    <row r="11" spans="1:9" s="16" customFormat="1" ht="19.5" customHeight="1">
      <c r="A11" s="233" t="s">
        <v>9</v>
      </c>
      <c r="B11" s="246" t="s">
        <v>28</v>
      </c>
      <c r="C11" s="568">
        <v>30714721.77</v>
      </c>
      <c r="D11" s="160">
        <v>31092248.98</v>
      </c>
      <c r="E11" s="155">
        <v>1876406.26</v>
      </c>
      <c r="F11" s="334">
        <v>29215842.719999999</v>
      </c>
      <c r="G11" s="64">
        <v>2.2000000000000002</v>
      </c>
      <c r="H11" s="157">
        <v>101.2</v>
      </c>
      <c r="I11" s="234">
        <v>118</v>
      </c>
    </row>
    <row r="12" spans="1:9" s="16" customFormat="1" ht="19.5" customHeight="1">
      <c r="A12" s="233" t="s">
        <v>1</v>
      </c>
      <c r="B12" s="246" t="s">
        <v>29</v>
      </c>
      <c r="C12" s="568">
        <v>107030095.18000001</v>
      </c>
      <c r="D12" s="160">
        <v>104488344.95</v>
      </c>
      <c r="E12" s="155">
        <v>0</v>
      </c>
      <c r="F12" s="334">
        <v>104488344.95</v>
      </c>
      <c r="G12" s="64">
        <v>7.2</v>
      </c>
      <c r="H12" s="157">
        <v>97.6</v>
      </c>
      <c r="I12" s="234">
        <v>131.9</v>
      </c>
    </row>
    <row r="13" spans="1:9" s="16" customFormat="1" ht="19.5" customHeight="1">
      <c r="A13" s="233" t="s">
        <v>2</v>
      </c>
      <c r="B13" s="246" t="s">
        <v>30</v>
      </c>
      <c r="C13" s="568">
        <v>109584051.87</v>
      </c>
      <c r="D13" s="160">
        <v>110636946.65000001</v>
      </c>
      <c r="E13" s="155">
        <v>2001328</v>
      </c>
      <c r="F13" s="334">
        <v>108635618.65000001</v>
      </c>
      <c r="G13" s="64">
        <v>7.6</v>
      </c>
      <c r="H13" s="157">
        <v>101</v>
      </c>
      <c r="I13" s="234">
        <v>113.9</v>
      </c>
    </row>
    <row r="14" spans="1:9" s="16" customFormat="1" ht="19.5" customHeight="1">
      <c r="A14" s="233" t="s">
        <v>10</v>
      </c>
      <c r="B14" s="246" t="s">
        <v>31</v>
      </c>
      <c r="C14" s="568">
        <v>240930152.91999999</v>
      </c>
      <c r="D14" s="160">
        <v>236002919.72</v>
      </c>
      <c r="E14" s="155">
        <v>5612885.9100000001</v>
      </c>
      <c r="F14" s="334">
        <v>230390033.81</v>
      </c>
      <c r="G14" s="64">
        <v>16.3</v>
      </c>
      <c r="H14" s="157">
        <v>98</v>
      </c>
      <c r="I14" s="234">
        <v>104.8</v>
      </c>
    </row>
    <row r="15" spans="1:9" s="16" customFormat="1" ht="19.5" customHeight="1">
      <c r="A15" s="233" t="s">
        <v>11</v>
      </c>
      <c r="B15" s="246" t="s">
        <v>32</v>
      </c>
      <c r="C15" s="568">
        <v>11128855.17</v>
      </c>
      <c r="D15" s="160">
        <v>11266898.859999999</v>
      </c>
      <c r="E15" s="155">
        <v>0</v>
      </c>
      <c r="F15" s="334">
        <v>11266898.859999999</v>
      </c>
      <c r="G15" s="64">
        <v>0.8</v>
      </c>
      <c r="H15" s="157">
        <v>101.2</v>
      </c>
      <c r="I15" s="234">
        <v>88.1</v>
      </c>
    </row>
    <row r="16" spans="1:9" s="16" customFormat="1" ht="19.5" customHeight="1">
      <c r="A16" s="233" t="s">
        <v>12</v>
      </c>
      <c r="B16" s="246" t="s">
        <v>33</v>
      </c>
      <c r="C16" s="568">
        <v>41899095.109999999</v>
      </c>
      <c r="D16" s="160">
        <v>47579095.060000002</v>
      </c>
      <c r="E16" s="155">
        <v>3825468.26</v>
      </c>
      <c r="F16" s="334">
        <v>43753626.799999997</v>
      </c>
      <c r="G16" s="64">
        <v>3.3</v>
      </c>
      <c r="H16" s="157">
        <v>113.6</v>
      </c>
      <c r="I16" s="234">
        <v>136.4</v>
      </c>
    </row>
    <row r="17" spans="1:9" s="16" customFormat="1" ht="19.5" customHeight="1">
      <c r="A17" s="233" t="s">
        <v>13</v>
      </c>
      <c r="B17" s="246" t="s">
        <v>34</v>
      </c>
      <c r="C17" s="568">
        <v>60532558.100000001</v>
      </c>
      <c r="D17" s="160">
        <v>59655171.600000001</v>
      </c>
      <c r="E17" s="155">
        <v>1508182.19</v>
      </c>
      <c r="F17" s="334">
        <v>58146989.409999996</v>
      </c>
      <c r="G17" s="64">
        <v>4.0999999999999996</v>
      </c>
      <c r="H17" s="157">
        <v>98.6</v>
      </c>
      <c r="I17" s="234">
        <v>139</v>
      </c>
    </row>
    <row r="18" spans="1:9" s="16" customFormat="1" ht="19.5" customHeight="1">
      <c r="A18" s="233" t="s">
        <v>14</v>
      </c>
      <c r="B18" s="246" t="s">
        <v>35</v>
      </c>
      <c r="C18" s="568">
        <v>87209893.829999998</v>
      </c>
      <c r="D18" s="160">
        <v>111818651.27</v>
      </c>
      <c r="E18" s="155">
        <v>27747286.379999999</v>
      </c>
      <c r="F18" s="334">
        <v>84071364.890000001</v>
      </c>
      <c r="G18" s="64">
        <v>7.7</v>
      </c>
      <c r="H18" s="157">
        <v>128.19999999999999</v>
      </c>
      <c r="I18" s="234">
        <v>133</v>
      </c>
    </row>
    <row r="19" spans="1:9" s="16" customFormat="1" ht="19.5" customHeight="1">
      <c r="A19" s="233" t="s">
        <v>15</v>
      </c>
      <c r="B19" s="246" t="s">
        <v>36</v>
      </c>
      <c r="C19" s="568">
        <v>248627887.77000001</v>
      </c>
      <c r="D19" s="160">
        <v>245862330.11000001</v>
      </c>
      <c r="E19" s="155">
        <v>618831.16</v>
      </c>
      <c r="F19" s="334">
        <v>245243498.94999999</v>
      </c>
      <c r="G19" s="64">
        <v>17</v>
      </c>
      <c r="H19" s="157">
        <v>98.9</v>
      </c>
      <c r="I19" s="234">
        <v>98.4</v>
      </c>
    </row>
    <row r="20" spans="1:9" s="16" customFormat="1" ht="19.5" customHeight="1">
      <c r="A20" s="233" t="s">
        <v>16</v>
      </c>
      <c r="B20" s="246" t="s">
        <v>37</v>
      </c>
      <c r="C20" s="568">
        <v>33523670.59</v>
      </c>
      <c r="D20" s="160">
        <v>33260376.449999999</v>
      </c>
      <c r="E20" s="155">
        <v>0</v>
      </c>
      <c r="F20" s="334">
        <v>33260376.449999999</v>
      </c>
      <c r="G20" s="64">
        <v>2.2999999999999998</v>
      </c>
      <c r="H20" s="157">
        <v>99.2</v>
      </c>
      <c r="I20" s="234">
        <v>172</v>
      </c>
    </row>
    <row r="21" spans="1:9" s="16" customFormat="1" ht="19.5" customHeight="1">
      <c r="A21" s="233" t="s">
        <v>17</v>
      </c>
      <c r="B21" s="246" t="s">
        <v>43</v>
      </c>
      <c r="C21" s="568">
        <v>40824989.829999998</v>
      </c>
      <c r="D21" s="160">
        <v>41383083.649999999</v>
      </c>
      <c r="E21" s="155">
        <v>1614550.37</v>
      </c>
      <c r="F21" s="334">
        <v>39768533.280000001</v>
      </c>
      <c r="G21" s="64">
        <v>2.9</v>
      </c>
      <c r="H21" s="157">
        <v>101.4</v>
      </c>
      <c r="I21" s="234">
        <v>142.80000000000001</v>
      </c>
    </row>
    <row r="22" spans="1:9" s="16" customFormat="1" ht="19.5" customHeight="1">
      <c r="A22" s="233" t="s">
        <v>18</v>
      </c>
      <c r="B22" s="246" t="s">
        <v>38</v>
      </c>
      <c r="C22" s="568">
        <v>93364017.689999998</v>
      </c>
      <c r="D22" s="160">
        <v>91191230.370000005</v>
      </c>
      <c r="E22" s="155">
        <v>630000</v>
      </c>
      <c r="F22" s="334">
        <v>90561230.370000005</v>
      </c>
      <c r="G22" s="64">
        <v>6.3</v>
      </c>
      <c r="H22" s="157">
        <v>97.7</v>
      </c>
      <c r="I22" s="234">
        <v>119</v>
      </c>
    </row>
    <row r="23" spans="1:9" s="16" customFormat="1" ht="20.45" customHeight="1">
      <c r="A23" s="235" t="s">
        <v>19</v>
      </c>
      <c r="B23" s="247" t="s">
        <v>39</v>
      </c>
      <c r="C23" s="569">
        <v>70349260.239999995</v>
      </c>
      <c r="D23" s="151">
        <v>71562025.219999999</v>
      </c>
      <c r="E23" s="149">
        <v>2640000</v>
      </c>
      <c r="F23" s="336">
        <v>68922025.219999999</v>
      </c>
      <c r="G23" s="329">
        <v>4.9000000000000004</v>
      </c>
      <c r="H23" s="130">
        <v>101.7</v>
      </c>
      <c r="I23" s="238">
        <v>131.19999999999999</v>
      </c>
    </row>
    <row r="24" spans="1:9">
      <c r="G24" s="680" t="s">
        <v>3</v>
      </c>
    </row>
    <row r="25" spans="1:9" s="11" customFormat="1" ht="13.5">
      <c r="A25" s="114" t="s">
        <v>934</v>
      </c>
      <c r="B25" s="115" t="s">
        <v>1159</v>
      </c>
      <c r="C25" s="114"/>
      <c r="D25" s="114"/>
      <c r="E25" s="114"/>
      <c r="F25" s="114"/>
      <c r="G25" s="114"/>
      <c r="H25" s="114"/>
      <c r="I25" s="114"/>
    </row>
    <row r="26" spans="1:9" s="11" customFormat="1" ht="13.5">
      <c r="A26" s="114"/>
      <c r="B26" s="115" t="s">
        <v>936</v>
      </c>
      <c r="C26" s="114"/>
      <c r="D26" s="114"/>
      <c r="E26" s="114"/>
      <c r="F26" s="114"/>
      <c r="G26" s="114"/>
      <c r="H26" s="114"/>
      <c r="I26" s="114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rintOptions horizontalCentered="1"/>
  <pageMargins left="0.59055118110236227" right="0.6" top="0.88" bottom="0.98425196850393704" header="0.51181102362204722" footer="0.51181102362204722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0">
    <tabColor rgb="FF92D050"/>
  </sheetPr>
  <dimension ref="A1:I26"/>
  <sheetViews>
    <sheetView showGridLines="0" workbookViewId="0">
      <selection activeCell="J4" sqref="J4"/>
    </sheetView>
  </sheetViews>
  <sheetFormatPr defaultColWidth="9.140625" defaultRowHeight="12.75"/>
  <cols>
    <col min="1" max="1" width="4.42578125" style="5" customWidth="1"/>
    <col min="2" max="2" width="16.5703125" style="5" customWidth="1"/>
    <col min="3" max="4" width="9.85546875" style="5" bestFit="1" customWidth="1"/>
    <col min="5" max="5" width="9.140625" style="5"/>
    <col min="6" max="6" width="9.85546875" style="5" bestFit="1" customWidth="1"/>
    <col min="7" max="7" width="7.140625" style="5" bestFit="1" customWidth="1"/>
    <col min="8" max="8" width="7.42578125" style="5" bestFit="1" customWidth="1"/>
    <col min="9" max="9" width="11.85546875" style="5" customWidth="1"/>
    <col min="10" max="16384" width="9.140625" style="5"/>
  </cols>
  <sheetData>
    <row r="1" spans="1:9" ht="40.5" customHeight="1">
      <c r="A1" s="1861" t="s">
        <v>1001</v>
      </c>
      <c r="B1" s="1861"/>
      <c r="C1" s="1861"/>
      <c r="D1" s="1861"/>
      <c r="E1" s="1861"/>
      <c r="F1" s="1861"/>
      <c r="G1" s="1861"/>
      <c r="H1" s="1861"/>
      <c r="I1" s="1861"/>
    </row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304"/>
      <c r="H4" s="603" t="s">
        <v>931</v>
      </c>
      <c r="I4" s="2117"/>
    </row>
    <row r="5" spans="1:9" ht="13.5">
      <c r="A5" s="1872"/>
      <c r="B5" s="1873"/>
      <c r="C5" s="2112" t="s">
        <v>885</v>
      </c>
      <c r="D5" s="2113"/>
      <c r="E5" s="2113"/>
      <c r="F5" s="2114"/>
      <c r="G5" s="2271" t="s">
        <v>886</v>
      </c>
      <c r="H5" s="2119"/>
      <c r="I5" s="605" t="s">
        <v>885</v>
      </c>
    </row>
    <row r="6" spans="1:9" ht="12" customHeight="1">
      <c r="A6" s="681" t="s">
        <v>887</v>
      </c>
      <c r="B6" s="685" t="s">
        <v>888</v>
      </c>
      <c r="C6" s="686" t="s">
        <v>889</v>
      </c>
      <c r="D6" s="682" t="s">
        <v>890</v>
      </c>
      <c r="E6" s="683" t="s">
        <v>891</v>
      </c>
      <c r="F6" s="684" t="s">
        <v>892</v>
      </c>
      <c r="G6" s="682" t="s">
        <v>893</v>
      </c>
      <c r="H6" s="683" t="s">
        <v>894</v>
      </c>
      <c r="I6" s="684" t="s">
        <v>932</v>
      </c>
    </row>
    <row r="7" spans="1:9" s="15" customFormat="1" ht="19.899999999999999" customHeight="1">
      <c r="A7" s="231"/>
      <c r="B7" s="1563" t="s">
        <v>933</v>
      </c>
      <c r="C7" s="567">
        <v>16080755.08</v>
      </c>
      <c r="D7" s="159">
        <v>16536795.76</v>
      </c>
      <c r="E7" s="158">
        <v>2044417.66</v>
      </c>
      <c r="F7" s="332">
        <v>14492378.1</v>
      </c>
      <c r="G7" s="328">
        <v>100</v>
      </c>
      <c r="H7" s="150">
        <v>102.8</v>
      </c>
      <c r="I7" s="232">
        <v>1.3</v>
      </c>
    </row>
    <row r="8" spans="1:9" s="15" customFormat="1" ht="19.899999999999999" customHeight="1">
      <c r="A8" s="233" t="s">
        <v>6</v>
      </c>
      <c r="B8" s="246" t="s">
        <v>26</v>
      </c>
      <c r="C8" s="568">
        <v>1914116.3</v>
      </c>
      <c r="D8" s="160">
        <v>2039333.19</v>
      </c>
      <c r="E8" s="155">
        <v>0</v>
      </c>
      <c r="F8" s="334">
        <v>2039333.19</v>
      </c>
      <c r="G8" s="64">
        <v>12.3</v>
      </c>
      <c r="H8" s="157">
        <v>106.5</v>
      </c>
      <c r="I8" s="234">
        <v>2.2000000000000002</v>
      </c>
    </row>
    <row r="9" spans="1:9" s="15" customFormat="1" ht="19.899999999999999" customHeight="1">
      <c r="A9" s="233" t="s">
        <v>7</v>
      </c>
      <c r="B9" s="246" t="s">
        <v>42</v>
      </c>
      <c r="C9" s="568">
        <v>1182637.94</v>
      </c>
      <c r="D9" s="160">
        <v>612416.72</v>
      </c>
      <c r="E9" s="155">
        <v>0</v>
      </c>
      <c r="F9" s="334">
        <v>612416.72</v>
      </c>
      <c r="G9" s="64">
        <v>3.7</v>
      </c>
      <c r="H9" s="157">
        <v>51.8</v>
      </c>
      <c r="I9" s="234">
        <v>0.8</v>
      </c>
    </row>
    <row r="10" spans="1:9" s="15" customFormat="1" ht="19.899999999999999" customHeight="1">
      <c r="A10" s="233" t="s">
        <v>8</v>
      </c>
      <c r="B10" s="246" t="s">
        <v>27</v>
      </c>
      <c r="C10" s="568">
        <v>960293.59</v>
      </c>
      <c r="D10" s="160">
        <v>1018620.33</v>
      </c>
      <c r="E10" s="155">
        <v>79279.199999999997</v>
      </c>
      <c r="F10" s="334">
        <v>939341.13</v>
      </c>
      <c r="G10" s="64">
        <v>6.2</v>
      </c>
      <c r="H10" s="157">
        <v>106.1</v>
      </c>
      <c r="I10" s="234">
        <v>2</v>
      </c>
    </row>
    <row r="11" spans="1:9" s="15" customFormat="1" ht="19.899999999999999" customHeight="1">
      <c r="A11" s="233" t="s">
        <v>9</v>
      </c>
      <c r="B11" s="246" t="s">
        <v>28</v>
      </c>
      <c r="C11" s="568">
        <v>125108.62</v>
      </c>
      <c r="D11" s="160">
        <v>72577.2</v>
      </c>
      <c r="E11" s="155">
        <v>0</v>
      </c>
      <c r="F11" s="334">
        <v>72577.2</v>
      </c>
      <c r="G11" s="64">
        <v>0.4</v>
      </c>
      <c r="H11" s="157">
        <v>58</v>
      </c>
      <c r="I11" s="234">
        <v>0.3</v>
      </c>
    </row>
    <row r="12" spans="1:9" s="15" customFormat="1" ht="19.899999999999999" customHeight="1">
      <c r="A12" s="233" t="s">
        <v>1</v>
      </c>
      <c r="B12" s="246" t="s">
        <v>29</v>
      </c>
      <c r="C12" s="568">
        <v>784869.4</v>
      </c>
      <c r="D12" s="160">
        <v>729515.67</v>
      </c>
      <c r="E12" s="155">
        <v>0</v>
      </c>
      <c r="F12" s="334">
        <v>729515.67</v>
      </c>
      <c r="G12" s="64">
        <v>4.4000000000000004</v>
      </c>
      <c r="H12" s="157">
        <v>92.9</v>
      </c>
      <c r="I12" s="234">
        <v>0.9</v>
      </c>
    </row>
    <row r="13" spans="1:9" s="15" customFormat="1" ht="19.899999999999999" customHeight="1">
      <c r="A13" s="233" t="s">
        <v>2</v>
      </c>
      <c r="B13" s="246" t="s">
        <v>30</v>
      </c>
      <c r="C13" s="568">
        <v>444433.28</v>
      </c>
      <c r="D13" s="160">
        <v>619349.99</v>
      </c>
      <c r="E13" s="155">
        <v>0</v>
      </c>
      <c r="F13" s="334">
        <v>619349.99</v>
      </c>
      <c r="G13" s="64">
        <v>3.7</v>
      </c>
      <c r="H13" s="157">
        <v>139.4</v>
      </c>
      <c r="I13" s="234">
        <v>0.6</v>
      </c>
    </row>
    <row r="14" spans="1:9" s="15" customFormat="1" ht="19.899999999999999" customHeight="1">
      <c r="A14" s="233" t="s">
        <v>10</v>
      </c>
      <c r="B14" s="246" t="s">
        <v>31</v>
      </c>
      <c r="C14" s="568">
        <v>3764583.32</v>
      </c>
      <c r="D14" s="160">
        <v>3359480.15</v>
      </c>
      <c r="E14" s="155">
        <v>0</v>
      </c>
      <c r="F14" s="334">
        <v>3359480.15</v>
      </c>
      <c r="G14" s="64">
        <v>20.3</v>
      </c>
      <c r="H14" s="157">
        <v>89.2</v>
      </c>
      <c r="I14" s="234">
        <v>1.5</v>
      </c>
    </row>
    <row r="15" spans="1:9" s="15" customFormat="1" ht="19.899999999999999" customHeight="1">
      <c r="A15" s="233" t="s">
        <v>11</v>
      </c>
      <c r="B15" s="246" t="s">
        <v>32</v>
      </c>
      <c r="C15" s="568">
        <v>752686.04</v>
      </c>
      <c r="D15" s="160">
        <v>620839.6</v>
      </c>
      <c r="E15" s="155">
        <v>0</v>
      </c>
      <c r="F15" s="334">
        <v>620839.6</v>
      </c>
      <c r="G15" s="64">
        <v>3.8</v>
      </c>
      <c r="H15" s="157">
        <v>82.5</v>
      </c>
      <c r="I15" s="234">
        <v>4.9000000000000004</v>
      </c>
    </row>
    <row r="16" spans="1:9" s="15" customFormat="1" ht="19.899999999999999" customHeight="1">
      <c r="A16" s="233" t="s">
        <v>12</v>
      </c>
      <c r="B16" s="246" t="s">
        <v>33</v>
      </c>
      <c r="C16" s="568">
        <v>88131.42</v>
      </c>
      <c r="D16" s="160">
        <v>293092.59000000003</v>
      </c>
      <c r="E16" s="155">
        <v>0</v>
      </c>
      <c r="F16" s="334">
        <v>293092.59000000003</v>
      </c>
      <c r="G16" s="64">
        <v>1.8</v>
      </c>
      <c r="H16" s="157">
        <v>332.6</v>
      </c>
      <c r="I16" s="234">
        <v>0.8</v>
      </c>
    </row>
    <row r="17" spans="1:9" s="15" customFormat="1" ht="19.899999999999999" customHeight="1">
      <c r="A17" s="233" t="s">
        <v>13</v>
      </c>
      <c r="B17" s="246" t="s">
        <v>34</v>
      </c>
      <c r="C17" s="568">
        <v>434756.2</v>
      </c>
      <c r="D17" s="160">
        <v>328811.84999999998</v>
      </c>
      <c r="E17" s="155">
        <v>0</v>
      </c>
      <c r="F17" s="334">
        <v>328811.84999999998</v>
      </c>
      <c r="G17" s="64">
        <v>2</v>
      </c>
      <c r="H17" s="157">
        <v>75.599999999999994</v>
      </c>
      <c r="I17" s="234">
        <v>0.8</v>
      </c>
    </row>
    <row r="18" spans="1:9" s="15" customFormat="1" ht="19.899999999999999" customHeight="1">
      <c r="A18" s="233" t="s">
        <v>14</v>
      </c>
      <c r="B18" s="246" t="s">
        <v>35</v>
      </c>
      <c r="C18" s="568">
        <v>472442.97</v>
      </c>
      <c r="D18" s="160">
        <v>300068.37</v>
      </c>
      <c r="E18" s="155">
        <v>0</v>
      </c>
      <c r="F18" s="334">
        <v>300068.37</v>
      </c>
      <c r="G18" s="64">
        <v>1.8</v>
      </c>
      <c r="H18" s="157">
        <v>63.5</v>
      </c>
      <c r="I18" s="234">
        <v>0.4</v>
      </c>
    </row>
    <row r="19" spans="1:9" s="15" customFormat="1" ht="19.899999999999999" customHeight="1">
      <c r="A19" s="233" t="s">
        <v>15</v>
      </c>
      <c r="B19" s="246" t="s">
        <v>36</v>
      </c>
      <c r="C19" s="568">
        <v>2461387</v>
      </c>
      <c r="D19" s="160">
        <v>3728845.84</v>
      </c>
      <c r="E19" s="155">
        <v>1154661.24</v>
      </c>
      <c r="F19" s="334">
        <v>2574184.6</v>
      </c>
      <c r="G19" s="64">
        <v>22.5</v>
      </c>
      <c r="H19" s="157">
        <v>151.5</v>
      </c>
      <c r="I19" s="234">
        <v>1.5</v>
      </c>
    </row>
    <row r="20" spans="1:9" s="15" customFormat="1" ht="19.899999999999999" customHeight="1">
      <c r="A20" s="233" t="s">
        <v>16</v>
      </c>
      <c r="B20" s="246" t="s">
        <v>37</v>
      </c>
      <c r="C20" s="568">
        <v>343842.42</v>
      </c>
      <c r="D20" s="160">
        <v>406031.92</v>
      </c>
      <c r="E20" s="155">
        <v>0</v>
      </c>
      <c r="F20" s="334">
        <v>406031.92</v>
      </c>
      <c r="G20" s="64">
        <v>2.5</v>
      </c>
      <c r="H20" s="157">
        <v>118.1</v>
      </c>
      <c r="I20" s="234">
        <v>2.1</v>
      </c>
    </row>
    <row r="21" spans="1:9" s="15" customFormat="1" ht="19.899999999999999" customHeight="1">
      <c r="A21" s="233" t="s">
        <v>17</v>
      </c>
      <c r="B21" s="246" t="s">
        <v>43</v>
      </c>
      <c r="C21" s="568">
        <v>166809.57999999999</v>
      </c>
      <c r="D21" s="160">
        <v>171950.5</v>
      </c>
      <c r="E21" s="155">
        <v>0</v>
      </c>
      <c r="F21" s="334">
        <v>171950.5</v>
      </c>
      <c r="G21" s="64">
        <v>1</v>
      </c>
      <c r="H21" s="157">
        <v>103.1</v>
      </c>
      <c r="I21" s="234">
        <v>0.6</v>
      </c>
    </row>
    <row r="22" spans="1:9" s="15" customFormat="1" ht="19.899999999999999" customHeight="1">
      <c r="A22" s="233" t="s">
        <v>18</v>
      </c>
      <c r="B22" s="246" t="s">
        <v>38</v>
      </c>
      <c r="C22" s="568">
        <v>1367331.05</v>
      </c>
      <c r="D22" s="160">
        <v>1317134.6200000001</v>
      </c>
      <c r="E22" s="155">
        <v>0</v>
      </c>
      <c r="F22" s="334">
        <v>1317134.6200000001</v>
      </c>
      <c r="G22" s="64">
        <v>8</v>
      </c>
      <c r="H22" s="157">
        <v>96.3</v>
      </c>
      <c r="I22" s="234">
        <v>1.7</v>
      </c>
    </row>
    <row r="23" spans="1:9" s="15" customFormat="1" ht="19.899999999999999" customHeight="1">
      <c r="A23" s="235" t="s">
        <v>19</v>
      </c>
      <c r="B23" s="247" t="s">
        <v>39</v>
      </c>
      <c r="C23" s="569">
        <v>817325.95</v>
      </c>
      <c r="D23" s="151">
        <v>918727.22</v>
      </c>
      <c r="E23" s="149">
        <v>810477.22</v>
      </c>
      <c r="F23" s="336">
        <v>108250</v>
      </c>
      <c r="G23" s="329">
        <v>5.6</v>
      </c>
      <c r="H23" s="130">
        <v>112.4</v>
      </c>
      <c r="I23" s="238">
        <v>1.7</v>
      </c>
    </row>
    <row r="25" spans="1:9" s="11" customFormat="1" ht="13.5">
      <c r="A25" s="116" t="s">
        <v>934</v>
      </c>
      <c r="B25" s="117" t="s">
        <v>1159</v>
      </c>
      <c r="C25" s="116"/>
      <c r="D25" s="116"/>
      <c r="E25" s="116"/>
      <c r="F25" s="116"/>
      <c r="G25" s="116"/>
      <c r="H25" s="116"/>
      <c r="I25" s="116"/>
    </row>
    <row r="26" spans="1:9" s="11" customFormat="1" ht="13.5">
      <c r="A26" s="116"/>
      <c r="B26" s="117" t="s">
        <v>936</v>
      </c>
      <c r="C26" s="116"/>
      <c r="D26" s="116"/>
      <c r="E26" s="116"/>
      <c r="F26" s="116"/>
      <c r="G26" s="116"/>
      <c r="H26" s="116"/>
      <c r="I26" s="116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honeticPr fontId="7" type="noConversion"/>
  <printOptions horizontalCentered="1"/>
  <pageMargins left="0.5" right="0.47" top="0.8" bottom="0.98425196850393704" header="0.51181102362204722" footer="0.51181102362204722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92D050"/>
  </sheetPr>
  <dimension ref="A1:I26"/>
  <sheetViews>
    <sheetView showGridLines="0" workbookViewId="0">
      <selection activeCell="J7" sqref="J7"/>
    </sheetView>
  </sheetViews>
  <sheetFormatPr defaultColWidth="9.140625" defaultRowHeight="12.75"/>
  <cols>
    <col min="1" max="1" width="4.42578125" style="12" customWidth="1"/>
    <col min="2" max="2" width="17.28515625" style="12" customWidth="1"/>
    <col min="3" max="4" width="11.7109375" style="12" bestFit="1" customWidth="1"/>
    <col min="5" max="5" width="10.7109375" style="12" bestFit="1" customWidth="1"/>
    <col min="6" max="6" width="12.28515625" style="12" customWidth="1"/>
    <col min="7" max="7" width="7.140625" style="12" bestFit="1" customWidth="1"/>
    <col min="8" max="8" width="7.42578125" style="12" bestFit="1" customWidth="1"/>
    <col min="9" max="9" width="11" style="12" customWidth="1"/>
    <col min="10" max="16384" width="9.140625" style="12"/>
  </cols>
  <sheetData>
    <row r="1" spans="1:9" ht="26.25" customHeight="1">
      <c r="A1" s="1861" t="s">
        <v>1002</v>
      </c>
      <c r="B1" s="1861"/>
      <c r="C1" s="1861"/>
      <c r="D1" s="1861"/>
      <c r="E1" s="1861"/>
      <c r="F1" s="1861"/>
      <c r="G1" s="1861"/>
      <c r="H1" s="1861"/>
      <c r="I1" s="1861"/>
    </row>
    <row r="3" spans="1:9" ht="13.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6.25" customHeight="1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ht="13.5">
      <c r="A5" s="1872"/>
      <c r="B5" s="1873"/>
      <c r="C5" s="2305" t="s">
        <v>885</v>
      </c>
      <c r="D5" s="2306"/>
      <c r="E5" s="2306"/>
      <c r="F5" s="2307"/>
      <c r="G5" s="2308" t="s">
        <v>886</v>
      </c>
      <c r="H5" s="2309"/>
      <c r="I5" s="687" t="s">
        <v>885</v>
      </c>
    </row>
    <row r="6" spans="1:9" ht="10.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" customFormat="1" ht="19.899999999999999" customHeight="1">
      <c r="A7" s="231"/>
      <c r="B7" s="1563" t="s">
        <v>933</v>
      </c>
      <c r="C7" s="567">
        <v>1934110897.0699999</v>
      </c>
      <c r="D7" s="159">
        <v>2015546733.8</v>
      </c>
      <c r="E7" s="158">
        <v>33006067.91</v>
      </c>
      <c r="F7" s="332">
        <v>1982540665.8900001</v>
      </c>
      <c r="G7" s="560">
        <v>100</v>
      </c>
      <c r="H7" s="150">
        <v>104.2</v>
      </c>
      <c r="I7" s="232">
        <v>161.1</v>
      </c>
    </row>
    <row r="8" spans="1:9" s="1" customFormat="1" ht="19.899999999999999" customHeight="1">
      <c r="A8" s="233" t="s">
        <v>6</v>
      </c>
      <c r="B8" s="246" t="s">
        <v>26</v>
      </c>
      <c r="C8" s="568">
        <v>132947193.64</v>
      </c>
      <c r="D8" s="160">
        <v>135394681.16999999</v>
      </c>
      <c r="E8" s="155">
        <v>2094359</v>
      </c>
      <c r="F8" s="334">
        <v>133300322.17</v>
      </c>
      <c r="G8" s="369">
        <v>6.7</v>
      </c>
      <c r="H8" s="157">
        <v>101.8</v>
      </c>
      <c r="I8" s="234">
        <v>145.80000000000001</v>
      </c>
    </row>
    <row r="9" spans="1:9" s="1" customFormat="1" ht="19.899999999999999" customHeight="1">
      <c r="A9" s="233" t="s">
        <v>7</v>
      </c>
      <c r="B9" s="246" t="s">
        <v>42</v>
      </c>
      <c r="C9" s="568">
        <v>106677560.86</v>
      </c>
      <c r="D9" s="160">
        <v>114295375.77</v>
      </c>
      <c r="E9" s="155">
        <v>1240667.77</v>
      </c>
      <c r="F9" s="334">
        <v>113054708</v>
      </c>
      <c r="G9" s="369">
        <v>5.7</v>
      </c>
      <c r="H9" s="157">
        <v>107.1</v>
      </c>
      <c r="I9" s="234">
        <v>153.5</v>
      </c>
    </row>
    <row r="10" spans="1:9" s="1" customFormat="1" ht="19.899999999999999" customHeight="1">
      <c r="A10" s="233" t="s">
        <v>8</v>
      </c>
      <c r="B10" s="246" t="s">
        <v>27</v>
      </c>
      <c r="C10" s="568">
        <v>116107002.17</v>
      </c>
      <c r="D10" s="160">
        <v>131083155.88</v>
      </c>
      <c r="E10" s="155">
        <v>80897.100000000006</v>
      </c>
      <c r="F10" s="334">
        <v>131002258.78</v>
      </c>
      <c r="G10" s="369">
        <v>6.5</v>
      </c>
      <c r="H10" s="157">
        <v>112.9</v>
      </c>
      <c r="I10" s="234">
        <v>252.4</v>
      </c>
    </row>
    <row r="11" spans="1:9" s="1" customFormat="1" ht="19.899999999999999" customHeight="1">
      <c r="A11" s="233" t="s">
        <v>9</v>
      </c>
      <c r="B11" s="246" t="s">
        <v>28</v>
      </c>
      <c r="C11" s="568">
        <v>41689987.960000001</v>
      </c>
      <c r="D11" s="160">
        <v>42471340.990000002</v>
      </c>
      <c r="E11" s="155">
        <v>118000</v>
      </c>
      <c r="F11" s="334">
        <v>42353340.990000002</v>
      </c>
      <c r="G11" s="369">
        <v>2.1</v>
      </c>
      <c r="H11" s="157">
        <v>101.9</v>
      </c>
      <c r="I11" s="234">
        <v>161.19999999999999</v>
      </c>
    </row>
    <row r="12" spans="1:9" s="1" customFormat="1" ht="19.899999999999999" customHeight="1">
      <c r="A12" s="233" t="s">
        <v>1</v>
      </c>
      <c r="B12" s="246" t="s">
        <v>29</v>
      </c>
      <c r="C12" s="568">
        <v>132768288.93000001</v>
      </c>
      <c r="D12" s="160">
        <v>139479385.78</v>
      </c>
      <c r="E12" s="155">
        <v>6572200</v>
      </c>
      <c r="F12" s="334">
        <v>132907185.78</v>
      </c>
      <c r="G12" s="369">
        <v>6.9</v>
      </c>
      <c r="H12" s="157">
        <v>105.1</v>
      </c>
      <c r="I12" s="234">
        <v>176.1</v>
      </c>
    </row>
    <row r="13" spans="1:9" s="1" customFormat="1" ht="19.899999999999999" customHeight="1">
      <c r="A13" s="233" t="s">
        <v>2</v>
      </c>
      <c r="B13" s="246" t="s">
        <v>30</v>
      </c>
      <c r="C13" s="568">
        <v>163011903.78</v>
      </c>
      <c r="D13" s="160">
        <v>167766940.75999999</v>
      </c>
      <c r="E13" s="155">
        <v>0</v>
      </c>
      <c r="F13" s="334">
        <v>167766940.75999999</v>
      </c>
      <c r="G13" s="369">
        <v>8.3000000000000007</v>
      </c>
      <c r="H13" s="157">
        <v>102.9</v>
      </c>
      <c r="I13" s="234">
        <v>172.8</v>
      </c>
    </row>
    <row r="14" spans="1:9" s="1" customFormat="1" ht="19.899999999999999" customHeight="1">
      <c r="A14" s="233" t="s">
        <v>10</v>
      </c>
      <c r="B14" s="246" t="s">
        <v>31</v>
      </c>
      <c r="C14" s="568">
        <v>251898460.96000001</v>
      </c>
      <c r="D14" s="160">
        <v>282588905.38999999</v>
      </c>
      <c r="E14" s="155">
        <v>836233.99</v>
      </c>
      <c r="F14" s="334">
        <v>281752671.39999998</v>
      </c>
      <c r="G14" s="369">
        <v>14</v>
      </c>
      <c r="H14" s="157">
        <v>112.2</v>
      </c>
      <c r="I14" s="234">
        <v>125.5</v>
      </c>
    </row>
    <row r="15" spans="1:9" s="1" customFormat="1" ht="19.899999999999999" customHeight="1">
      <c r="A15" s="233" t="s">
        <v>11</v>
      </c>
      <c r="B15" s="246" t="s">
        <v>32</v>
      </c>
      <c r="C15" s="568">
        <v>27091004.039999999</v>
      </c>
      <c r="D15" s="160">
        <v>29065488.27</v>
      </c>
      <c r="E15" s="155">
        <v>200000</v>
      </c>
      <c r="F15" s="334">
        <v>28865488.27</v>
      </c>
      <c r="G15" s="369">
        <v>1.5</v>
      </c>
      <c r="H15" s="157">
        <v>107.3</v>
      </c>
      <c r="I15" s="234">
        <v>227.4</v>
      </c>
    </row>
    <row r="16" spans="1:9" s="1" customFormat="1" ht="19.899999999999999" customHeight="1">
      <c r="A16" s="233" t="s">
        <v>12</v>
      </c>
      <c r="B16" s="246" t="s">
        <v>33</v>
      </c>
      <c r="C16" s="568">
        <v>75912464.959999993</v>
      </c>
      <c r="D16" s="160">
        <v>74698231.150000006</v>
      </c>
      <c r="E16" s="155">
        <v>134940</v>
      </c>
      <c r="F16" s="334">
        <v>74563291.150000006</v>
      </c>
      <c r="G16" s="369">
        <v>3.7</v>
      </c>
      <c r="H16" s="157">
        <v>98.4</v>
      </c>
      <c r="I16" s="234">
        <v>214.2</v>
      </c>
    </row>
    <row r="17" spans="1:9" s="1" customFormat="1" ht="19.899999999999999" customHeight="1">
      <c r="A17" s="233" t="s">
        <v>13</v>
      </c>
      <c r="B17" s="246" t="s">
        <v>34</v>
      </c>
      <c r="C17" s="568">
        <v>67021477.829999998</v>
      </c>
      <c r="D17" s="160">
        <v>68923505.849999994</v>
      </c>
      <c r="E17" s="155">
        <v>2196896.58</v>
      </c>
      <c r="F17" s="334">
        <v>66726609.270000003</v>
      </c>
      <c r="G17" s="369">
        <v>3.4</v>
      </c>
      <c r="H17" s="157">
        <v>102.8</v>
      </c>
      <c r="I17" s="234">
        <v>160.6</v>
      </c>
    </row>
    <row r="18" spans="1:9" s="1" customFormat="1" ht="19.899999999999999" customHeight="1">
      <c r="A18" s="233" t="s">
        <v>14</v>
      </c>
      <c r="B18" s="246" t="s">
        <v>35</v>
      </c>
      <c r="C18" s="568">
        <v>136204967.66</v>
      </c>
      <c r="D18" s="160">
        <v>116314258.13</v>
      </c>
      <c r="E18" s="155">
        <v>250000</v>
      </c>
      <c r="F18" s="334">
        <v>116064258.13</v>
      </c>
      <c r="G18" s="369">
        <v>5.8</v>
      </c>
      <c r="H18" s="157">
        <v>85.4</v>
      </c>
      <c r="I18" s="234">
        <v>138.30000000000001</v>
      </c>
    </row>
    <row r="19" spans="1:9" s="1" customFormat="1" ht="19.899999999999999" customHeight="1">
      <c r="A19" s="233" t="s">
        <v>15</v>
      </c>
      <c r="B19" s="246" t="s">
        <v>36</v>
      </c>
      <c r="C19" s="568">
        <v>364892650.94999999</v>
      </c>
      <c r="D19" s="160">
        <v>378773804.04000002</v>
      </c>
      <c r="E19" s="155">
        <v>491945.01</v>
      </c>
      <c r="F19" s="334">
        <v>378281859.02999997</v>
      </c>
      <c r="G19" s="369">
        <v>18.8</v>
      </c>
      <c r="H19" s="157">
        <v>103.8</v>
      </c>
      <c r="I19" s="234">
        <v>151.6</v>
      </c>
    </row>
    <row r="20" spans="1:9" s="1" customFormat="1" ht="19.899999999999999" customHeight="1">
      <c r="A20" s="233" t="s">
        <v>16</v>
      </c>
      <c r="B20" s="246" t="s">
        <v>37</v>
      </c>
      <c r="C20" s="568">
        <v>39964089.18</v>
      </c>
      <c r="D20" s="160">
        <v>38088072.409999996</v>
      </c>
      <c r="E20" s="155">
        <v>158648</v>
      </c>
      <c r="F20" s="334">
        <v>37929424.409999996</v>
      </c>
      <c r="G20" s="369">
        <v>1.9</v>
      </c>
      <c r="H20" s="157">
        <v>95.3</v>
      </c>
      <c r="I20" s="234">
        <v>196.9</v>
      </c>
    </row>
    <row r="21" spans="1:9" s="1" customFormat="1" ht="19.899999999999999" customHeight="1">
      <c r="A21" s="233" t="s">
        <v>17</v>
      </c>
      <c r="B21" s="246" t="s">
        <v>43</v>
      </c>
      <c r="C21" s="568">
        <v>74438269.319999993</v>
      </c>
      <c r="D21" s="160">
        <v>73018503.189999998</v>
      </c>
      <c r="E21" s="155">
        <v>8169018.9800000004</v>
      </c>
      <c r="F21" s="334">
        <v>64849484.210000001</v>
      </c>
      <c r="G21" s="369">
        <v>3.6</v>
      </c>
      <c r="H21" s="157">
        <v>98.1</v>
      </c>
      <c r="I21" s="234">
        <v>251.9</v>
      </c>
    </row>
    <row r="22" spans="1:9" s="1" customFormat="1" ht="19.899999999999999" customHeight="1">
      <c r="A22" s="233" t="s">
        <v>18</v>
      </c>
      <c r="B22" s="246" t="s">
        <v>38</v>
      </c>
      <c r="C22" s="568">
        <v>125523143.94</v>
      </c>
      <c r="D22" s="160">
        <v>137470201.58000001</v>
      </c>
      <c r="E22" s="155">
        <v>4003095.98</v>
      </c>
      <c r="F22" s="334">
        <v>133467105.59999999</v>
      </c>
      <c r="G22" s="369">
        <v>6.8</v>
      </c>
      <c r="H22" s="157">
        <v>109.5</v>
      </c>
      <c r="I22" s="234">
        <v>179.3</v>
      </c>
    </row>
    <row r="23" spans="1:9" s="1" customFormat="1" ht="19.899999999999999" customHeight="1">
      <c r="A23" s="235" t="s">
        <v>19</v>
      </c>
      <c r="B23" s="247" t="s">
        <v>39</v>
      </c>
      <c r="C23" s="569">
        <v>77962430.890000001</v>
      </c>
      <c r="D23" s="151">
        <v>86114883.439999998</v>
      </c>
      <c r="E23" s="149">
        <v>6459165.5</v>
      </c>
      <c r="F23" s="336">
        <v>79655717.939999998</v>
      </c>
      <c r="G23" s="371">
        <v>4.3</v>
      </c>
      <c r="H23" s="130">
        <v>110.5</v>
      </c>
      <c r="I23" s="238">
        <v>157.9</v>
      </c>
    </row>
    <row r="24" spans="1:9">
      <c r="G24" s="688" t="s">
        <v>3</v>
      </c>
    </row>
    <row r="25" spans="1:9" s="1" customFormat="1" ht="13.5">
      <c r="A25" s="118" t="s">
        <v>934</v>
      </c>
      <c r="B25" s="119" t="s">
        <v>1159</v>
      </c>
      <c r="C25" s="118"/>
      <c r="D25" s="118"/>
      <c r="E25" s="118"/>
      <c r="F25" s="118"/>
      <c r="G25" s="118"/>
      <c r="H25" s="118"/>
      <c r="I25" s="118"/>
    </row>
    <row r="26" spans="1:9" s="1" customFormat="1" ht="13.5">
      <c r="A26" s="118"/>
      <c r="B26" s="119" t="s">
        <v>936</v>
      </c>
      <c r="C26" s="118"/>
      <c r="D26" s="118"/>
      <c r="E26" s="118"/>
      <c r="F26" s="118"/>
      <c r="G26" s="118"/>
      <c r="H26" s="118"/>
      <c r="I26" s="118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honeticPr fontId="0" type="noConversion"/>
  <printOptions horizontalCentered="1"/>
  <pageMargins left="0.49" right="0.51" top="0.94" bottom="0.98425196850393704" header="0.51181102362204722" footer="0.51181102362204722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2">
    <tabColor rgb="FF92D050"/>
  </sheetPr>
  <dimension ref="A1:I26"/>
  <sheetViews>
    <sheetView showGridLines="0" workbookViewId="0">
      <selection activeCell="J5" sqref="J5"/>
    </sheetView>
  </sheetViews>
  <sheetFormatPr defaultColWidth="9.140625" defaultRowHeight="12.75"/>
  <cols>
    <col min="1" max="1" width="4.42578125" style="9" customWidth="1"/>
    <col min="2" max="2" width="19" style="9" customWidth="1"/>
    <col min="3" max="4" width="10.5703125" style="9" bestFit="1" customWidth="1"/>
    <col min="5" max="5" width="9.85546875" style="9" bestFit="1" customWidth="1"/>
    <col min="6" max="6" width="10.5703125" style="9" bestFit="1" customWidth="1"/>
    <col min="7" max="7" width="7.140625" style="9" bestFit="1" customWidth="1"/>
    <col min="8" max="8" width="7.42578125" style="9" bestFit="1" customWidth="1"/>
    <col min="9" max="9" width="12.42578125" style="9" customWidth="1"/>
    <col min="10" max="16384" width="9.140625" style="9"/>
  </cols>
  <sheetData>
    <row r="1" spans="1:9" ht="27" customHeight="1">
      <c r="A1" s="1861" t="s">
        <v>1003</v>
      </c>
      <c r="B1" s="1861"/>
      <c r="C1" s="1861"/>
      <c r="D1" s="1861"/>
      <c r="E1" s="1861"/>
      <c r="F1" s="1861"/>
      <c r="G1" s="1861"/>
      <c r="H1" s="1861"/>
      <c r="I1" s="1861"/>
    </row>
    <row r="2" spans="1:9" ht="10.5" customHeight="1"/>
    <row r="3" spans="1:9" ht="15.7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7.75" customHeight="1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s="10" customFormat="1" ht="15" customHeight="1">
      <c r="A5" s="1872"/>
      <c r="B5" s="187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s="17" customFormat="1" ht="12.7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6" customFormat="1" ht="19.5" customHeight="1">
      <c r="A7" s="231"/>
      <c r="B7" s="1563" t="s">
        <v>933</v>
      </c>
      <c r="C7" s="567">
        <v>261378760.59</v>
      </c>
      <c r="D7" s="159">
        <v>190352307.27000001</v>
      </c>
      <c r="E7" s="158">
        <v>10717420.439999999</v>
      </c>
      <c r="F7" s="332">
        <v>179634886.83000001</v>
      </c>
      <c r="G7" s="560">
        <v>100</v>
      </c>
      <c r="H7" s="150">
        <v>72.8</v>
      </c>
      <c r="I7" s="232">
        <v>15.2</v>
      </c>
    </row>
    <row r="8" spans="1:9" s="16" customFormat="1" ht="19.5" customHeight="1">
      <c r="A8" s="233" t="s">
        <v>6</v>
      </c>
      <c r="B8" s="246" t="s">
        <v>26</v>
      </c>
      <c r="C8" s="568">
        <v>9218448.6300000008</v>
      </c>
      <c r="D8" s="160">
        <v>7444204.0999999996</v>
      </c>
      <c r="E8" s="155">
        <v>21874.99</v>
      </c>
      <c r="F8" s="334">
        <v>7422329.1100000003</v>
      </c>
      <c r="G8" s="369">
        <v>3.9</v>
      </c>
      <c r="H8" s="157">
        <v>80.8</v>
      </c>
      <c r="I8" s="234">
        <v>8</v>
      </c>
    </row>
    <row r="9" spans="1:9" s="16" customFormat="1" ht="19.5" customHeight="1">
      <c r="A9" s="233" t="s">
        <v>7</v>
      </c>
      <c r="B9" s="246" t="s">
        <v>42</v>
      </c>
      <c r="C9" s="568">
        <v>11069360.49</v>
      </c>
      <c r="D9" s="160">
        <v>8840337.4800000004</v>
      </c>
      <c r="E9" s="155">
        <v>0</v>
      </c>
      <c r="F9" s="334">
        <v>8840337.4800000004</v>
      </c>
      <c r="G9" s="369">
        <v>4.5999999999999996</v>
      </c>
      <c r="H9" s="157">
        <v>79.900000000000006</v>
      </c>
      <c r="I9" s="234">
        <v>11.9</v>
      </c>
    </row>
    <row r="10" spans="1:9" s="16" customFormat="1" ht="19.5" customHeight="1">
      <c r="A10" s="233" t="s">
        <v>8</v>
      </c>
      <c r="B10" s="246" t="s">
        <v>27</v>
      </c>
      <c r="C10" s="568">
        <v>6733854.6200000001</v>
      </c>
      <c r="D10" s="160">
        <v>4510047.76</v>
      </c>
      <c r="E10" s="155">
        <v>143664</v>
      </c>
      <c r="F10" s="334">
        <v>4366383.76</v>
      </c>
      <c r="G10" s="369">
        <v>2.4</v>
      </c>
      <c r="H10" s="157">
        <v>67</v>
      </c>
      <c r="I10" s="234">
        <v>8.6999999999999993</v>
      </c>
    </row>
    <row r="11" spans="1:9" s="16" customFormat="1" ht="19.5" customHeight="1">
      <c r="A11" s="233" t="s">
        <v>9</v>
      </c>
      <c r="B11" s="246" t="s">
        <v>28</v>
      </c>
      <c r="C11" s="568">
        <v>10353691.699999999</v>
      </c>
      <c r="D11" s="160">
        <v>5438732.21</v>
      </c>
      <c r="E11" s="155">
        <v>2782463.2</v>
      </c>
      <c r="F11" s="334">
        <v>2656269.0099999998</v>
      </c>
      <c r="G11" s="369">
        <v>2.9</v>
      </c>
      <c r="H11" s="157">
        <v>52.5</v>
      </c>
      <c r="I11" s="234">
        <v>20.6</v>
      </c>
    </row>
    <row r="12" spans="1:9" s="16" customFormat="1" ht="19.5" customHeight="1">
      <c r="A12" s="233" t="s">
        <v>1</v>
      </c>
      <c r="B12" s="246" t="s">
        <v>29</v>
      </c>
      <c r="C12" s="568">
        <v>21741671.68</v>
      </c>
      <c r="D12" s="160">
        <v>19249743.68</v>
      </c>
      <c r="E12" s="155">
        <v>0</v>
      </c>
      <c r="F12" s="334">
        <v>19249743.68</v>
      </c>
      <c r="G12" s="369">
        <v>10.1</v>
      </c>
      <c r="H12" s="157">
        <v>88.5</v>
      </c>
      <c r="I12" s="234">
        <v>24.3</v>
      </c>
    </row>
    <row r="13" spans="1:9" s="16" customFormat="1" ht="19.5" customHeight="1">
      <c r="A13" s="233" t="s">
        <v>2</v>
      </c>
      <c r="B13" s="246" t="s">
        <v>30</v>
      </c>
      <c r="C13" s="568">
        <v>30214431.5</v>
      </c>
      <c r="D13" s="160">
        <v>28404600.920000002</v>
      </c>
      <c r="E13" s="155">
        <v>0</v>
      </c>
      <c r="F13" s="334">
        <v>28404600.920000002</v>
      </c>
      <c r="G13" s="369">
        <v>14.9</v>
      </c>
      <c r="H13" s="157">
        <v>94</v>
      </c>
      <c r="I13" s="234">
        <v>29.3</v>
      </c>
    </row>
    <row r="14" spans="1:9" s="16" customFormat="1" ht="19.5" customHeight="1">
      <c r="A14" s="233" t="s">
        <v>10</v>
      </c>
      <c r="B14" s="246" t="s">
        <v>31</v>
      </c>
      <c r="C14" s="568">
        <v>78370588.519999996</v>
      </c>
      <c r="D14" s="160">
        <v>31733835.510000002</v>
      </c>
      <c r="E14" s="155">
        <v>119800.14</v>
      </c>
      <c r="F14" s="334">
        <v>31614035.370000001</v>
      </c>
      <c r="G14" s="369">
        <v>16.7</v>
      </c>
      <c r="H14" s="157">
        <v>40.5</v>
      </c>
      <c r="I14" s="234">
        <v>14.1</v>
      </c>
    </row>
    <row r="15" spans="1:9" s="16" customFormat="1" ht="19.5" customHeight="1">
      <c r="A15" s="233" t="s">
        <v>11</v>
      </c>
      <c r="B15" s="246" t="s">
        <v>32</v>
      </c>
      <c r="C15" s="568">
        <v>3799287.66</v>
      </c>
      <c r="D15" s="160">
        <v>3160999.03</v>
      </c>
      <c r="E15" s="155">
        <v>0</v>
      </c>
      <c r="F15" s="334">
        <v>3160999.03</v>
      </c>
      <c r="G15" s="369">
        <v>1.7</v>
      </c>
      <c r="H15" s="157">
        <v>83.2</v>
      </c>
      <c r="I15" s="234">
        <v>24.7</v>
      </c>
    </row>
    <row r="16" spans="1:9" s="16" customFormat="1" ht="19.5" customHeight="1">
      <c r="A16" s="233" t="s">
        <v>12</v>
      </c>
      <c r="B16" s="246" t="s">
        <v>33</v>
      </c>
      <c r="C16" s="568">
        <v>15439289.26</v>
      </c>
      <c r="D16" s="160">
        <v>12388091.91</v>
      </c>
      <c r="E16" s="155">
        <v>0</v>
      </c>
      <c r="F16" s="334">
        <v>12388091.91</v>
      </c>
      <c r="G16" s="369">
        <v>6.5</v>
      </c>
      <c r="H16" s="157">
        <v>80.2</v>
      </c>
      <c r="I16" s="234">
        <v>35.5</v>
      </c>
    </row>
    <row r="17" spans="1:9" s="16" customFormat="1" ht="19.5" customHeight="1">
      <c r="A17" s="233" t="s">
        <v>13</v>
      </c>
      <c r="B17" s="246" t="s">
        <v>34</v>
      </c>
      <c r="C17" s="568">
        <v>15332906.630000001</v>
      </c>
      <c r="D17" s="160">
        <v>17563265.030000001</v>
      </c>
      <c r="E17" s="155">
        <v>3500000</v>
      </c>
      <c r="F17" s="334">
        <v>14063265.029999999</v>
      </c>
      <c r="G17" s="369">
        <v>9.1999999999999993</v>
      </c>
      <c r="H17" s="157">
        <v>114.5</v>
      </c>
      <c r="I17" s="234">
        <v>40.9</v>
      </c>
    </row>
    <row r="18" spans="1:9" s="16" customFormat="1" ht="19.5" customHeight="1">
      <c r="A18" s="233" t="s">
        <v>14</v>
      </c>
      <c r="B18" s="246" t="s">
        <v>35</v>
      </c>
      <c r="C18" s="568">
        <v>7731845.21</v>
      </c>
      <c r="D18" s="160">
        <v>6624673.4100000001</v>
      </c>
      <c r="E18" s="155">
        <v>0</v>
      </c>
      <c r="F18" s="334">
        <v>6624673.4100000001</v>
      </c>
      <c r="G18" s="369">
        <v>3.5</v>
      </c>
      <c r="H18" s="157">
        <v>85.7</v>
      </c>
      <c r="I18" s="234">
        <v>7.9</v>
      </c>
    </row>
    <row r="19" spans="1:9" s="16" customFormat="1" ht="19.5" customHeight="1">
      <c r="A19" s="233" t="s">
        <v>15</v>
      </c>
      <c r="B19" s="246" t="s">
        <v>36</v>
      </c>
      <c r="C19" s="568">
        <v>32581424.809999999</v>
      </c>
      <c r="D19" s="160">
        <v>30932364.399999999</v>
      </c>
      <c r="E19" s="155">
        <v>4139854.91</v>
      </c>
      <c r="F19" s="334">
        <v>26792509.489999998</v>
      </c>
      <c r="G19" s="369">
        <v>16.2</v>
      </c>
      <c r="H19" s="157">
        <v>94.9</v>
      </c>
      <c r="I19" s="234">
        <v>12.4</v>
      </c>
    </row>
    <row r="20" spans="1:9" s="16" customFormat="1" ht="19.5" customHeight="1">
      <c r="A20" s="233" t="s">
        <v>16</v>
      </c>
      <c r="B20" s="246" t="s">
        <v>37</v>
      </c>
      <c r="C20" s="568">
        <v>5711956.1200000001</v>
      </c>
      <c r="D20" s="160">
        <v>4697852.34</v>
      </c>
      <c r="E20" s="155">
        <v>0</v>
      </c>
      <c r="F20" s="334">
        <v>4697852.34</v>
      </c>
      <c r="G20" s="369">
        <v>2.5</v>
      </c>
      <c r="H20" s="157">
        <v>82.2</v>
      </c>
      <c r="I20" s="234">
        <v>24.3</v>
      </c>
    </row>
    <row r="21" spans="1:9" s="16" customFormat="1" ht="19.5" customHeight="1">
      <c r="A21" s="233" t="s">
        <v>17</v>
      </c>
      <c r="B21" s="246" t="s">
        <v>43</v>
      </c>
      <c r="C21" s="568">
        <v>4335630.96</v>
      </c>
      <c r="D21" s="160">
        <v>3204926.64</v>
      </c>
      <c r="E21" s="155">
        <v>9763.2000000000007</v>
      </c>
      <c r="F21" s="334">
        <v>3195163.44</v>
      </c>
      <c r="G21" s="369">
        <v>1.7</v>
      </c>
      <c r="H21" s="157">
        <v>73.900000000000006</v>
      </c>
      <c r="I21" s="234">
        <v>11.1</v>
      </c>
    </row>
    <row r="22" spans="1:9" s="16" customFormat="1" ht="19.5" customHeight="1">
      <c r="A22" s="233" t="s">
        <v>18</v>
      </c>
      <c r="B22" s="246" t="s">
        <v>38</v>
      </c>
      <c r="C22" s="568">
        <v>6002411.9900000002</v>
      </c>
      <c r="D22" s="160">
        <v>4490574.24</v>
      </c>
      <c r="E22" s="155">
        <v>0</v>
      </c>
      <c r="F22" s="334">
        <v>4490574.24</v>
      </c>
      <c r="G22" s="369">
        <v>2.2999999999999998</v>
      </c>
      <c r="H22" s="157">
        <v>74.8</v>
      </c>
      <c r="I22" s="234">
        <v>5.9</v>
      </c>
    </row>
    <row r="23" spans="1:9" s="16" customFormat="1" ht="20.45" customHeight="1">
      <c r="A23" s="235" t="s">
        <v>19</v>
      </c>
      <c r="B23" s="247" t="s">
        <v>39</v>
      </c>
      <c r="C23" s="569">
        <v>2741960.81</v>
      </c>
      <c r="D23" s="151">
        <v>1668058.61</v>
      </c>
      <c r="E23" s="149">
        <v>0</v>
      </c>
      <c r="F23" s="336">
        <v>1668058.61</v>
      </c>
      <c r="G23" s="371">
        <v>0.9</v>
      </c>
      <c r="H23" s="130">
        <v>60.8</v>
      </c>
      <c r="I23" s="238">
        <v>3.1</v>
      </c>
    </row>
    <row r="24" spans="1:9" ht="8.25" customHeight="1"/>
    <row r="25" spans="1:9" s="1" customFormat="1" ht="13.5">
      <c r="A25" s="120" t="s">
        <v>934</v>
      </c>
      <c r="B25" s="121" t="s">
        <v>1159</v>
      </c>
      <c r="C25" s="120"/>
      <c r="D25" s="120"/>
      <c r="E25" s="120"/>
      <c r="F25" s="120"/>
      <c r="G25" s="653" t="s">
        <v>3</v>
      </c>
      <c r="H25" s="120"/>
      <c r="I25" s="120"/>
    </row>
    <row r="26" spans="1:9" s="1" customFormat="1" ht="13.5">
      <c r="A26" s="120"/>
      <c r="B26" s="121" t="s">
        <v>936</v>
      </c>
      <c r="C26" s="120"/>
      <c r="D26" s="120"/>
      <c r="E26" s="120"/>
      <c r="F26" s="120"/>
      <c r="G26" s="120"/>
      <c r="H26" s="120"/>
      <c r="I26" s="120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honeticPr fontId="0" type="noConversion"/>
  <printOptions horizontalCentered="1"/>
  <pageMargins left="0.32" right="0.32" top="1.1000000000000001" bottom="0.98425196850393704" header="0.51181102362204722" footer="0.51181102362204722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>
    <tabColor rgb="FF92D050"/>
  </sheetPr>
  <dimension ref="A1:I26"/>
  <sheetViews>
    <sheetView showGridLines="0" workbookViewId="0">
      <selection activeCell="L7" sqref="L7"/>
    </sheetView>
  </sheetViews>
  <sheetFormatPr defaultColWidth="9.140625" defaultRowHeight="12.75"/>
  <cols>
    <col min="1" max="1" width="4.7109375" style="5" customWidth="1"/>
    <col min="2" max="2" width="16.140625" style="5" customWidth="1"/>
    <col min="3" max="4" width="9.85546875" style="5" bestFit="1" customWidth="1"/>
    <col min="5" max="5" width="9.140625" style="5"/>
    <col min="6" max="6" width="9.85546875" style="5" bestFit="1" customWidth="1"/>
    <col min="7" max="7" width="7.140625" style="5" bestFit="1" customWidth="1"/>
    <col min="8" max="8" width="7.42578125" style="5" bestFit="1" customWidth="1"/>
    <col min="9" max="9" width="11.5703125" style="5" customWidth="1"/>
    <col min="10" max="16384" width="9.140625" style="5"/>
  </cols>
  <sheetData>
    <row r="1" spans="1:9" ht="40.5" customHeight="1">
      <c r="A1" s="1861" t="s">
        <v>1004</v>
      </c>
      <c r="B1" s="1861"/>
      <c r="C1" s="1861"/>
      <c r="D1" s="1861"/>
      <c r="E1" s="1861"/>
      <c r="F1" s="1861"/>
      <c r="G1" s="1861"/>
      <c r="H1" s="1861"/>
      <c r="I1" s="1861"/>
    </row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35.25" customHeight="1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ht="13.5">
      <c r="A5" s="1872"/>
      <c r="B5" s="187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ht="12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5" customFormat="1" ht="19.899999999999999" customHeight="1">
      <c r="A7" s="231"/>
      <c r="B7" s="1563" t="s">
        <v>933</v>
      </c>
      <c r="C7" s="567">
        <v>34629343.030000001</v>
      </c>
      <c r="D7" s="159">
        <v>43645584.530000001</v>
      </c>
      <c r="E7" s="158">
        <v>0</v>
      </c>
      <c r="F7" s="332">
        <v>43645584.530000001</v>
      </c>
      <c r="G7" s="560">
        <v>100</v>
      </c>
      <c r="H7" s="150">
        <v>126</v>
      </c>
      <c r="I7" s="232">
        <v>3.5</v>
      </c>
    </row>
    <row r="8" spans="1:9" s="15" customFormat="1" ht="19.899999999999999" customHeight="1">
      <c r="A8" s="233" t="s">
        <v>6</v>
      </c>
      <c r="B8" s="246" t="s">
        <v>26</v>
      </c>
      <c r="C8" s="568">
        <v>2394418.69</v>
      </c>
      <c r="D8" s="160">
        <v>2716019.62</v>
      </c>
      <c r="E8" s="155">
        <v>0</v>
      </c>
      <c r="F8" s="334">
        <v>2716019.62</v>
      </c>
      <c r="G8" s="369">
        <v>6.2</v>
      </c>
      <c r="H8" s="157">
        <v>113.4</v>
      </c>
      <c r="I8" s="234">
        <v>2.9</v>
      </c>
    </row>
    <row r="9" spans="1:9" s="15" customFormat="1" ht="19.899999999999999" customHeight="1">
      <c r="A9" s="233" t="s">
        <v>7</v>
      </c>
      <c r="B9" s="246" t="s">
        <v>42</v>
      </c>
      <c r="C9" s="568">
        <v>2632981.63</v>
      </c>
      <c r="D9" s="160">
        <v>3817385.22</v>
      </c>
      <c r="E9" s="155">
        <v>0</v>
      </c>
      <c r="F9" s="334">
        <v>3817385.22</v>
      </c>
      <c r="G9" s="369">
        <v>8.6999999999999993</v>
      </c>
      <c r="H9" s="157">
        <v>145</v>
      </c>
      <c r="I9" s="234">
        <v>5.0999999999999996</v>
      </c>
    </row>
    <row r="10" spans="1:9" s="15" customFormat="1" ht="19.899999999999999" customHeight="1">
      <c r="A10" s="233" t="s">
        <v>8</v>
      </c>
      <c r="B10" s="246" t="s">
        <v>27</v>
      </c>
      <c r="C10" s="568">
        <v>1679430.1</v>
      </c>
      <c r="D10" s="160">
        <v>1608759.77</v>
      </c>
      <c r="E10" s="155">
        <v>0</v>
      </c>
      <c r="F10" s="334">
        <v>1608759.77</v>
      </c>
      <c r="G10" s="369">
        <v>3.7</v>
      </c>
      <c r="H10" s="157">
        <v>95.8</v>
      </c>
      <c r="I10" s="234">
        <v>3.1</v>
      </c>
    </row>
    <row r="11" spans="1:9" s="15" customFormat="1" ht="19.899999999999999" customHeight="1">
      <c r="A11" s="233" t="s">
        <v>9</v>
      </c>
      <c r="B11" s="246" t="s">
        <v>28</v>
      </c>
      <c r="C11" s="568">
        <v>436507.85</v>
      </c>
      <c r="D11" s="160">
        <v>959734.39</v>
      </c>
      <c r="E11" s="155">
        <v>0</v>
      </c>
      <c r="F11" s="334">
        <v>959734.39</v>
      </c>
      <c r="G11" s="369">
        <v>2.2000000000000002</v>
      </c>
      <c r="H11" s="157">
        <v>219.9</v>
      </c>
      <c r="I11" s="234">
        <v>3.6</v>
      </c>
    </row>
    <row r="12" spans="1:9" s="15" customFormat="1" ht="19.899999999999999" customHeight="1">
      <c r="A12" s="233" t="s">
        <v>1</v>
      </c>
      <c r="B12" s="246" t="s">
        <v>29</v>
      </c>
      <c r="C12" s="568">
        <v>1085993.57</v>
      </c>
      <c r="D12" s="160">
        <v>1239365.43</v>
      </c>
      <c r="E12" s="155">
        <v>0</v>
      </c>
      <c r="F12" s="334">
        <v>1239365.43</v>
      </c>
      <c r="G12" s="369">
        <v>2.8</v>
      </c>
      <c r="H12" s="157">
        <v>114.1</v>
      </c>
      <c r="I12" s="234">
        <v>1.6</v>
      </c>
    </row>
    <row r="13" spans="1:9" s="15" customFormat="1" ht="19.899999999999999" customHeight="1">
      <c r="A13" s="233" t="s">
        <v>2</v>
      </c>
      <c r="B13" s="246" t="s">
        <v>30</v>
      </c>
      <c r="C13" s="568">
        <v>2532866.61</v>
      </c>
      <c r="D13" s="160">
        <v>2607533.86</v>
      </c>
      <c r="E13" s="155">
        <v>0</v>
      </c>
      <c r="F13" s="334">
        <v>2607533.86</v>
      </c>
      <c r="G13" s="369">
        <v>6</v>
      </c>
      <c r="H13" s="157">
        <v>102.9</v>
      </c>
      <c r="I13" s="234">
        <v>2.7</v>
      </c>
    </row>
    <row r="14" spans="1:9" s="15" customFormat="1" ht="19.899999999999999" customHeight="1">
      <c r="A14" s="233" t="s">
        <v>10</v>
      </c>
      <c r="B14" s="246" t="s">
        <v>31</v>
      </c>
      <c r="C14" s="568">
        <v>8888341.9299999997</v>
      </c>
      <c r="D14" s="160">
        <v>10713109.59</v>
      </c>
      <c r="E14" s="155">
        <v>0</v>
      </c>
      <c r="F14" s="334">
        <v>10713109.59</v>
      </c>
      <c r="G14" s="369">
        <v>24.5</v>
      </c>
      <c r="H14" s="157">
        <v>120.5</v>
      </c>
      <c r="I14" s="234">
        <v>4.8</v>
      </c>
    </row>
    <row r="15" spans="1:9" s="15" customFormat="1" ht="19.899999999999999" customHeight="1">
      <c r="A15" s="233" t="s">
        <v>11</v>
      </c>
      <c r="B15" s="246" t="s">
        <v>32</v>
      </c>
      <c r="C15" s="568">
        <v>231480</v>
      </c>
      <c r="D15" s="160">
        <v>385088.59</v>
      </c>
      <c r="E15" s="155">
        <v>0</v>
      </c>
      <c r="F15" s="334">
        <v>385088.59</v>
      </c>
      <c r="G15" s="369">
        <v>0.9</v>
      </c>
      <c r="H15" s="157">
        <v>166.4</v>
      </c>
      <c r="I15" s="234">
        <v>3</v>
      </c>
    </row>
    <row r="16" spans="1:9" s="15" customFormat="1" ht="19.899999999999999" customHeight="1">
      <c r="A16" s="233" t="s">
        <v>12</v>
      </c>
      <c r="B16" s="246" t="s">
        <v>33</v>
      </c>
      <c r="C16" s="568">
        <v>398302.06</v>
      </c>
      <c r="D16" s="160">
        <v>633547.5</v>
      </c>
      <c r="E16" s="155">
        <v>0</v>
      </c>
      <c r="F16" s="334">
        <v>633547.5</v>
      </c>
      <c r="G16" s="369">
        <v>1.5</v>
      </c>
      <c r="H16" s="157">
        <v>159.1</v>
      </c>
      <c r="I16" s="234">
        <v>1.8</v>
      </c>
    </row>
    <row r="17" spans="1:9" s="15" customFormat="1" ht="19.899999999999999" customHeight="1">
      <c r="A17" s="233" t="s">
        <v>13</v>
      </c>
      <c r="B17" s="246" t="s">
        <v>34</v>
      </c>
      <c r="C17" s="568">
        <v>1460224.51</v>
      </c>
      <c r="D17" s="160">
        <v>2271921.39</v>
      </c>
      <c r="E17" s="155">
        <v>0</v>
      </c>
      <c r="F17" s="334">
        <v>2271921.39</v>
      </c>
      <c r="G17" s="369">
        <v>5.2</v>
      </c>
      <c r="H17" s="157">
        <v>155.6</v>
      </c>
      <c r="I17" s="234">
        <v>5.3</v>
      </c>
    </row>
    <row r="18" spans="1:9" s="15" customFormat="1" ht="19.899999999999999" customHeight="1">
      <c r="A18" s="233" t="s">
        <v>14</v>
      </c>
      <c r="B18" s="246" t="s">
        <v>35</v>
      </c>
      <c r="C18" s="568">
        <v>3817721.28</v>
      </c>
      <c r="D18" s="160">
        <v>5081879.8899999997</v>
      </c>
      <c r="E18" s="155">
        <v>0</v>
      </c>
      <c r="F18" s="334">
        <v>5081879.8899999997</v>
      </c>
      <c r="G18" s="369">
        <v>11.6</v>
      </c>
      <c r="H18" s="157">
        <v>133.1</v>
      </c>
      <c r="I18" s="234">
        <v>6</v>
      </c>
    </row>
    <row r="19" spans="1:9" s="15" customFormat="1" ht="19.899999999999999" customHeight="1">
      <c r="A19" s="233" t="s">
        <v>15</v>
      </c>
      <c r="B19" s="246" t="s">
        <v>36</v>
      </c>
      <c r="C19" s="568">
        <v>4964082.1100000003</v>
      </c>
      <c r="D19" s="160">
        <v>7548278.9100000001</v>
      </c>
      <c r="E19" s="155">
        <v>0</v>
      </c>
      <c r="F19" s="334">
        <v>7548278.9100000001</v>
      </c>
      <c r="G19" s="369">
        <v>17.3</v>
      </c>
      <c r="H19" s="157">
        <v>152.1</v>
      </c>
      <c r="I19" s="234">
        <v>3</v>
      </c>
    </row>
    <row r="20" spans="1:9" s="15" customFormat="1" ht="19.899999999999999" customHeight="1">
      <c r="A20" s="233" t="s">
        <v>16</v>
      </c>
      <c r="B20" s="246" t="s">
        <v>37</v>
      </c>
      <c r="C20" s="568">
        <v>847909.15</v>
      </c>
      <c r="D20" s="160">
        <v>556673.76</v>
      </c>
      <c r="E20" s="155">
        <v>0</v>
      </c>
      <c r="F20" s="334">
        <v>556673.76</v>
      </c>
      <c r="G20" s="369">
        <v>1.3</v>
      </c>
      <c r="H20" s="157">
        <v>65.7</v>
      </c>
      <c r="I20" s="234">
        <v>2.9</v>
      </c>
    </row>
    <row r="21" spans="1:9" s="15" customFormat="1" ht="19.899999999999999" customHeight="1">
      <c r="A21" s="233" t="s">
        <v>17</v>
      </c>
      <c r="B21" s="246" t="s">
        <v>43</v>
      </c>
      <c r="C21" s="568">
        <v>831287.81</v>
      </c>
      <c r="D21" s="160">
        <v>813540.94</v>
      </c>
      <c r="E21" s="155">
        <v>0</v>
      </c>
      <c r="F21" s="334">
        <v>813540.94</v>
      </c>
      <c r="G21" s="369">
        <v>1.9</v>
      </c>
      <c r="H21" s="157">
        <v>97.9</v>
      </c>
      <c r="I21" s="234">
        <v>2.8</v>
      </c>
    </row>
    <row r="22" spans="1:9" s="15" customFormat="1" ht="19.899999999999999" customHeight="1">
      <c r="A22" s="233" t="s">
        <v>18</v>
      </c>
      <c r="B22" s="246" t="s">
        <v>38</v>
      </c>
      <c r="C22" s="568">
        <v>1450473.06</v>
      </c>
      <c r="D22" s="160">
        <v>1341577.99</v>
      </c>
      <c r="E22" s="155">
        <v>0</v>
      </c>
      <c r="F22" s="334">
        <v>1341577.99</v>
      </c>
      <c r="G22" s="369">
        <v>3.1</v>
      </c>
      <c r="H22" s="157">
        <v>92.5</v>
      </c>
      <c r="I22" s="234">
        <v>1.8</v>
      </c>
    </row>
    <row r="23" spans="1:9" s="15" customFormat="1" ht="19.899999999999999" customHeight="1">
      <c r="A23" s="235" t="s">
        <v>19</v>
      </c>
      <c r="B23" s="247" t="s">
        <v>39</v>
      </c>
      <c r="C23" s="569">
        <v>977322.67</v>
      </c>
      <c r="D23" s="151">
        <v>1351167.68</v>
      </c>
      <c r="E23" s="149">
        <v>0</v>
      </c>
      <c r="F23" s="336">
        <v>1351167.68</v>
      </c>
      <c r="G23" s="371">
        <v>3.1</v>
      </c>
      <c r="H23" s="130">
        <v>138.30000000000001</v>
      </c>
      <c r="I23" s="238">
        <v>2.5</v>
      </c>
    </row>
    <row r="24" spans="1:9" s="15" customFormat="1" ht="12"/>
    <row r="25" spans="1:9" s="11" customFormat="1" ht="13.5">
      <c r="A25" s="122" t="s">
        <v>934</v>
      </c>
      <c r="B25" s="123" t="s">
        <v>1159</v>
      </c>
      <c r="C25" s="122"/>
      <c r="D25" s="122"/>
      <c r="E25" s="122"/>
      <c r="F25" s="122"/>
      <c r="G25" s="122"/>
      <c r="H25" s="122"/>
      <c r="I25" s="122"/>
    </row>
    <row r="26" spans="1:9" s="11" customFormat="1" ht="13.5">
      <c r="A26" s="122"/>
      <c r="B26" s="123" t="s">
        <v>936</v>
      </c>
      <c r="C26" s="122"/>
      <c r="D26" s="122"/>
      <c r="E26" s="122"/>
      <c r="F26" s="122"/>
      <c r="G26" s="122"/>
      <c r="H26" s="122"/>
      <c r="I26" s="122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honeticPr fontId="0" type="noConversion"/>
  <printOptions horizontalCentered="1"/>
  <pageMargins left="0.41" right="0.39370078740157483" top="0.95" bottom="0.98425196850393704" header="0.51181102362204722" footer="0.51181102362204722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2"/>
  <sheetViews>
    <sheetView showGridLines="0" workbookViewId="0">
      <selection activeCell="K7" sqref="K7"/>
    </sheetView>
  </sheetViews>
  <sheetFormatPr defaultColWidth="9.140625" defaultRowHeight="12.75"/>
  <cols>
    <col min="1" max="1" width="5.7109375" style="23" customWidth="1"/>
    <col min="2" max="2" width="25.7109375" style="23" customWidth="1"/>
    <col min="3" max="4" width="11.7109375" style="23" bestFit="1" customWidth="1"/>
    <col min="5" max="5" width="6.5703125" style="23" bestFit="1" customWidth="1"/>
    <col min="6" max="7" width="10.5703125" style="23" bestFit="1" customWidth="1"/>
    <col min="8" max="8" width="6.5703125" style="23" bestFit="1" customWidth="1"/>
    <col min="9" max="16384" width="9.140625" style="23"/>
  </cols>
  <sheetData>
    <row r="1" spans="1:10" ht="72" customHeight="1">
      <c r="A1" s="1847" t="s">
        <v>1005</v>
      </c>
      <c r="B1" s="1847"/>
      <c r="C1" s="1847"/>
      <c r="D1" s="1847"/>
      <c r="E1" s="1847"/>
      <c r="F1" s="1847"/>
      <c r="G1" s="1847"/>
      <c r="H1" s="1847"/>
      <c r="I1" s="1847"/>
    </row>
    <row r="2" spans="1:10" ht="5.25" customHeight="1"/>
    <row r="3" spans="1:10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  <c r="J3" s="79"/>
    </row>
    <row r="4" spans="1:10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  <c r="J4" s="79"/>
    </row>
    <row r="5" spans="1:10" ht="12.75" customHeight="1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  <c r="J5" s="79"/>
    </row>
    <row r="6" spans="1:10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  <c r="J6" s="79"/>
    </row>
    <row r="7" spans="1:10" ht="24.75" customHeight="1">
      <c r="A7" s="348"/>
      <c r="B7" s="1563" t="s">
        <v>933</v>
      </c>
      <c r="C7" s="331">
        <v>5202832145.0500002</v>
      </c>
      <c r="D7" s="158">
        <v>4113969088.75</v>
      </c>
      <c r="E7" s="232">
        <v>79.099999999999994</v>
      </c>
      <c r="F7" s="159">
        <v>717147123.63000011</v>
      </c>
      <c r="G7" s="158">
        <v>579249764.51999998</v>
      </c>
      <c r="H7" s="51">
        <v>80.8</v>
      </c>
      <c r="I7" s="363">
        <v>14.1</v>
      </c>
      <c r="J7" s="79"/>
    </row>
    <row r="8" spans="1:10" ht="20.100000000000001" customHeight="1">
      <c r="A8" s="233" t="s">
        <v>895</v>
      </c>
      <c r="B8" s="63" t="s">
        <v>99</v>
      </c>
      <c r="C8" s="333">
        <v>9045458</v>
      </c>
      <c r="D8" s="155">
        <v>7598685.1900000004</v>
      </c>
      <c r="E8" s="234">
        <v>84</v>
      </c>
      <c r="F8" s="64">
        <v>0</v>
      </c>
      <c r="G8" s="157">
        <v>0</v>
      </c>
      <c r="H8" s="84" t="s">
        <v>913</v>
      </c>
      <c r="I8" s="364">
        <v>0</v>
      </c>
    </row>
    <row r="9" spans="1:10" ht="20.100000000000001" customHeight="1">
      <c r="A9" s="233" t="s">
        <v>896</v>
      </c>
      <c r="B9" s="63" t="s">
        <v>100</v>
      </c>
      <c r="C9" s="333">
        <v>37987</v>
      </c>
      <c r="D9" s="155">
        <v>37985.800000000003</v>
      </c>
      <c r="E9" s="234">
        <v>100</v>
      </c>
      <c r="F9" s="64">
        <v>37987</v>
      </c>
      <c r="G9" s="157">
        <v>37985.800000000003</v>
      </c>
      <c r="H9" s="65">
        <v>100</v>
      </c>
      <c r="I9" s="364">
        <v>100</v>
      </c>
    </row>
    <row r="10" spans="1:10" ht="20.100000000000001" customHeight="1">
      <c r="A10" s="233" t="s">
        <v>899</v>
      </c>
      <c r="B10" s="63" t="s">
        <v>102</v>
      </c>
      <c r="C10" s="333">
        <v>10576810.75</v>
      </c>
      <c r="D10" s="155">
        <v>8343474.8099999996</v>
      </c>
      <c r="E10" s="234">
        <v>78.900000000000006</v>
      </c>
      <c r="F10" s="64">
        <v>10564263.75</v>
      </c>
      <c r="G10" s="157">
        <v>8330927.8099999996</v>
      </c>
      <c r="H10" s="65">
        <v>78.900000000000006</v>
      </c>
      <c r="I10" s="364">
        <v>99.8</v>
      </c>
    </row>
    <row r="11" spans="1:10" ht="27">
      <c r="A11" s="233" t="s">
        <v>900</v>
      </c>
      <c r="B11" s="63" t="s">
        <v>103</v>
      </c>
      <c r="C11" s="333">
        <v>11024800</v>
      </c>
      <c r="D11" s="155">
        <v>14060242.99</v>
      </c>
      <c r="E11" s="234">
        <v>127.5</v>
      </c>
      <c r="F11" s="64">
        <v>0</v>
      </c>
      <c r="G11" s="157">
        <v>0</v>
      </c>
      <c r="H11" s="84" t="s">
        <v>913</v>
      </c>
      <c r="I11" s="364">
        <v>0</v>
      </c>
    </row>
    <row r="12" spans="1:10" ht="20.100000000000001" customHeight="1">
      <c r="A12" s="233" t="s">
        <v>903</v>
      </c>
      <c r="B12" s="63" t="s">
        <v>104</v>
      </c>
      <c r="C12" s="333">
        <v>3101819064.3600001</v>
      </c>
      <c r="D12" s="155">
        <v>2643324738.4000001</v>
      </c>
      <c r="E12" s="234">
        <v>85.2</v>
      </c>
      <c r="F12" s="64">
        <v>15299372.610000134</v>
      </c>
      <c r="G12" s="157">
        <v>16150858.900000095</v>
      </c>
      <c r="H12" s="65">
        <v>105.6</v>
      </c>
      <c r="I12" s="364">
        <v>0.6</v>
      </c>
    </row>
    <row r="13" spans="1:10" ht="20.100000000000001" customHeight="1">
      <c r="A13" s="233" t="s">
        <v>904</v>
      </c>
      <c r="B13" s="63" t="s">
        <v>105</v>
      </c>
      <c r="C13" s="333">
        <v>7020330</v>
      </c>
      <c r="D13" s="155">
        <v>8811832.5399999991</v>
      </c>
      <c r="E13" s="234">
        <v>125.5</v>
      </c>
      <c r="F13" s="64">
        <v>631103</v>
      </c>
      <c r="G13" s="157">
        <v>758389.86999999918</v>
      </c>
      <c r="H13" s="65">
        <v>120.2</v>
      </c>
      <c r="I13" s="364">
        <v>8.6</v>
      </c>
    </row>
    <row r="14" spans="1:10" ht="20.100000000000001" customHeight="1">
      <c r="A14" s="233" t="s">
        <v>905</v>
      </c>
      <c r="B14" s="63" t="s">
        <v>106</v>
      </c>
      <c r="C14" s="333">
        <v>213858271.03</v>
      </c>
      <c r="D14" s="155">
        <v>102638728.73999999</v>
      </c>
      <c r="E14" s="234">
        <v>48</v>
      </c>
      <c r="F14" s="64">
        <v>4777893.4399999976</v>
      </c>
      <c r="G14" s="157">
        <v>2465280.4399999976</v>
      </c>
      <c r="H14" s="65">
        <v>51.6</v>
      </c>
      <c r="I14" s="364">
        <v>2.4</v>
      </c>
    </row>
    <row r="15" spans="1:10" ht="20.100000000000001" customHeight="1">
      <c r="A15" s="233" t="s">
        <v>906</v>
      </c>
      <c r="B15" s="63" t="s">
        <v>107</v>
      </c>
      <c r="C15" s="333">
        <v>112330943.54000001</v>
      </c>
      <c r="D15" s="155">
        <v>73464729.459999993</v>
      </c>
      <c r="E15" s="234">
        <v>65.400000000000006</v>
      </c>
      <c r="F15" s="64">
        <v>14893732.570000008</v>
      </c>
      <c r="G15" s="157">
        <v>10880976.50999999</v>
      </c>
      <c r="H15" s="65">
        <v>73.099999999999994</v>
      </c>
      <c r="I15" s="364">
        <v>14.8</v>
      </c>
    </row>
    <row r="16" spans="1:10" ht="20.100000000000001" customHeight="1">
      <c r="A16" s="233" t="s">
        <v>907</v>
      </c>
      <c r="B16" s="63" t="s">
        <v>108</v>
      </c>
      <c r="C16" s="333">
        <v>1178785</v>
      </c>
      <c r="D16" s="155">
        <v>1185693.54</v>
      </c>
      <c r="E16" s="234">
        <v>100.6</v>
      </c>
      <c r="F16" s="64">
        <v>99200</v>
      </c>
      <c r="G16" s="157">
        <v>96834.850000000093</v>
      </c>
      <c r="H16" s="65">
        <v>97.6</v>
      </c>
      <c r="I16" s="364">
        <v>8.1999999999999993</v>
      </c>
    </row>
    <row r="17" spans="1:9" ht="20.100000000000001" customHeight="1">
      <c r="A17" s="233" t="s">
        <v>908</v>
      </c>
      <c r="B17" s="63" t="s">
        <v>217</v>
      </c>
      <c r="C17" s="333">
        <v>1354563</v>
      </c>
      <c r="D17" s="155">
        <v>631749.11</v>
      </c>
      <c r="E17" s="234">
        <v>46.6</v>
      </c>
      <c r="F17" s="64">
        <v>1354563</v>
      </c>
      <c r="G17" s="157">
        <v>631749.11</v>
      </c>
      <c r="H17" s="65">
        <v>46.6</v>
      </c>
      <c r="I17" s="364">
        <v>100</v>
      </c>
    </row>
    <row r="18" spans="1:9" ht="20.100000000000001" customHeight="1">
      <c r="A18" s="233" t="s">
        <v>909</v>
      </c>
      <c r="B18" s="63" t="s">
        <v>109</v>
      </c>
      <c r="C18" s="333">
        <v>57975499.469999999</v>
      </c>
      <c r="D18" s="155">
        <v>55997056.729999997</v>
      </c>
      <c r="E18" s="234">
        <v>96.6</v>
      </c>
      <c r="F18" s="64">
        <v>34930140.689999998</v>
      </c>
      <c r="G18" s="157">
        <v>32526378.899999999</v>
      </c>
      <c r="H18" s="65">
        <v>93.1</v>
      </c>
      <c r="I18" s="364">
        <v>58.1</v>
      </c>
    </row>
    <row r="19" spans="1:9" ht="27">
      <c r="A19" s="233" t="s">
        <v>914</v>
      </c>
      <c r="B19" s="63" t="s">
        <v>112</v>
      </c>
      <c r="C19" s="333">
        <v>12759286.470000001</v>
      </c>
      <c r="D19" s="155">
        <v>10994772.9</v>
      </c>
      <c r="E19" s="234">
        <v>86.2</v>
      </c>
      <c r="F19" s="64">
        <v>1544819.9100000001</v>
      </c>
      <c r="G19" s="157">
        <v>1314487.0999999996</v>
      </c>
      <c r="H19" s="65">
        <v>85.1</v>
      </c>
      <c r="I19" s="364">
        <v>12</v>
      </c>
    </row>
    <row r="20" spans="1:9" ht="20.100000000000001" customHeight="1">
      <c r="A20" s="233" t="s">
        <v>918</v>
      </c>
      <c r="B20" s="63" t="s">
        <v>114</v>
      </c>
      <c r="C20" s="333">
        <v>45735166.439999998</v>
      </c>
      <c r="D20" s="155">
        <v>33161299.690000001</v>
      </c>
      <c r="E20" s="234">
        <v>72.5</v>
      </c>
      <c r="F20" s="64">
        <v>5156352.7699999958</v>
      </c>
      <c r="G20" s="157">
        <v>3916532.700000003</v>
      </c>
      <c r="H20" s="65">
        <v>76</v>
      </c>
      <c r="I20" s="364">
        <v>11.8</v>
      </c>
    </row>
    <row r="21" spans="1:9" ht="20.100000000000001" customHeight="1">
      <c r="A21" s="233" t="s">
        <v>919</v>
      </c>
      <c r="B21" s="63" t="s">
        <v>115</v>
      </c>
      <c r="C21" s="333">
        <v>530597917.25999999</v>
      </c>
      <c r="D21" s="155">
        <v>373156805.47000003</v>
      </c>
      <c r="E21" s="234">
        <v>70.3</v>
      </c>
      <c r="F21" s="64">
        <v>315288057.02999997</v>
      </c>
      <c r="G21" s="157">
        <v>252028110.25000003</v>
      </c>
      <c r="H21" s="65">
        <v>79.900000000000006</v>
      </c>
      <c r="I21" s="364">
        <v>67.5</v>
      </c>
    </row>
    <row r="22" spans="1:9" ht="20.100000000000001" customHeight="1">
      <c r="A22" s="233" t="s">
        <v>921</v>
      </c>
      <c r="B22" s="63" t="s">
        <v>116</v>
      </c>
      <c r="C22" s="333">
        <v>38588210.5</v>
      </c>
      <c r="D22" s="155">
        <v>29660133.199999999</v>
      </c>
      <c r="E22" s="234">
        <v>76.900000000000006</v>
      </c>
      <c r="F22" s="64">
        <v>2819622</v>
      </c>
      <c r="G22" s="157">
        <v>2340158.75</v>
      </c>
      <c r="H22" s="65">
        <v>83</v>
      </c>
      <c r="I22" s="364">
        <v>7.9</v>
      </c>
    </row>
    <row r="23" spans="1:9" ht="20.100000000000001" customHeight="1">
      <c r="A23" s="233" t="s">
        <v>922</v>
      </c>
      <c r="B23" s="63" t="s">
        <v>117</v>
      </c>
      <c r="C23" s="333">
        <v>116354058.02</v>
      </c>
      <c r="D23" s="155">
        <v>91426691.859999999</v>
      </c>
      <c r="E23" s="234">
        <v>78.599999999999994</v>
      </c>
      <c r="F23" s="64">
        <v>94853126.449999988</v>
      </c>
      <c r="G23" s="157">
        <v>79970009.049999997</v>
      </c>
      <c r="H23" s="65">
        <v>84.3</v>
      </c>
      <c r="I23" s="364">
        <v>87.5</v>
      </c>
    </row>
    <row r="24" spans="1:9" ht="27">
      <c r="A24" s="233" t="s">
        <v>923</v>
      </c>
      <c r="B24" s="63" t="s">
        <v>118</v>
      </c>
      <c r="C24" s="333">
        <v>183859347.66999999</v>
      </c>
      <c r="D24" s="155">
        <v>126558976.42</v>
      </c>
      <c r="E24" s="234">
        <v>68.8</v>
      </c>
      <c r="F24" s="64">
        <v>158206404.31999999</v>
      </c>
      <c r="G24" s="157">
        <v>118493132.44</v>
      </c>
      <c r="H24" s="65">
        <v>74.900000000000006</v>
      </c>
      <c r="I24" s="364">
        <v>93.6</v>
      </c>
    </row>
    <row r="25" spans="1:9" ht="20.100000000000001" customHeight="1">
      <c r="A25" s="233" t="s">
        <v>924</v>
      </c>
      <c r="B25" s="63" t="s">
        <v>119</v>
      </c>
      <c r="C25" s="333">
        <v>9023687.9299999997</v>
      </c>
      <c r="D25" s="155">
        <v>11446699.189999999</v>
      </c>
      <c r="E25" s="234">
        <v>126.9</v>
      </c>
      <c r="F25" s="64">
        <v>3548668.9299999997</v>
      </c>
      <c r="G25" s="157">
        <v>2613993.3099999987</v>
      </c>
      <c r="H25" s="65">
        <v>73.7</v>
      </c>
      <c r="I25" s="364">
        <v>22.8</v>
      </c>
    </row>
    <row r="26" spans="1:9" ht="20.100000000000001" customHeight="1">
      <c r="A26" s="233" t="s">
        <v>925</v>
      </c>
      <c r="B26" s="63" t="s">
        <v>120</v>
      </c>
      <c r="C26" s="333">
        <v>40267934.100000001</v>
      </c>
      <c r="D26" s="155">
        <v>36369845.950000003</v>
      </c>
      <c r="E26" s="234">
        <v>90.3</v>
      </c>
      <c r="F26" s="64">
        <v>36467344.100000001</v>
      </c>
      <c r="G26" s="157">
        <v>34308570.580000006</v>
      </c>
      <c r="H26" s="65">
        <v>94.1</v>
      </c>
      <c r="I26" s="364">
        <v>94.3</v>
      </c>
    </row>
    <row r="27" spans="1:9" ht="27">
      <c r="A27" s="233" t="s">
        <v>926</v>
      </c>
      <c r="B27" s="63" t="s">
        <v>121</v>
      </c>
      <c r="C27" s="333">
        <v>500451650.83999997</v>
      </c>
      <c r="D27" s="155">
        <v>335893424.81</v>
      </c>
      <c r="E27" s="234">
        <v>67.099999999999994</v>
      </c>
      <c r="F27" s="64">
        <v>9582489.469999969</v>
      </c>
      <c r="G27" s="157">
        <v>6350529.1100000143</v>
      </c>
      <c r="H27" s="65">
        <v>66.3</v>
      </c>
      <c r="I27" s="364">
        <v>1.9</v>
      </c>
    </row>
    <row r="28" spans="1:9" ht="27">
      <c r="A28" s="233" t="s">
        <v>927</v>
      </c>
      <c r="B28" s="63" t="s">
        <v>122</v>
      </c>
      <c r="C28" s="333">
        <v>175101055.44999999</v>
      </c>
      <c r="D28" s="155">
        <v>119078660.87</v>
      </c>
      <c r="E28" s="234">
        <v>68</v>
      </c>
      <c r="F28" s="64">
        <v>6551500.5899999738</v>
      </c>
      <c r="G28" s="157">
        <v>4953557.3200000077</v>
      </c>
      <c r="H28" s="65">
        <v>75.599999999999994</v>
      </c>
      <c r="I28" s="364">
        <v>4.2</v>
      </c>
    </row>
    <row r="29" spans="1:9" ht="40.5">
      <c r="A29" s="233" t="s">
        <v>928</v>
      </c>
      <c r="B29" s="63" t="s">
        <v>123</v>
      </c>
      <c r="C29" s="333">
        <v>6050643</v>
      </c>
      <c r="D29" s="155">
        <v>3784855.71</v>
      </c>
      <c r="E29" s="234">
        <v>62.6</v>
      </c>
      <c r="F29" s="64">
        <v>192000</v>
      </c>
      <c r="G29" s="157">
        <v>204462.70999999996</v>
      </c>
      <c r="H29" s="65">
        <v>106.5</v>
      </c>
      <c r="I29" s="364">
        <v>5.4</v>
      </c>
    </row>
    <row r="30" spans="1:9" ht="20.100000000000001" customHeight="1">
      <c r="A30" s="235" t="s">
        <v>929</v>
      </c>
      <c r="B30" s="295" t="s">
        <v>124</v>
      </c>
      <c r="C30" s="335">
        <v>17820675.219999999</v>
      </c>
      <c r="D30" s="149">
        <v>26342005.370000001</v>
      </c>
      <c r="E30" s="238">
        <v>147.80000000000001</v>
      </c>
      <c r="F30" s="329">
        <v>348482</v>
      </c>
      <c r="G30" s="130">
        <v>876839.01000000164</v>
      </c>
      <c r="H30" s="377">
        <v>251.6</v>
      </c>
      <c r="I30" s="365">
        <v>3.3</v>
      </c>
    </row>
    <row r="32" spans="1:9" ht="13.5">
      <c r="A32" s="125" t="s">
        <v>1158</v>
      </c>
      <c r="B32" s="124"/>
      <c r="C32" s="124"/>
      <c r="D32" s="124"/>
      <c r="E32" s="124"/>
      <c r="F32" s="124"/>
      <c r="G32" s="124"/>
      <c r="H32" s="124"/>
      <c r="I32" s="124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75" bottom="0.75" header="0.3" footer="0.3"/>
  <pageSetup paperSize="9" scale="9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8"/>
  <sheetViews>
    <sheetView showGridLines="0" workbookViewId="0">
      <selection activeCell="K4" sqref="K4"/>
    </sheetView>
  </sheetViews>
  <sheetFormatPr defaultColWidth="9.140625" defaultRowHeight="12.75"/>
  <cols>
    <col min="1" max="1" width="5.42578125" style="21" customWidth="1"/>
    <col min="2" max="2" width="25.7109375" style="21" customWidth="1"/>
    <col min="3" max="4" width="12.42578125" style="21" bestFit="1" customWidth="1"/>
    <col min="5" max="5" width="6.5703125" style="21" bestFit="1" customWidth="1"/>
    <col min="6" max="7" width="12.42578125" style="21" bestFit="1" customWidth="1"/>
    <col min="8" max="8" width="6.5703125" style="21" bestFit="1" customWidth="1"/>
    <col min="9" max="16384" width="9.140625" style="21"/>
  </cols>
  <sheetData>
    <row r="1" spans="1:9" ht="36.75" customHeight="1">
      <c r="A1" s="1847" t="s">
        <v>1006</v>
      </c>
      <c r="B1" s="1797"/>
      <c r="C1" s="1797"/>
      <c r="D1" s="1797"/>
      <c r="E1" s="1797"/>
      <c r="F1" s="1797"/>
      <c r="G1" s="1797"/>
      <c r="H1" s="1797"/>
      <c r="I1" s="1797"/>
    </row>
    <row r="2" spans="1:9" ht="15.7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1563" t="s">
        <v>933</v>
      </c>
      <c r="C7" s="851">
        <v>18144506689.049999</v>
      </c>
      <c r="D7" s="849">
        <v>18087707420.759998</v>
      </c>
      <c r="E7" s="848">
        <v>99.7</v>
      </c>
      <c r="F7" s="850">
        <v>18106646815.610001</v>
      </c>
      <c r="G7" s="849">
        <v>18051942042.919998</v>
      </c>
      <c r="H7" s="51">
        <v>99.7</v>
      </c>
      <c r="I7" s="363">
        <v>99.8</v>
      </c>
    </row>
    <row r="8" spans="1:9" ht="19.899999999999999" customHeight="1">
      <c r="A8" s="348"/>
      <c r="B8" s="76" t="s">
        <v>73</v>
      </c>
      <c r="C8" s="851">
        <v>16117360751.5</v>
      </c>
      <c r="D8" s="849">
        <v>16072160686.959999</v>
      </c>
      <c r="E8" s="848">
        <v>99.7</v>
      </c>
      <c r="F8" s="850">
        <v>16113118906.139999</v>
      </c>
      <c r="G8" s="849">
        <v>16069401377.029999</v>
      </c>
      <c r="H8" s="51">
        <v>99.7</v>
      </c>
      <c r="I8" s="363">
        <v>100</v>
      </c>
    </row>
    <row r="9" spans="1:9" ht="19.899999999999999" customHeight="1">
      <c r="A9" s="233" t="s">
        <v>895</v>
      </c>
      <c r="B9" s="63" t="s">
        <v>99</v>
      </c>
      <c r="C9" s="333">
        <v>4001263.03</v>
      </c>
      <c r="D9" s="155">
        <v>3998123.22</v>
      </c>
      <c r="E9" s="234">
        <v>99.9</v>
      </c>
      <c r="F9" s="64">
        <v>4001263.03</v>
      </c>
      <c r="G9" s="157">
        <v>3998123.22</v>
      </c>
      <c r="H9" s="65">
        <v>99.9</v>
      </c>
      <c r="I9" s="364">
        <v>100</v>
      </c>
    </row>
    <row r="10" spans="1:9" ht="19.899999999999999" customHeight="1">
      <c r="A10" s="233" t="s">
        <v>909</v>
      </c>
      <c r="B10" s="63" t="s">
        <v>109</v>
      </c>
      <c r="C10" s="333">
        <v>172759493.28</v>
      </c>
      <c r="D10" s="155">
        <v>168739950.78</v>
      </c>
      <c r="E10" s="234">
        <v>97.7</v>
      </c>
      <c r="F10" s="64">
        <v>172759493.28</v>
      </c>
      <c r="G10" s="157">
        <v>168739950.78</v>
      </c>
      <c r="H10" s="65">
        <v>97.7</v>
      </c>
      <c r="I10" s="364">
        <v>100</v>
      </c>
    </row>
    <row r="11" spans="1:9" ht="40.5">
      <c r="A11" s="233" t="s">
        <v>910</v>
      </c>
      <c r="B11" s="63" t="s">
        <v>110</v>
      </c>
      <c r="C11" s="333">
        <v>2791673</v>
      </c>
      <c r="D11" s="155">
        <v>2764670.18</v>
      </c>
      <c r="E11" s="234">
        <v>99</v>
      </c>
      <c r="F11" s="64">
        <v>2791673</v>
      </c>
      <c r="G11" s="157">
        <v>2764670.18</v>
      </c>
      <c r="H11" s="65">
        <v>99</v>
      </c>
      <c r="I11" s="364">
        <v>100</v>
      </c>
    </row>
    <row r="12" spans="1:9" ht="19.899999999999999" customHeight="1">
      <c r="A12" s="233" t="s">
        <v>911</v>
      </c>
      <c r="B12" s="63" t="s">
        <v>111</v>
      </c>
      <c r="C12" s="333">
        <v>35100</v>
      </c>
      <c r="D12" s="155">
        <v>22580.86</v>
      </c>
      <c r="E12" s="234">
        <v>64.3</v>
      </c>
      <c r="F12" s="64">
        <v>35100</v>
      </c>
      <c r="G12" s="157">
        <v>22580.86</v>
      </c>
      <c r="H12" s="65">
        <v>64.3</v>
      </c>
      <c r="I12" s="364">
        <v>100</v>
      </c>
    </row>
    <row r="13" spans="1:9" ht="27">
      <c r="A13" s="233" t="s">
        <v>914</v>
      </c>
      <c r="B13" s="63" t="s">
        <v>112</v>
      </c>
      <c r="C13" s="333">
        <v>50939</v>
      </c>
      <c r="D13" s="155">
        <v>48764.66</v>
      </c>
      <c r="E13" s="234">
        <v>95.7</v>
      </c>
      <c r="F13" s="64">
        <v>50939</v>
      </c>
      <c r="G13" s="157">
        <v>48764.66</v>
      </c>
      <c r="H13" s="65">
        <v>95.7</v>
      </c>
      <c r="I13" s="364">
        <v>100</v>
      </c>
    </row>
    <row r="14" spans="1:9" ht="19.899999999999999" customHeight="1">
      <c r="A14" s="233" t="s">
        <v>918</v>
      </c>
      <c r="B14" s="63" t="s">
        <v>114</v>
      </c>
      <c r="C14" s="333">
        <v>1480794.32</v>
      </c>
      <c r="D14" s="155">
        <v>1480087.86</v>
      </c>
      <c r="E14" s="234">
        <v>100</v>
      </c>
      <c r="F14" s="64">
        <v>1480794.32</v>
      </c>
      <c r="G14" s="157">
        <v>1480087.86</v>
      </c>
      <c r="H14" s="65">
        <v>100</v>
      </c>
      <c r="I14" s="364">
        <v>100</v>
      </c>
    </row>
    <row r="15" spans="1:9" ht="19.899999999999999" customHeight="1">
      <c r="A15" s="233" t="s">
        <v>919</v>
      </c>
      <c r="B15" s="63" t="s">
        <v>115</v>
      </c>
      <c r="C15" s="333">
        <v>128445933.45999999</v>
      </c>
      <c r="D15" s="155">
        <v>125428182.09999999</v>
      </c>
      <c r="E15" s="234">
        <v>97.7</v>
      </c>
      <c r="F15" s="64">
        <v>128445933.45999999</v>
      </c>
      <c r="G15" s="157">
        <v>125428182.09999999</v>
      </c>
      <c r="H15" s="65">
        <v>97.7</v>
      </c>
      <c r="I15" s="364">
        <v>100</v>
      </c>
    </row>
    <row r="16" spans="1:9" ht="19.899999999999999" customHeight="1">
      <c r="A16" s="233" t="s">
        <v>921</v>
      </c>
      <c r="B16" s="63" t="s">
        <v>116</v>
      </c>
      <c r="C16" s="333">
        <v>3600343.5</v>
      </c>
      <c r="D16" s="155">
        <v>3451179.68</v>
      </c>
      <c r="E16" s="234">
        <v>95.9</v>
      </c>
      <c r="F16" s="64">
        <v>3525343.5</v>
      </c>
      <c r="G16" s="157">
        <v>3376179.68</v>
      </c>
      <c r="H16" s="65">
        <v>95.8</v>
      </c>
      <c r="I16" s="364">
        <v>97.8</v>
      </c>
    </row>
    <row r="17" spans="1:9" ht="19.899999999999999" customHeight="1">
      <c r="A17" s="233" t="s">
        <v>922</v>
      </c>
      <c r="B17" s="63" t="s">
        <v>117</v>
      </c>
      <c r="C17" s="333">
        <v>201005133.59999999</v>
      </c>
      <c r="D17" s="155">
        <v>196679646.75999999</v>
      </c>
      <c r="E17" s="234">
        <v>97.8</v>
      </c>
      <c r="F17" s="64">
        <v>196891339.59999999</v>
      </c>
      <c r="G17" s="157">
        <v>194048387.95999998</v>
      </c>
      <c r="H17" s="65">
        <v>98.6</v>
      </c>
      <c r="I17" s="364">
        <v>98.7</v>
      </c>
    </row>
    <row r="18" spans="1:9" ht="27">
      <c r="A18" s="233" t="s">
        <v>923</v>
      </c>
      <c r="B18" s="63" t="s">
        <v>118</v>
      </c>
      <c r="C18" s="333">
        <v>89149.86</v>
      </c>
      <c r="D18" s="155">
        <v>68883.55</v>
      </c>
      <c r="E18" s="234">
        <v>77.3</v>
      </c>
      <c r="F18" s="64">
        <v>89149.86</v>
      </c>
      <c r="G18" s="157">
        <v>68883.55</v>
      </c>
      <c r="H18" s="65">
        <v>77.3</v>
      </c>
      <c r="I18" s="364">
        <v>100</v>
      </c>
    </row>
    <row r="19" spans="1:9" ht="19.899999999999999" customHeight="1">
      <c r="A19" s="235" t="s">
        <v>925</v>
      </c>
      <c r="B19" s="295" t="s">
        <v>120</v>
      </c>
      <c r="C19" s="335">
        <v>15603100928.450001</v>
      </c>
      <c r="D19" s="149">
        <v>15569478617.309999</v>
      </c>
      <c r="E19" s="238">
        <v>99.8</v>
      </c>
      <c r="F19" s="329">
        <v>15603047877.09</v>
      </c>
      <c r="G19" s="130">
        <v>15569425566.18</v>
      </c>
      <c r="H19" s="377">
        <v>99.8</v>
      </c>
      <c r="I19" s="365">
        <v>100</v>
      </c>
    </row>
    <row r="20" spans="1:9" ht="19.899999999999999" customHeight="1">
      <c r="A20" s="348"/>
      <c r="B20" s="76" t="s">
        <v>74</v>
      </c>
      <c r="C20" s="331">
        <v>2027145937.55</v>
      </c>
      <c r="D20" s="158">
        <v>2015546733.8</v>
      </c>
      <c r="E20" s="232">
        <v>99.4</v>
      </c>
      <c r="F20" s="159">
        <v>1993527909.47</v>
      </c>
      <c r="G20" s="158">
        <v>1982540665.8899999</v>
      </c>
      <c r="H20" s="51">
        <v>99.4</v>
      </c>
      <c r="I20" s="363">
        <v>98.4</v>
      </c>
    </row>
    <row r="21" spans="1:9" ht="19.899999999999999" customHeight="1">
      <c r="A21" s="233" t="s">
        <v>895</v>
      </c>
      <c r="B21" s="63" t="s">
        <v>99</v>
      </c>
      <c r="C21" s="333">
        <v>670041</v>
      </c>
      <c r="D21" s="155">
        <v>653785.54</v>
      </c>
      <c r="E21" s="234">
        <v>97.6</v>
      </c>
      <c r="F21" s="64">
        <v>670041</v>
      </c>
      <c r="G21" s="157">
        <v>653785.54</v>
      </c>
      <c r="H21" s="65">
        <v>97.6</v>
      </c>
      <c r="I21" s="364">
        <v>100</v>
      </c>
    </row>
    <row r="22" spans="1:9" ht="19.899999999999999" customHeight="1">
      <c r="A22" s="233" t="s">
        <v>896</v>
      </c>
      <c r="B22" s="63" t="s">
        <v>100</v>
      </c>
      <c r="C22" s="333">
        <v>59309</v>
      </c>
      <c r="D22" s="155">
        <v>38791.75</v>
      </c>
      <c r="E22" s="234">
        <v>65.400000000000006</v>
      </c>
      <c r="F22" s="64">
        <v>59309</v>
      </c>
      <c r="G22" s="157">
        <v>38791.75</v>
      </c>
      <c r="H22" s="65">
        <v>65.400000000000006</v>
      </c>
      <c r="I22" s="364">
        <v>100</v>
      </c>
    </row>
    <row r="23" spans="1:9" ht="19.899999999999999" customHeight="1">
      <c r="A23" s="233" t="s">
        <v>898</v>
      </c>
      <c r="B23" s="63" t="s">
        <v>126</v>
      </c>
      <c r="C23" s="333">
        <v>236947</v>
      </c>
      <c r="D23" s="155">
        <v>236947</v>
      </c>
      <c r="E23" s="234">
        <v>100</v>
      </c>
      <c r="F23" s="64">
        <v>236947</v>
      </c>
      <c r="G23" s="157">
        <v>236947</v>
      </c>
      <c r="H23" s="65">
        <v>100</v>
      </c>
      <c r="I23" s="364">
        <v>100</v>
      </c>
    </row>
    <row r="24" spans="1:9" ht="19.899999999999999" customHeight="1">
      <c r="A24" s="233" t="s">
        <v>903</v>
      </c>
      <c r="B24" s="63" t="s">
        <v>104</v>
      </c>
      <c r="C24" s="333">
        <v>916271</v>
      </c>
      <c r="D24" s="155">
        <v>906139.13</v>
      </c>
      <c r="E24" s="234">
        <v>98.9</v>
      </c>
      <c r="F24" s="64">
        <v>916271</v>
      </c>
      <c r="G24" s="157">
        <v>906139.13</v>
      </c>
      <c r="H24" s="65">
        <v>98.9</v>
      </c>
      <c r="I24" s="364">
        <v>100</v>
      </c>
    </row>
    <row r="25" spans="1:9" ht="19.899999999999999" customHeight="1">
      <c r="A25" s="233" t="s">
        <v>905</v>
      </c>
      <c r="B25" s="63" t="s">
        <v>106</v>
      </c>
      <c r="C25" s="333">
        <v>87753095.709999993</v>
      </c>
      <c r="D25" s="155">
        <v>85484456.569999993</v>
      </c>
      <c r="E25" s="234">
        <v>97.4</v>
      </c>
      <c r="F25" s="64">
        <v>87426313.669999987</v>
      </c>
      <c r="G25" s="157">
        <v>85166601.089999989</v>
      </c>
      <c r="H25" s="65">
        <v>97.4</v>
      </c>
      <c r="I25" s="364">
        <v>99.6</v>
      </c>
    </row>
    <row r="26" spans="1:9" ht="19.899999999999999" customHeight="1">
      <c r="A26" s="233" t="s">
        <v>906</v>
      </c>
      <c r="B26" s="63" t="s">
        <v>107</v>
      </c>
      <c r="C26" s="333">
        <v>82873849.379999995</v>
      </c>
      <c r="D26" s="155">
        <v>81869675.739999995</v>
      </c>
      <c r="E26" s="234">
        <v>98.8</v>
      </c>
      <c r="F26" s="64">
        <v>82344524.879999995</v>
      </c>
      <c r="G26" s="157">
        <v>81504357.140000001</v>
      </c>
      <c r="H26" s="65">
        <v>99</v>
      </c>
      <c r="I26" s="364">
        <v>99.6</v>
      </c>
    </row>
    <row r="27" spans="1:9" ht="19.899999999999999" customHeight="1">
      <c r="A27" s="233" t="s">
        <v>909</v>
      </c>
      <c r="B27" s="63" t="s">
        <v>109</v>
      </c>
      <c r="C27" s="333">
        <v>11090002.689999999</v>
      </c>
      <c r="D27" s="155">
        <v>10664526.02</v>
      </c>
      <c r="E27" s="234">
        <v>96.2</v>
      </c>
      <c r="F27" s="64">
        <v>11090002.689999999</v>
      </c>
      <c r="G27" s="157">
        <v>10664526.02</v>
      </c>
      <c r="H27" s="65">
        <v>96.2</v>
      </c>
      <c r="I27" s="364">
        <v>100</v>
      </c>
    </row>
    <row r="28" spans="1:9" ht="19.899999999999999" customHeight="1">
      <c r="A28" s="233" t="s">
        <v>911</v>
      </c>
      <c r="B28" s="63" t="s">
        <v>111</v>
      </c>
      <c r="C28" s="333">
        <v>60100</v>
      </c>
      <c r="D28" s="155">
        <v>32925.65</v>
      </c>
      <c r="E28" s="234">
        <v>54.8</v>
      </c>
      <c r="F28" s="64">
        <v>60100</v>
      </c>
      <c r="G28" s="157">
        <v>32925.65</v>
      </c>
      <c r="H28" s="65">
        <v>54.8</v>
      </c>
      <c r="I28" s="364">
        <v>100</v>
      </c>
    </row>
    <row r="29" spans="1:9" ht="27">
      <c r="A29" s="233" t="s">
        <v>914</v>
      </c>
      <c r="B29" s="63" t="s">
        <v>112</v>
      </c>
      <c r="C29" s="333">
        <v>1297577386.6900001</v>
      </c>
      <c r="D29" s="155">
        <v>1297224263.0899999</v>
      </c>
      <c r="E29" s="234">
        <v>100</v>
      </c>
      <c r="F29" s="64">
        <v>1267636033.1500001</v>
      </c>
      <c r="G29" s="157">
        <v>1267290904.24</v>
      </c>
      <c r="H29" s="65">
        <v>100</v>
      </c>
      <c r="I29" s="364">
        <v>97.7</v>
      </c>
    </row>
    <row r="30" spans="1:9" ht="19.899999999999999" customHeight="1">
      <c r="A30" s="233" t="s">
        <v>915</v>
      </c>
      <c r="B30" s="63" t="s">
        <v>113</v>
      </c>
      <c r="C30" s="333">
        <v>30944292.640000001</v>
      </c>
      <c r="D30" s="155">
        <v>30635771.960000001</v>
      </c>
      <c r="E30" s="234">
        <v>99</v>
      </c>
      <c r="F30" s="64">
        <v>30944292.640000001</v>
      </c>
      <c r="G30" s="157">
        <v>30635771.960000001</v>
      </c>
      <c r="H30" s="65">
        <v>99</v>
      </c>
      <c r="I30" s="364">
        <v>100</v>
      </c>
    </row>
    <row r="31" spans="1:9" ht="19.899999999999999" customHeight="1">
      <c r="A31" s="233" t="s">
        <v>918</v>
      </c>
      <c r="B31" s="63" t="s">
        <v>114</v>
      </c>
      <c r="C31" s="333">
        <v>4295749.26</v>
      </c>
      <c r="D31" s="155">
        <v>4295748.34</v>
      </c>
      <c r="E31" s="234">
        <v>100</v>
      </c>
      <c r="F31" s="64">
        <v>4295749.26</v>
      </c>
      <c r="G31" s="157">
        <v>4295748.34</v>
      </c>
      <c r="H31" s="65">
        <v>100</v>
      </c>
      <c r="I31" s="364">
        <v>100</v>
      </c>
    </row>
    <row r="32" spans="1:9" ht="19.899999999999999" customHeight="1">
      <c r="A32" s="233" t="s">
        <v>919</v>
      </c>
      <c r="B32" s="63" t="s">
        <v>115</v>
      </c>
      <c r="C32" s="333">
        <v>7524432.4699999997</v>
      </c>
      <c r="D32" s="155">
        <v>6724959.2300000004</v>
      </c>
      <c r="E32" s="234">
        <v>89.4</v>
      </c>
      <c r="F32" s="64">
        <v>7524432.4699999997</v>
      </c>
      <c r="G32" s="157">
        <v>6724959.2300000004</v>
      </c>
      <c r="H32" s="65">
        <v>89.4</v>
      </c>
      <c r="I32" s="364">
        <v>100</v>
      </c>
    </row>
    <row r="33" spans="1:9" ht="19.899999999999999" customHeight="1">
      <c r="A33" s="233" t="s">
        <v>921</v>
      </c>
      <c r="B33" s="63" t="s">
        <v>116</v>
      </c>
      <c r="C33" s="333">
        <v>219322722.30000001</v>
      </c>
      <c r="D33" s="155">
        <v>216509865.38999999</v>
      </c>
      <c r="E33" s="234">
        <v>98.7</v>
      </c>
      <c r="F33" s="64">
        <v>216995214.30000001</v>
      </c>
      <c r="G33" s="157">
        <v>214299546.29999998</v>
      </c>
      <c r="H33" s="65">
        <v>98.8</v>
      </c>
      <c r="I33" s="364">
        <v>99</v>
      </c>
    </row>
    <row r="34" spans="1:9" ht="19.899999999999999" customHeight="1">
      <c r="A34" s="233" t="s">
        <v>922</v>
      </c>
      <c r="B34" s="63" t="s">
        <v>117</v>
      </c>
      <c r="C34" s="333">
        <v>55974884.950000003</v>
      </c>
      <c r="D34" s="155">
        <v>55165445.810000002</v>
      </c>
      <c r="E34" s="234">
        <v>98.6</v>
      </c>
      <c r="F34" s="64">
        <v>55556824.950000003</v>
      </c>
      <c r="G34" s="157">
        <v>55060989.920000002</v>
      </c>
      <c r="H34" s="65">
        <v>99.1</v>
      </c>
      <c r="I34" s="364">
        <v>99.8</v>
      </c>
    </row>
    <row r="35" spans="1:9" ht="27">
      <c r="A35" s="233" t="s">
        <v>923</v>
      </c>
      <c r="B35" s="63" t="s">
        <v>118</v>
      </c>
      <c r="C35" s="333">
        <v>99241401.840000004</v>
      </c>
      <c r="D35" s="155">
        <v>97569113.959999993</v>
      </c>
      <c r="E35" s="234">
        <v>98.3</v>
      </c>
      <c r="F35" s="64">
        <v>99166401.840000004</v>
      </c>
      <c r="G35" s="157">
        <v>97494353.959999993</v>
      </c>
      <c r="H35" s="65">
        <v>98.3</v>
      </c>
      <c r="I35" s="364">
        <v>99.9</v>
      </c>
    </row>
    <row r="36" spans="1:9" ht="19.899999999999999" customHeight="1">
      <c r="A36" s="235" t="s">
        <v>925</v>
      </c>
      <c r="B36" s="295" t="s">
        <v>120</v>
      </c>
      <c r="C36" s="335">
        <v>128605451.62</v>
      </c>
      <c r="D36" s="149">
        <v>127534318.62</v>
      </c>
      <c r="E36" s="238">
        <v>99.2</v>
      </c>
      <c r="F36" s="329">
        <v>128605451.62</v>
      </c>
      <c r="G36" s="130">
        <v>127534318.62</v>
      </c>
      <c r="H36" s="377">
        <v>99.2</v>
      </c>
      <c r="I36" s="365">
        <v>100</v>
      </c>
    </row>
    <row r="38" spans="1:9" ht="13.5">
      <c r="A38" s="128" t="s">
        <v>1158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51" right="0.59" top="0.74803149606299213" bottom="0.74803149606299213" header="0.31496062992125984" footer="0.31496062992125984"/>
  <pageSetup paperSize="9" scale="9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showGridLines="0" workbookViewId="0">
      <selection activeCell="K14" sqref="K14"/>
    </sheetView>
  </sheetViews>
  <sheetFormatPr defaultColWidth="9.140625" defaultRowHeight="12.75"/>
  <cols>
    <col min="1" max="1" width="6.5703125" style="21" customWidth="1"/>
    <col min="2" max="2" width="25.7109375" style="21" customWidth="1"/>
    <col min="3" max="4" width="11.7109375" style="21" bestFit="1" customWidth="1"/>
    <col min="5" max="5" width="6.5703125" style="21" bestFit="1" customWidth="1"/>
    <col min="6" max="7" width="11.7109375" style="21" bestFit="1" customWidth="1"/>
    <col min="8" max="8" width="6.5703125" style="21" bestFit="1" customWidth="1"/>
    <col min="9" max="16384" width="9.140625" style="21"/>
  </cols>
  <sheetData>
    <row r="1" spans="1:9" ht="42.75" customHeight="1">
      <c r="A1" s="1847" t="s">
        <v>1007</v>
      </c>
      <c r="B1" s="1847"/>
      <c r="C1" s="1847"/>
      <c r="D1" s="1847"/>
      <c r="E1" s="1847"/>
      <c r="F1" s="1847"/>
      <c r="G1" s="1847"/>
      <c r="H1" s="1847"/>
      <c r="I1" s="1847"/>
    </row>
    <row r="2" spans="1:9" ht="6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2310" t="s">
        <v>69</v>
      </c>
      <c r="G3" s="2311"/>
      <c r="H3" s="2312"/>
      <c r="I3" s="360" t="s">
        <v>938</v>
      </c>
    </row>
    <row r="4" spans="1:9" ht="16.5" customHeight="1">
      <c r="A4" s="1799"/>
      <c r="B4" s="1802"/>
      <c r="C4" s="693" t="s">
        <v>70</v>
      </c>
      <c r="D4" s="689" t="s">
        <v>71</v>
      </c>
      <c r="E4" s="694" t="s">
        <v>931</v>
      </c>
      <c r="F4" s="692" t="s">
        <v>70</v>
      </c>
      <c r="G4" s="689" t="s">
        <v>71</v>
      </c>
      <c r="H4" s="690" t="s">
        <v>939</v>
      </c>
      <c r="I4" s="696" t="s">
        <v>940</v>
      </c>
    </row>
    <row r="5" spans="1:9" ht="12.75" customHeight="1">
      <c r="A5" s="1872"/>
      <c r="B5" s="1873"/>
      <c r="C5" s="2313" t="s">
        <v>885</v>
      </c>
      <c r="D5" s="2314"/>
      <c r="E5" s="695" t="s">
        <v>72</v>
      </c>
      <c r="F5" s="2315" t="s">
        <v>885</v>
      </c>
      <c r="G5" s="2314"/>
      <c r="H5" s="691" t="s">
        <v>72</v>
      </c>
      <c r="I5" s="697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ht="19.899999999999999" customHeight="1">
      <c r="A7" s="348"/>
      <c r="B7" s="1563" t="s">
        <v>933</v>
      </c>
      <c r="C7" s="331">
        <v>1457379321.9100001</v>
      </c>
      <c r="D7" s="158">
        <v>1447783060.6099999</v>
      </c>
      <c r="E7" s="232">
        <v>99.3</v>
      </c>
      <c r="F7" s="159">
        <v>1416987475.0400002</v>
      </c>
      <c r="G7" s="158">
        <v>1395935992.6299999</v>
      </c>
      <c r="H7" s="51">
        <v>98.5</v>
      </c>
      <c r="I7" s="363">
        <v>96.4</v>
      </c>
    </row>
    <row r="8" spans="1:9" ht="19.899999999999999" customHeight="1">
      <c r="A8" s="348"/>
      <c r="B8" s="76" t="s">
        <v>73</v>
      </c>
      <c r="C8" s="331">
        <v>1457379321.9100001</v>
      </c>
      <c r="D8" s="158">
        <v>1447783060.6099999</v>
      </c>
      <c r="E8" s="232">
        <v>99.3</v>
      </c>
      <c r="F8" s="159">
        <v>1416987475.0400002</v>
      </c>
      <c r="G8" s="158">
        <v>1395935992.6299999</v>
      </c>
      <c r="H8" s="51">
        <v>98.5</v>
      </c>
      <c r="I8" s="363">
        <v>96.4</v>
      </c>
    </row>
    <row r="9" spans="1:9" ht="19.899999999999999" customHeight="1">
      <c r="A9" s="233" t="s">
        <v>903</v>
      </c>
      <c r="B9" s="63" t="s">
        <v>104</v>
      </c>
      <c r="C9" s="333">
        <v>6867685.5199999996</v>
      </c>
      <c r="D9" s="155">
        <v>6851730.5199999996</v>
      </c>
      <c r="E9" s="234">
        <v>99.8</v>
      </c>
      <c r="F9" s="64">
        <v>0</v>
      </c>
      <c r="G9" s="157">
        <v>0</v>
      </c>
      <c r="H9" s="84" t="s">
        <v>913</v>
      </c>
      <c r="I9" s="364">
        <v>0</v>
      </c>
    </row>
    <row r="10" spans="1:9" ht="19.899999999999999" customHeight="1">
      <c r="A10" s="233" t="s">
        <v>905</v>
      </c>
      <c r="B10" s="63" t="s">
        <v>106</v>
      </c>
      <c r="C10" s="333">
        <v>4095578</v>
      </c>
      <c r="D10" s="155">
        <v>19558852.379999999</v>
      </c>
      <c r="E10" s="234">
        <v>477.6</v>
      </c>
      <c r="F10" s="64">
        <v>0</v>
      </c>
      <c r="G10" s="157">
        <v>0</v>
      </c>
      <c r="H10" s="84" t="s">
        <v>913</v>
      </c>
      <c r="I10" s="364">
        <v>0</v>
      </c>
    </row>
    <row r="11" spans="1:9" ht="19.899999999999999" customHeight="1">
      <c r="A11" s="233" t="s">
        <v>909</v>
      </c>
      <c r="B11" s="63" t="s">
        <v>109</v>
      </c>
      <c r="C11" s="333">
        <v>200000</v>
      </c>
      <c r="D11" s="155">
        <v>155904.15</v>
      </c>
      <c r="E11" s="234">
        <v>78</v>
      </c>
      <c r="F11" s="64">
        <v>200000</v>
      </c>
      <c r="G11" s="157">
        <v>155904.15</v>
      </c>
      <c r="H11" s="65">
        <v>78</v>
      </c>
      <c r="I11" s="364">
        <v>100</v>
      </c>
    </row>
    <row r="12" spans="1:9" ht="27">
      <c r="A12" s="233" t="s">
        <v>914</v>
      </c>
      <c r="B12" s="63" t="s">
        <v>112</v>
      </c>
      <c r="C12" s="333">
        <v>1434697.71</v>
      </c>
      <c r="D12" s="155">
        <v>1426735.23</v>
      </c>
      <c r="E12" s="234">
        <v>99.4</v>
      </c>
      <c r="F12" s="64">
        <v>1434697.71</v>
      </c>
      <c r="G12" s="157">
        <v>1426735.23</v>
      </c>
      <c r="H12" s="65">
        <v>99.4</v>
      </c>
      <c r="I12" s="364">
        <v>100</v>
      </c>
    </row>
    <row r="13" spans="1:9" ht="19.899999999999999" customHeight="1">
      <c r="A13" s="233" t="s">
        <v>918</v>
      </c>
      <c r="B13" s="63" t="s">
        <v>114</v>
      </c>
      <c r="C13" s="333">
        <v>13181947.16</v>
      </c>
      <c r="D13" s="155">
        <v>13181946.09</v>
      </c>
      <c r="E13" s="234">
        <v>100</v>
      </c>
      <c r="F13" s="64">
        <v>13134970.810000001</v>
      </c>
      <c r="G13" s="157">
        <v>13073526.48</v>
      </c>
      <c r="H13" s="65">
        <v>99.5</v>
      </c>
      <c r="I13" s="364">
        <v>99.2</v>
      </c>
    </row>
    <row r="14" spans="1:9" ht="19.899999999999999" customHeight="1">
      <c r="A14" s="233" t="s">
        <v>919</v>
      </c>
      <c r="B14" s="63" t="s">
        <v>115</v>
      </c>
      <c r="C14" s="333">
        <v>562225217.51999998</v>
      </c>
      <c r="D14" s="155">
        <v>561791453.45000005</v>
      </c>
      <c r="E14" s="234">
        <v>99.9</v>
      </c>
      <c r="F14" s="64">
        <v>558934291.51999998</v>
      </c>
      <c r="G14" s="157">
        <v>558590305.28000009</v>
      </c>
      <c r="H14" s="65">
        <v>99.9</v>
      </c>
      <c r="I14" s="364">
        <v>99.4</v>
      </c>
    </row>
    <row r="15" spans="1:9" ht="19.899999999999999" customHeight="1">
      <c r="A15" s="233" t="s">
        <v>922</v>
      </c>
      <c r="B15" s="63" t="s">
        <v>117</v>
      </c>
      <c r="C15" s="333">
        <v>780709759.73000002</v>
      </c>
      <c r="D15" s="155">
        <v>766952211.96000004</v>
      </c>
      <c r="E15" s="234">
        <v>98.2</v>
      </c>
      <c r="F15" s="64">
        <v>780509759.73000002</v>
      </c>
      <c r="G15" s="157">
        <v>766752211.96000004</v>
      </c>
      <c r="H15" s="65">
        <v>98.2</v>
      </c>
      <c r="I15" s="364">
        <v>100</v>
      </c>
    </row>
    <row r="16" spans="1:9" ht="19.899999999999999" customHeight="1">
      <c r="A16" s="233" t="s">
        <v>924</v>
      </c>
      <c r="B16" s="63" t="s">
        <v>119</v>
      </c>
      <c r="C16" s="333">
        <v>38608618.369999997</v>
      </c>
      <c r="D16" s="155">
        <v>32014076.829999998</v>
      </c>
      <c r="E16" s="234">
        <v>82.9</v>
      </c>
      <c r="F16" s="64">
        <v>38608618.369999997</v>
      </c>
      <c r="G16" s="157">
        <v>32014076.829999998</v>
      </c>
      <c r="H16" s="65">
        <v>82.9</v>
      </c>
      <c r="I16" s="364">
        <v>100</v>
      </c>
    </row>
    <row r="17" spans="1:9" ht="19.899999999999999" customHeight="1">
      <c r="A17" s="233" t="s">
        <v>925</v>
      </c>
      <c r="B17" s="63" t="s">
        <v>120</v>
      </c>
      <c r="C17" s="333">
        <v>42583227.899999999</v>
      </c>
      <c r="D17" s="155">
        <v>38585277</v>
      </c>
      <c r="E17" s="234">
        <v>90.6</v>
      </c>
      <c r="F17" s="64">
        <v>23748616.899999999</v>
      </c>
      <c r="G17" s="157">
        <v>23529689.699999999</v>
      </c>
      <c r="H17" s="65">
        <v>99.1</v>
      </c>
      <c r="I17" s="364">
        <v>61</v>
      </c>
    </row>
    <row r="18" spans="1:9" ht="27">
      <c r="A18" s="233" t="s">
        <v>926</v>
      </c>
      <c r="B18" s="63" t="s">
        <v>121</v>
      </c>
      <c r="C18" s="333">
        <v>1143992</v>
      </c>
      <c r="D18" s="155">
        <v>859253</v>
      </c>
      <c r="E18" s="234">
        <v>75.099999999999994</v>
      </c>
      <c r="F18" s="64">
        <v>0</v>
      </c>
      <c r="G18" s="157">
        <v>0</v>
      </c>
      <c r="H18" s="84" t="s">
        <v>913</v>
      </c>
      <c r="I18" s="364">
        <v>0</v>
      </c>
    </row>
    <row r="19" spans="1:9" ht="27">
      <c r="A19" s="233" t="s">
        <v>927</v>
      </c>
      <c r="B19" s="63" t="s">
        <v>122</v>
      </c>
      <c r="C19" s="333">
        <v>1504960</v>
      </c>
      <c r="D19" s="155">
        <v>681983</v>
      </c>
      <c r="E19" s="234">
        <v>45.3</v>
      </c>
      <c r="F19" s="64">
        <v>404960</v>
      </c>
      <c r="G19" s="157">
        <v>381983</v>
      </c>
      <c r="H19" s="65">
        <v>94.3</v>
      </c>
      <c r="I19" s="364">
        <v>56</v>
      </c>
    </row>
    <row r="20" spans="1:9" ht="40.5">
      <c r="A20" s="233" t="s">
        <v>928</v>
      </c>
      <c r="B20" s="63" t="s">
        <v>123</v>
      </c>
      <c r="C20" s="333">
        <v>11560</v>
      </c>
      <c r="D20" s="155">
        <v>11560</v>
      </c>
      <c r="E20" s="234">
        <v>100</v>
      </c>
      <c r="F20" s="64">
        <v>11560</v>
      </c>
      <c r="G20" s="157">
        <v>11560</v>
      </c>
      <c r="H20" s="65">
        <v>100</v>
      </c>
      <c r="I20" s="364">
        <v>100</v>
      </c>
    </row>
    <row r="21" spans="1:9" ht="19.899999999999999" customHeight="1">
      <c r="A21" s="235" t="s">
        <v>929</v>
      </c>
      <c r="B21" s="295" t="s">
        <v>124</v>
      </c>
      <c r="C21" s="335">
        <v>4812078</v>
      </c>
      <c r="D21" s="149">
        <v>5712077</v>
      </c>
      <c r="E21" s="238">
        <v>118.7</v>
      </c>
      <c r="F21" s="329">
        <v>0</v>
      </c>
      <c r="G21" s="130">
        <v>0</v>
      </c>
      <c r="H21" s="384" t="s">
        <v>913</v>
      </c>
      <c r="I21" s="365">
        <v>0</v>
      </c>
    </row>
    <row r="22" spans="1:9" ht="19.899999999999999" customHeight="1">
      <c r="A22" s="348"/>
      <c r="B22" s="76" t="s">
        <v>74</v>
      </c>
      <c r="C22" s="331">
        <v>198716233.24000001</v>
      </c>
      <c r="D22" s="158">
        <v>190352307.27000001</v>
      </c>
      <c r="E22" s="232">
        <v>95.8</v>
      </c>
      <c r="F22" s="159">
        <v>180137767.24000001</v>
      </c>
      <c r="G22" s="158">
        <v>179634886.83000001</v>
      </c>
      <c r="H22" s="51">
        <v>99.7</v>
      </c>
      <c r="I22" s="363">
        <v>94.4</v>
      </c>
    </row>
    <row r="23" spans="1:9" ht="19.899999999999999" customHeight="1">
      <c r="A23" s="233" t="s">
        <v>903</v>
      </c>
      <c r="B23" s="63" t="s">
        <v>104</v>
      </c>
      <c r="C23" s="333">
        <v>12617263</v>
      </c>
      <c r="D23" s="155">
        <v>6297646.1100000003</v>
      </c>
      <c r="E23" s="234">
        <v>49.9</v>
      </c>
      <c r="F23" s="64">
        <v>0</v>
      </c>
      <c r="G23" s="157">
        <v>0</v>
      </c>
      <c r="H23" s="65" t="s">
        <v>273</v>
      </c>
      <c r="I23" s="364">
        <v>0</v>
      </c>
    </row>
    <row r="24" spans="1:9" ht="19.899999999999999" customHeight="1">
      <c r="A24" s="233" t="s">
        <v>911</v>
      </c>
      <c r="B24" s="63" t="s">
        <v>111</v>
      </c>
      <c r="C24" s="333">
        <v>184416</v>
      </c>
      <c r="D24" s="155">
        <v>182680.14</v>
      </c>
      <c r="E24" s="234">
        <v>99.1</v>
      </c>
      <c r="F24" s="64">
        <v>64416</v>
      </c>
      <c r="G24" s="157">
        <v>62880.000000000015</v>
      </c>
      <c r="H24" s="65">
        <v>97.6</v>
      </c>
      <c r="I24" s="364">
        <v>34.4</v>
      </c>
    </row>
    <row r="25" spans="1:9" ht="19.899999999999999" customHeight="1">
      <c r="A25" s="233" t="s">
        <v>919</v>
      </c>
      <c r="B25" s="63" t="s">
        <v>115</v>
      </c>
      <c r="C25" s="333">
        <v>13616249.82</v>
      </c>
      <c r="D25" s="155">
        <v>13341273.42</v>
      </c>
      <c r="E25" s="234">
        <v>98</v>
      </c>
      <c r="F25" s="64">
        <v>9950374.8200000003</v>
      </c>
      <c r="G25" s="157">
        <v>9675734.4299999997</v>
      </c>
      <c r="H25" s="65">
        <v>97.2</v>
      </c>
      <c r="I25" s="364">
        <v>72.5</v>
      </c>
    </row>
    <row r="26" spans="1:9" ht="19.899999999999999" customHeight="1">
      <c r="A26" s="233" t="s">
        <v>921</v>
      </c>
      <c r="B26" s="63" t="s">
        <v>116</v>
      </c>
      <c r="C26" s="333">
        <v>2165536</v>
      </c>
      <c r="D26" s="155">
        <v>624672</v>
      </c>
      <c r="E26" s="234">
        <v>28.8</v>
      </c>
      <c r="F26" s="64">
        <v>0</v>
      </c>
      <c r="G26" s="157">
        <v>0</v>
      </c>
      <c r="H26" s="84" t="s">
        <v>913</v>
      </c>
      <c r="I26" s="364">
        <v>0</v>
      </c>
    </row>
    <row r="27" spans="1:9" ht="19.899999999999999" customHeight="1">
      <c r="A27" s="233" t="s">
        <v>922</v>
      </c>
      <c r="B27" s="63" t="s">
        <v>117</v>
      </c>
      <c r="C27" s="333">
        <v>170032768.41999999</v>
      </c>
      <c r="D27" s="155">
        <v>169832760.34</v>
      </c>
      <c r="E27" s="234">
        <v>99.9</v>
      </c>
      <c r="F27" s="64">
        <v>170022976.41999999</v>
      </c>
      <c r="G27" s="157">
        <v>169822997.14000002</v>
      </c>
      <c r="H27" s="65">
        <v>99.9</v>
      </c>
      <c r="I27" s="364">
        <v>100</v>
      </c>
    </row>
    <row r="28" spans="1:9" ht="19.899999999999999" customHeight="1">
      <c r="A28" s="235" t="s">
        <v>924</v>
      </c>
      <c r="B28" s="295" t="s">
        <v>119</v>
      </c>
      <c r="C28" s="335">
        <v>100000</v>
      </c>
      <c r="D28" s="149">
        <v>73275.259999999995</v>
      </c>
      <c r="E28" s="238">
        <v>73.3</v>
      </c>
      <c r="F28" s="329">
        <v>100000</v>
      </c>
      <c r="G28" s="130">
        <v>73275.259999999995</v>
      </c>
      <c r="H28" s="377">
        <v>73.3</v>
      </c>
      <c r="I28" s="365">
        <v>100</v>
      </c>
    </row>
    <row r="30" spans="1:9" ht="13.5">
      <c r="A30" s="129" t="s">
        <v>1158</v>
      </c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0866141732283472" right="0.55000000000000004" top="0.74803149606299213" bottom="0.74803149606299213" header="0.31496062992125984" footer="0.31496062992125984"/>
  <pageSetup paperSize="9" scale="8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showGridLines="0" zoomScaleNormal="100" workbookViewId="0">
      <selection activeCell="L4" sqref="L4"/>
    </sheetView>
  </sheetViews>
  <sheetFormatPr defaultRowHeight="12.75"/>
  <cols>
    <col min="1" max="1" width="6.28515625" customWidth="1"/>
    <col min="2" max="2" width="36.7109375" customWidth="1"/>
    <col min="3" max="3" width="13.42578125" bestFit="1" customWidth="1"/>
    <col min="4" max="4" width="12.5703125" bestFit="1" customWidth="1"/>
    <col min="5" max="5" width="12.85546875" customWidth="1"/>
    <col min="6" max="6" width="12.5703125" bestFit="1" customWidth="1"/>
    <col min="7" max="7" width="13" customWidth="1"/>
    <col min="8" max="8" width="12.28515625" customWidth="1"/>
    <col min="9" max="9" width="13.7109375" customWidth="1"/>
    <col min="10" max="10" width="15.140625" customWidth="1"/>
  </cols>
  <sheetData>
    <row r="1" spans="1:10">
      <c r="A1" s="1889" t="s">
        <v>703</v>
      </c>
      <c r="B1" s="1889"/>
      <c r="C1" s="1889"/>
      <c r="D1" s="1889"/>
      <c r="E1" s="1889"/>
      <c r="F1" s="1889"/>
      <c r="G1" s="1889"/>
      <c r="H1" s="1889"/>
      <c r="I1" s="1889"/>
      <c r="J1" s="1889"/>
    </row>
    <row r="2" spans="1:10" ht="13.5">
      <c r="A2" s="181"/>
      <c r="B2" s="179"/>
      <c r="C2" s="180"/>
      <c r="D2" s="180"/>
      <c r="E2" s="180"/>
      <c r="F2" s="180"/>
      <c r="G2" s="180"/>
      <c r="H2" s="180"/>
      <c r="I2" s="180"/>
      <c r="J2" s="180"/>
    </row>
    <row r="3" spans="1:10" ht="13.5">
      <c r="A3" s="1899" t="s">
        <v>881</v>
      </c>
      <c r="B3" s="1902" t="s">
        <v>68</v>
      </c>
      <c r="C3" s="1899" t="s">
        <v>0</v>
      </c>
      <c r="D3" s="2129" t="s">
        <v>21</v>
      </c>
      <c r="E3" s="2129"/>
      <c r="F3" s="2129"/>
      <c r="G3" s="2129"/>
      <c r="H3" s="2129"/>
      <c r="I3" s="2129"/>
      <c r="J3" s="2130"/>
    </row>
    <row r="4" spans="1:10" ht="13.5">
      <c r="A4" s="1900"/>
      <c r="B4" s="1903"/>
      <c r="C4" s="1900"/>
      <c r="D4" s="2131" t="s">
        <v>739</v>
      </c>
      <c r="E4" s="2133" t="s">
        <v>734</v>
      </c>
      <c r="F4" s="2134"/>
      <c r="G4" s="2134"/>
      <c r="H4" s="2135"/>
      <c r="I4" s="2136" t="s">
        <v>740</v>
      </c>
      <c r="J4" s="571" t="s">
        <v>734</v>
      </c>
    </row>
    <row r="5" spans="1:10" ht="13.15" customHeight="1">
      <c r="A5" s="1900"/>
      <c r="B5" s="1903"/>
      <c r="C5" s="1900"/>
      <c r="D5" s="2131"/>
      <c r="E5" s="2132" t="s">
        <v>1162</v>
      </c>
      <c r="F5" s="2131" t="s">
        <v>1163</v>
      </c>
      <c r="G5" s="2131" t="s">
        <v>1164</v>
      </c>
      <c r="H5" s="2132" t="s">
        <v>976</v>
      </c>
      <c r="I5" s="2136"/>
      <c r="J5" s="2139" t="s">
        <v>977</v>
      </c>
    </row>
    <row r="6" spans="1:10" ht="30" customHeight="1">
      <c r="A6" s="1900"/>
      <c r="B6" s="1903"/>
      <c r="C6" s="1901"/>
      <c r="D6" s="2168"/>
      <c r="E6" s="2138"/>
      <c r="F6" s="2132"/>
      <c r="G6" s="2132"/>
      <c r="H6" s="2316"/>
      <c r="I6" s="2169"/>
      <c r="J6" s="2170"/>
    </row>
    <row r="7" spans="1:10" ht="13.5">
      <c r="A7" s="2128"/>
      <c r="B7" s="2259"/>
      <c r="C7" s="2141" t="s">
        <v>885</v>
      </c>
      <c r="D7" s="2142"/>
      <c r="E7" s="2142"/>
      <c r="F7" s="2142"/>
      <c r="G7" s="2142"/>
      <c r="H7" s="2142"/>
      <c r="I7" s="2142"/>
      <c r="J7" s="2143"/>
    </row>
    <row r="8" spans="1:10">
      <c r="A8" s="398" t="s">
        <v>887</v>
      </c>
      <c r="B8" s="606" t="s">
        <v>888</v>
      </c>
      <c r="C8" s="398" t="s">
        <v>889</v>
      </c>
      <c r="D8" s="398" t="s">
        <v>890</v>
      </c>
      <c r="E8" s="398" t="s">
        <v>891</v>
      </c>
      <c r="F8" s="398" t="s">
        <v>892</v>
      </c>
      <c r="G8" s="398" t="s">
        <v>893</v>
      </c>
      <c r="H8" s="398" t="s">
        <v>894</v>
      </c>
      <c r="I8" s="398" t="s">
        <v>932</v>
      </c>
      <c r="J8" s="428" t="s">
        <v>966</v>
      </c>
    </row>
    <row r="9" spans="1:10" ht="19.899999999999999" customHeight="1">
      <c r="A9" s="387"/>
      <c r="B9" s="1563" t="s">
        <v>933</v>
      </c>
      <c r="C9" s="414">
        <v>108203485541.17</v>
      </c>
      <c r="D9" s="183">
        <v>92555291956.789993</v>
      </c>
      <c r="E9" s="183">
        <v>34425952060.190002</v>
      </c>
      <c r="F9" s="183">
        <v>10507945612.299999</v>
      </c>
      <c r="G9" s="183">
        <v>17154931826.74</v>
      </c>
      <c r="H9" s="183">
        <v>693730788.76999998</v>
      </c>
      <c r="I9" s="183">
        <v>15648193584.379999</v>
      </c>
      <c r="J9" s="415">
        <v>5811635439.9499998</v>
      </c>
    </row>
    <row r="10" spans="1:10" ht="19.899999999999999" customHeight="1">
      <c r="A10" s="389" t="s">
        <v>895</v>
      </c>
      <c r="B10" s="404" t="s">
        <v>99</v>
      </c>
      <c r="C10" s="416">
        <v>33180228.079999998</v>
      </c>
      <c r="D10" s="186">
        <v>18307393.68</v>
      </c>
      <c r="E10" s="186">
        <v>1272275.7</v>
      </c>
      <c r="F10" s="186">
        <v>376265.76</v>
      </c>
      <c r="G10" s="186">
        <v>10028.41</v>
      </c>
      <c r="H10" s="186">
        <v>0</v>
      </c>
      <c r="I10" s="186">
        <v>14872834.4</v>
      </c>
      <c r="J10" s="417">
        <v>7073779.8700000001</v>
      </c>
    </row>
    <row r="11" spans="1:10" ht="19.899999999999999" customHeight="1">
      <c r="A11" s="389" t="s">
        <v>896</v>
      </c>
      <c r="B11" s="404" t="s">
        <v>100</v>
      </c>
      <c r="C11" s="416">
        <v>25402447.530000001</v>
      </c>
      <c r="D11" s="186">
        <v>24612499.530000001</v>
      </c>
      <c r="E11" s="186">
        <v>7879577.9400000004</v>
      </c>
      <c r="F11" s="186">
        <v>1188</v>
      </c>
      <c r="G11" s="186">
        <v>321075.59999999998</v>
      </c>
      <c r="H11" s="186">
        <v>12000</v>
      </c>
      <c r="I11" s="186">
        <v>789948</v>
      </c>
      <c r="J11" s="417">
        <v>0</v>
      </c>
    </row>
    <row r="12" spans="1:10" ht="19.899999999999999" customHeight="1">
      <c r="A12" s="389" t="s">
        <v>897</v>
      </c>
      <c r="B12" s="404" t="s">
        <v>101</v>
      </c>
      <c r="C12" s="416">
        <v>523.98</v>
      </c>
      <c r="D12" s="186">
        <v>523.98</v>
      </c>
      <c r="E12" s="186">
        <v>0</v>
      </c>
      <c r="F12" s="186">
        <v>0</v>
      </c>
      <c r="G12" s="186">
        <v>0</v>
      </c>
      <c r="H12" s="186">
        <v>0</v>
      </c>
      <c r="I12" s="186">
        <v>0</v>
      </c>
      <c r="J12" s="417">
        <v>0</v>
      </c>
    </row>
    <row r="13" spans="1:10" ht="19.899999999999999" customHeight="1">
      <c r="A13" s="389" t="s">
        <v>898</v>
      </c>
      <c r="B13" s="404" t="s">
        <v>126</v>
      </c>
      <c r="C13" s="416">
        <v>602171.98</v>
      </c>
      <c r="D13" s="186">
        <v>586171.98</v>
      </c>
      <c r="E13" s="186">
        <v>527692.76</v>
      </c>
      <c r="F13" s="186">
        <v>0</v>
      </c>
      <c r="G13" s="186">
        <v>141.33000000000001</v>
      </c>
      <c r="H13" s="186">
        <v>0</v>
      </c>
      <c r="I13" s="186">
        <v>16000</v>
      </c>
      <c r="J13" s="417">
        <v>0</v>
      </c>
    </row>
    <row r="14" spans="1:10" ht="19.899999999999999" customHeight="1">
      <c r="A14" s="389" t="s">
        <v>899</v>
      </c>
      <c r="B14" s="404" t="s">
        <v>102</v>
      </c>
      <c r="C14" s="416">
        <v>40410055.539999999</v>
      </c>
      <c r="D14" s="186">
        <v>12981049.869999999</v>
      </c>
      <c r="E14" s="186">
        <v>1469070.28</v>
      </c>
      <c r="F14" s="186">
        <v>9000</v>
      </c>
      <c r="G14" s="186">
        <v>3261.26</v>
      </c>
      <c r="H14" s="186">
        <v>7320186.2800000003</v>
      </c>
      <c r="I14" s="186">
        <v>27429005.670000002</v>
      </c>
      <c r="J14" s="417">
        <v>27121345.039999999</v>
      </c>
    </row>
    <row r="15" spans="1:10" ht="27">
      <c r="A15" s="389" t="s">
        <v>900</v>
      </c>
      <c r="B15" s="404" t="s">
        <v>103</v>
      </c>
      <c r="C15" s="416">
        <v>39775218.840000004</v>
      </c>
      <c r="D15" s="186">
        <v>23082301.379999999</v>
      </c>
      <c r="E15" s="186">
        <v>105083.4</v>
      </c>
      <c r="F15" s="186">
        <v>0</v>
      </c>
      <c r="G15" s="186">
        <v>0</v>
      </c>
      <c r="H15" s="186">
        <v>0</v>
      </c>
      <c r="I15" s="186">
        <v>16692917.460000001</v>
      </c>
      <c r="J15" s="417">
        <v>953549.76</v>
      </c>
    </row>
    <row r="16" spans="1:10" ht="19.899999999999999" customHeight="1">
      <c r="A16" s="389" t="s">
        <v>901</v>
      </c>
      <c r="B16" s="404" t="s">
        <v>216</v>
      </c>
      <c r="C16" s="416">
        <v>4686608.0599999996</v>
      </c>
      <c r="D16" s="186">
        <v>3718135.91</v>
      </c>
      <c r="E16" s="186">
        <v>1415923.38</v>
      </c>
      <c r="F16" s="186">
        <v>0</v>
      </c>
      <c r="G16" s="186">
        <v>4584.24</v>
      </c>
      <c r="H16" s="186">
        <v>0</v>
      </c>
      <c r="I16" s="186">
        <v>968472.15</v>
      </c>
      <c r="J16" s="417">
        <v>0</v>
      </c>
    </row>
    <row r="17" spans="1:10" ht="19.899999999999999" customHeight="1">
      <c r="A17" s="389" t="s">
        <v>903</v>
      </c>
      <c r="B17" s="404" t="s">
        <v>104</v>
      </c>
      <c r="C17" s="416">
        <v>17936273362.950001</v>
      </c>
      <c r="D17" s="186">
        <v>10628121218.030001</v>
      </c>
      <c r="E17" s="186">
        <v>481131793.10000002</v>
      </c>
      <c r="F17" s="186">
        <v>601849944.07000005</v>
      </c>
      <c r="G17" s="186">
        <v>4093508.58</v>
      </c>
      <c r="H17" s="186">
        <v>5914729.1799999997</v>
      </c>
      <c r="I17" s="186">
        <v>7308152144.9200001</v>
      </c>
      <c r="J17" s="417">
        <v>4152683718.9000001</v>
      </c>
    </row>
    <row r="18" spans="1:10" ht="19.899999999999999" customHeight="1">
      <c r="A18" s="389" t="s">
        <v>904</v>
      </c>
      <c r="B18" s="404" t="s">
        <v>105</v>
      </c>
      <c r="C18" s="416">
        <v>62675121.960000001</v>
      </c>
      <c r="D18" s="186">
        <v>39555620.850000001</v>
      </c>
      <c r="E18" s="186">
        <v>8057728.3700000001</v>
      </c>
      <c r="F18" s="186">
        <v>3742399.23</v>
      </c>
      <c r="G18" s="186">
        <v>25037.52</v>
      </c>
      <c r="H18" s="186">
        <v>552942.68999999994</v>
      </c>
      <c r="I18" s="186">
        <v>23119501.109999999</v>
      </c>
      <c r="J18" s="417">
        <v>16058665.58</v>
      </c>
    </row>
    <row r="19" spans="1:10" ht="19.899999999999999" customHeight="1">
      <c r="A19" s="389" t="s">
        <v>905</v>
      </c>
      <c r="B19" s="404" t="s">
        <v>106</v>
      </c>
      <c r="C19" s="416">
        <v>4884791225.8199997</v>
      </c>
      <c r="D19" s="186">
        <v>3180289918.8800001</v>
      </c>
      <c r="E19" s="186">
        <v>491208152.05000001</v>
      </c>
      <c r="F19" s="186">
        <v>78872031.769999996</v>
      </c>
      <c r="G19" s="186">
        <v>3162593.52</v>
      </c>
      <c r="H19" s="186">
        <v>1197133.1599999999</v>
      </c>
      <c r="I19" s="186">
        <v>1704501306.9400001</v>
      </c>
      <c r="J19" s="417">
        <v>284199940.14999998</v>
      </c>
    </row>
    <row r="20" spans="1:10" ht="19.899999999999999" customHeight="1">
      <c r="A20" s="389" t="s">
        <v>906</v>
      </c>
      <c r="B20" s="404" t="s">
        <v>107</v>
      </c>
      <c r="C20" s="416">
        <v>953165283.92999995</v>
      </c>
      <c r="D20" s="186">
        <v>589983176.04999995</v>
      </c>
      <c r="E20" s="186">
        <v>315239942.49000001</v>
      </c>
      <c r="F20" s="186">
        <v>12570769.33</v>
      </c>
      <c r="G20" s="186">
        <v>1210586.5</v>
      </c>
      <c r="H20" s="186">
        <v>11232132</v>
      </c>
      <c r="I20" s="186">
        <v>363182107.88</v>
      </c>
      <c r="J20" s="417">
        <v>91249263.980000004</v>
      </c>
    </row>
    <row r="21" spans="1:10" ht="19.899999999999999" customHeight="1">
      <c r="A21" s="389" t="s">
        <v>907</v>
      </c>
      <c r="B21" s="404" t="s">
        <v>108</v>
      </c>
      <c r="C21" s="416">
        <v>9028081.2300000004</v>
      </c>
      <c r="D21" s="186">
        <v>4383569.49</v>
      </c>
      <c r="E21" s="186">
        <v>24754.34</v>
      </c>
      <c r="F21" s="186">
        <v>8741.4599999999991</v>
      </c>
      <c r="G21" s="186">
        <v>0</v>
      </c>
      <c r="H21" s="186">
        <v>170402.93</v>
      </c>
      <c r="I21" s="186">
        <v>4644511.74</v>
      </c>
      <c r="J21" s="417">
        <v>3406939.35</v>
      </c>
    </row>
    <row r="22" spans="1:10" ht="19.899999999999999" customHeight="1">
      <c r="A22" s="389" t="s">
        <v>908</v>
      </c>
      <c r="B22" s="404" t="s">
        <v>217</v>
      </c>
      <c r="C22" s="416">
        <v>24555574.800000001</v>
      </c>
      <c r="D22" s="186">
        <v>16503515.74</v>
      </c>
      <c r="E22" s="186">
        <v>2382317.27</v>
      </c>
      <c r="F22" s="186">
        <v>5087449.87</v>
      </c>
      <c r="G22" s="186">
        <v>4916287.3899999997</v>
      </c>
      <c r="H22" s="186">
        <v>871725.34</v>
      </c>
      <c r="I22" s="186">
        <v>8052059.0599999996</v>
      </c>
      <c r="J22" s="417">
        <v>0</v>
      </c>
    </row>
    <row r="23" spans="1:10" ht="19.899999999999999" customHeight="1">
      <c r="A23" s="389" t="s">
        <v>909</v>
      </c>
      <c r="B23" s="404" t="s">
        <v>109</v>
      </c>
      <c r="C23" s="416">
        <v>6333924537.1499996</v>
      </c>
      <c r="D23" s="186">
        <v>5977506837.3900003</v>
      </c>
      <c r="E23" s="186">
        <v>4314716384.0699997</v>
      </c>
      <c r="F23" s="186">
        <v>41576341.189999998</v>
      </c>
      <c r="G23" s="186">
        <v>84972142.310000002</v>
      </c>
      <c r="H23" s="186">
        <v>46591885.399999999</v>
      </c>
      <c r="I23" s="186">
        <v>356417699.75999999</v>
      </c>
      <c r="J23" s="417">
        <v>32337828.390000001</v>
      </c>
    </row>
    <row r="24" spans="1:10" ht="27">
      <c r="A24" s="389" t="s">
        <v>910</v>
      </c>
      <c r="B24" s="404" t="s">
        <v>110</v>
      </c>
      <c r="C24" s="416">
        <v>2878046.79</v>
      </c>
      <c r="D24" s="186">
        <v>2878046.79</v>
      </c>
      <c r="E24" s="186">
        <v>2311238.81</v>
      </c>
      <c r="F24" s="186">
        <v>0</v>
      </c>
      <c r="G24" s="186">
        <v>216562.5</v>
      </c>
      <c r="H24" s="186">
        <v>0</v>
      </c>
      <c r="I24" s="186">
        <v>0</v>
      </c>
      <c r="J24" s="417">
        <v>0</v>
      </c>
    </row>
    <row r="25" spans="1:10" ht="19.899999999999999" customHeight="1">
      <c r="A25" s="389" t="s">
        <v>911</v>
      </c>
      <c r="B25" s="404" t="s">
        <v>111</v>
      </c>
      <c r="C25" s="416">
        <v>525533.35</v>
      </c>
      <c r="D25" s="186">
        <v>375783.17</v>
      </c>
      <c r="E25" s="186">
        <v>3000</v>
      </c>
      <c r="F25" s="186">
        <v>0</v>
      </c>
      <c r="G25" s="186">
        <v>115012.78</v>
      </c>
      <c r="H25" s="186">
        <v>0</v>
      </c>
      <c r="I25" s="186">
        <v>149750.18</v>
      </c>
      <c r="J25" s="417">
        <v>0</v>
      </c>
    </row>
    <row r="26" spans="1:10" ht="19.899999999999999" customHeight="1">
      <c r="A26" s="389" t="s">
        <v>912</v>
      </c>
      <c r="B26" s="404" t="s">
        <v>355</v>
      </c>
      <c r="C26" s="416">
        <v>63936.83</v>
      </c>
      <c r="D26" s="186">
        <v>63936.83</v>
      </c>
      <c r="E26" s="186">
        <v>63936.83</v>
      </c>
      <c r="F26" s="186">
        <v>0</v>
      </c>
      <c r="G26" s="186">
        <v>0</v>
      </c>
      <c r="H26" s="186">
        <v>0</v>
      </c>
      <c r="I26" s="186">
        <v>0</v>
      </c>
      <c r="J26" s="417">
        <v>0</v>
      </c>
    </row>
    <row r="27" spans="1:10" ht="13.5">
      <c r="A27" s="389" t="s">
        <v>914</v>
      </c>
      <c r="B27" s="404" t="s">
        <v>112</v>
      </c>
      <c r="C27" s="416">
        <v>2168557131.4200001</v>
      </c>
      <c r="D27" s="186">
        <v>2032129049.55</v>
      </c>
      <c r="E27" s="186">
        <v>1683467539.1300001</v>
      </c>
      <c r="F27" s="186">
        <v>12706359.59</v>
      </c>
      <c r="G27" s="186">
        <v>56431806.5</v>
      </c>
      <c r="H27" s="186">
        <v>1635954.31</v>
      </c>
      <c r="I27" s="186">
        <v>136428081.87</v>
      </c>
      <c r="J27" s="417">
        <v>9021044.7200000007</v>
      </c>
    </row>
    <row r="28" spans="1:10" ht="19.899999999999999" customHeight="1">
      <c r="A28" s="389" t="s">
        <v>915</v>
      </c>
      <c r="B28" s="404" t="s">
        <v>113</v>
      </c>
      <c r="C28" s="416">
        <v>30782344.100000001</v>
      </c>
      <c r="D28" s="186">
        <v>30782344.100000001</v>
      </c>
      <c r="E28" s="186">
        <v>1791292.74</v>
      </c>
      <c r="F28" s="186">
        <v>15239170.91</v>
      </c>
      <c r="G28" s="186">
        <v>0</v>
      </c>
      <c r="H28" s="186">
        <v>0</v>
      </c>
      <c r="I28" s="186">
        <v>0</v>
      </c>
      <c r="J28" s="417">
        <v>0</v>
      </c>
    </row>
    <row r="29" spans="1:10" ht="40.5">
      <c r="A29" s="389" t="s">
        <v>916</v>
      </c>
      <c r="B29" s="404" t="s">
        <v>356</v>
      </c>
      <c r="C29" s="416">
        <v>493910</v>
      </c>
      <c r="D29" s="186">
        <v>493910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417">
        <v>0</v>
      </c>
    </row>
    <row r="30" spans="1:10" ht="19.899999999999999" customHeight="1">
      <c r="A30" s="389" t="s">
        <v>917</v>
      </c>
      <c r="B30" s="404" t="s">
        <v>357</v>
      </c>
      <c r="C30" s="416">
        <v>570513245.97000003</v>
      </c>
      <c r="D30" s="186">
        <v>570513245.97000003</v>
      </c>
      <c r="E30" s="186">
        <v>0</v>
      </c>
      <c r="F30" s="186">
        <v>2420976</v>
      </c>
      <c r="G30" s="186">
        <v>0</v>
      </c>
      <c r="H30" s="186">
        <v>0</v>
      </c>
      <c r="I30" s="186">
        <v>0</v>
      </c>
      <c r="J30" s="417">
        <v>0</v>
      </c>
    </row>
    <row r="31" spans="1:10" ht="19.899999999999999" customHeight="1">
      <c r="A31" s="389" t="s">
        <v>918</v>
      </c>
      <c r="B31" s="404" t="s">
        <v>114</v>
      </c>
      <c r="C31" s="416">
        <v>1963507165.98</v>
      </c>
      <c r="D31" s="186">
        <v>1945440251.25</v>
      </c>
      <c r="E31" s="186">
        <v>84517.1</v>
      </c>
      <c r="F31" s="186">
        <v>0</v>
      </c>
      <c r="G31" s="186">
        <v>125681.92</v>
      </c>
      <c r="H31" s="186">
        <v>0</v>
      </c>
      <c r="I31" s="186">
        <v>18066914.73</v>
      </c>
      <c r="J31" s="417">
        <v>0</v>
      </c>
    </row>
    <row r="32" spans="1:10" ht="19.899999999999999" customHeight="1">
      <c r="A32" s="389" t="s">
        <v>919</v>
      </c>
      <c r="B32" s="404" t="s">
        <v>115</v>
      </c>
      <c r="C32" s="416">
        <v>30631669791.529999</v>
      </c>
      <c r="D32" s="186">
        <v>29400297017.310001</v>
      </c>
      <c r="E32" s="186">
        <v>20138758432.860001</v>
      </c>
      <c r="F32" s="186">
        <v>5211191121.3500004</v>
      </c>
      <c r="G32" s="186">
        <v>73486061.900000006</v>
      </c>
      <c r="H32" s="186">
        <v>326544299.47000003</v>
      </c>
      <c r="I32" s="186">
        <v>1231372774.22</v>
      </c>
      <c r="J32" s="417">
        <v>247238880.52000001</v>
      </c>
    </row>
    <row r="33" spans="1:10" ht="19.899999999999999" customHeight="1">
      <c r="A33" s="389" t="s">
        <v>921</v>
      </c>
      <c r="B33" s="404" t="s">
        <v>116</v>
      </c>
      <c r="C33" s="416">
        <v>1420229117.1300001</v>
      </c>
      <c r="D33" s="186">
        <v>798989540.40999997</v>
      </c>
      <c r="E33" s="186">
        <v>138768500.53</v>
      </c>
      <c r="F33" s="186">
        <v>246258049.87</v>
      </c>
      <c r="G33" s="186">
        <v>2277501.12</v>
      </c>
      <c r="H33" s="186">
        <v>1897275.7</v>
      </c>
      <c r="I33" s="186">
        <v>621239576.72000003</v>
      </c>
      <c r="J33" s="417">
        <v>64105727.409999996</v>
      </c>
    </row>
    <row r="34" spans="1:10" ht="19.899999999999999" customHeight="1">
      <c r="A34" s="389" t="s">
        <v>922</v>
      </c>
      <c r="B34" s="404" t="s">
        <v>117</v>
      </c>
      <c r="C34" s="416">
        <v>5311194691.8800001</v>
      </c>
      <c r="D34" s="186">
        <v>5168841382.9799995</v>
      </c>
      <c r="E34" s="186">
        <v>2102428803.8800001</v>
      </c>
      <c r="F34" s="186">
        <v>601943595.23000002</v>
      </c>
      <c r="G34" s="186">
        <v>1177295828.8399999</v>
      </c>
      <c r="H34" s="186">
        <v>90432550.140000001</v>
      </c>
      <c r="I34" s="186">
        <v>142353308.90000001</v>
      </c>
      <c r="J34" s="417">
        <v>23200573.120000001</v>
      </c>
    </row>
    <row r="35" spans="1:10" ht="13.5">
      <c r="A35" s="389" t="s">
        <v>923</v>
      </c>
      <c r="B35" s="404" t="s">
        <v>118</v>
      </c>
      <c r="C35" s="416">
        <v>804112904.70000005</v>
      </c>
      <c r="D35" s="186">
        <v>784555127.74000001</v>
      </c>
      <c r="E35" s="186">
        <v>336326826.24000001</v>
      </c>
      <c r="F35" s="186">
        <v>160246432.46000001</v>
      </c>
      <c r="G35" s="186">
        <v>49163118.920000002</v>
      </c>
      <c r="H35" s="186">
        <v>134483337.28</v>
      </c>
      <c r="I35" s="186">
        <v>19557776.960000001</v>
      </c>
      <c r="J35" s="417">
        <v>5484220.7400000002</v>
      </c>
    </row>
    <row r="36" spans="1:10" ht="19.899999999999999" customHeight="1">
      <c r="A36" s="389" t="s">
        <v>924</v>
      </c>
      <c r="B36" s="404" t="s">
        <v>119</v>
      </c>
      <c r="C36" s="416">
        <v>2750300056.6999998</v>
      </c>
      <c r="D36" s="186">
        <v>2680380257.9899998</v>
      </c>
      <c r="E36" s="186">
        <v>1959700081.2</v>
      </c>
      <c r="F36" s="186">
        <v>355626216.81</v>
      </c>
      <c r="G36" s="186">
        <v>73196424.510000005</v>
      </c>
      <c r="H36" s="186">
        <v>2756383.59</v>
      </c>
      <c r="I36" s="186">
        <v>69919798.709999993</v>
      </c>
      <c r="J36" s="417">
        <v>8786113.0800000001</v>
      </c>
    </row>
    <row r="37" spans="1:10" ht="19.899999999999999" customHeight="1">
      <c r="A37" s="389" t="s">
        <v>925</v>
      </c>
      <c r="B37" s="404" t="s">
        <v>120</v>
      </c>
      <c r="C37" s="416">
        <v>17983992516.990002</v>
      </c>
      <c r="D37" s="186">
        <v>17885088001.32</v>
      </c>
      <c r="E37" s="186">
        <v>1451971758.1900001</v>
      </c>
      <c r="F37" s="186">
        <v>378329270.02999997</v>
      </c>
      <c r="G37" s="186">
        <v>15564321365.35</v>
      </c>
      <c r="H37" s="186">
        <v>45143354.82</v>
      </c>
      <c r="I37" s="186">
        <v>98904515.670000002</v>
      </c>
      <c r="J37" s="417">
        <v>7372438.4800000004</v>
      </c>
    </row>
    <row r="38" spans="1:10" ht="13.5">
      <c r="A38" s="389" t="s">
        <v>926</v>
      </c>
      <c r="B38" s="404" t="s">
        <v>121</v>
      </c>
      <c r="C38" s="416">
        <v>8273325259.8500004</v>
      </c>
      <c r="D38" s="186">
        <v>6691736786.3699999</v>
      </c>
      <c r="E38" s="186">
        <v>518613299.47000003</v>
      </c>
      <c r="F38" s="186">
        <v>36617207.030000001</v>
      </c>
      <c r="G38" s="186">
        <v>5590773.71</v>
      </c>
      <c r="H38" s="186">
        <v>7610023.6299999999</v>
      </c>
      <c r="I38" s="186">
        <v>1581588473.48</v>
      </c>
      <c r="J38" s="417">
        <v>516770438.43000001</v>
      </c>
    </row>
    <row r="39" spans="1:10" ht="13.5">
      <c r="A39" s="389" t="s">
        <v>927</v>
      </c>
      <c r="B39" s="404" t="s">
        <v>122</v>
      </c>
      <c r="C39" s="416">
        <v>3150391905.2600002</v>
      </c>
      <c r="D39" s="186">
        <v>2404535997.1799998</v>
      </c>
      <c r="E39" s="186">
        <v>12312757.18</v>
      </c>
      <c r="F39" s="186">
        <v>2295234382.0599999</v>
      </c>
      <c r="G39" s="186">
        <v>13654983.93</v>
      </c>
      <c r="H39" s="186">
        <v>8833631.6099999994</v>
      </c>
      <c r="I39" s="186">
        <v>745855908.08000004</v>
      </c>
      <c r="J39" s="417">
        <v>278211453.60000002</v>
      </c>
    </row>
    <row r="40" spans="1:10" ht="27">
      <c r="A40" s="389" t="s">
        <v>928</v>
      </c>
      <c r="B40" s="404" t="s">
        <v>123</v>
      </c>
      <c r="C40" s="416">
        <v>183191296.05000001</v>
      </c>
      <c r="D40" s="186">
        <v>151019976.81999999</v>
      </c>
      <c r="E40" s="186">
        <v>58569182.399999999</v>
      </c>
      <c r="F40" s="186">
        <v>250000</v>
      </c>
      <c r="G40" s="186">
        <v>534871.54</v>
      </c>
      <c r="H40" s="186">
        <v>158030.56</v>
      </c>
      <c r="I40" s="186">
        <v>32171319.23</v>
      </c>
      <c r="J40" s="417">
        <v>6313965.1399999997</v>
      </c>
    </row>
    <row r="41" spans="1:10" ht="19.899999999999999" customHeight="1">
      <c r="A41" s="392" t="s">
        <v>929</v>
      </c>
      <c r="B41" s="405" t="s">
        <v>124</v>
      </c>
      <c r="C41" s="418">
        <v>2609286244.79</v>
      </c>
      <c r="D41" s="394">
        <v>1487539368.25</v>
      </c>
      <c r="E41" s="394">
        <v>395350198.48000002</v>
      </c>
      <c r="F41" s="394">
        <v>447788700.27999997</v>
      </c>
      <c r="G41" s="394">
        <v>39802586.560000002</v>
      </c>
      <c r="H41" s="394">
        <v>372810.68</v>
      </c>
      <c r="I41" s="394">
        <v>1121746876.54</v>
      </c>
      <c r="J41" s="419">
        <v>30045553.690000001</v>
      </c>
    </row>
    <row r="42" spans="1:10" ht="15.75">
      <c r="A42" s="1031" t="s">
        <v>1165</v>
      </c>
      <c r="B42" s="179"/>
      <c r="C42" s="180"/>
      <c r="D42" s="180"/>
      <c r="E42" s="180"/>
      <c r="F42" s="180"/>
      <c r="G42" s="180"/>
      <c r="H42" s="180"/>
      <c r="I42" s="180"/>
      <c r="J42" s="180"/>
    </row>
    <row r="43" spans="1:10" ht="13.5">
      <c r="A43" s="188" t="s">
        <v>1158</v>
      </c>
      <c r="B43" s="179"/>
      <c r="C43" s="180"/>
      <c r="D43" s="180"/>
      <c r="E43" s="180"/>
      <c r="F43" s="180"/>
      <c r="G43" s="180"/>
      <c r="H43" s="180"/>
      <c r="I43" s="180"/>
      <c r="J43" s="180"/>
    </row>
  </sheetData>
  <mergeCells count="14">
    <mergeCell ref="A1:J1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  <mergeCell ref="H5:H6"/>
    <mergeCell ref="J5:J6"/>
    <mergeCell ref="C7:J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  <pageSetUpPr fitToPage="1"/>
  </sheetPr>
  <dimension ref="A1:I26"/>
  <sheetViews>
    <sheetView showGridLines="0" workbookViewId="0">
      <selection activeCell="O3" sqref="O3"/>
    </sheetView>
  </sheetViews>
  <sheetFormatPr defaultColWidth="9.140625" defaultRowHeight="12.75"/>
  <cols>
    <col min="1" max="1" width="4.85546875" style="5" customWidth="1"/>
    <col min="2" max="2" width="16.140625" style="5" customWidth="1"/>
    <col min="3" max="4" width="10.5703125" style="5" bestFit="1" customWidth="1"/>
    <col min="5" max="5" width="9.85546875" style="5" bestFit="1" customWidth="1"/>
    <col min="6" max="6" width="10.5703125" style="5" bestFit="1" customWidth="1"/>
    <col min="7" max="7" width="7.140625" style="5" bestFit="1" customWidth="1"/>
    <col min="8" max="8" width="7.42578125" style="5" bestFit="1" customWidth="1"/>
    <col min="9" max="9" width="12" style="5" customWidth="1"/>
    <col min="10" max="16384" width="9.140625" style="5"/>
  </cols>
  <sheetData>
    <row r="1" spans="1:9" ht="40.5" customHeight="1">
      <c r="A1" s="1861" t="s">
        <v>988</v>
      </c>
      <c r="B1" s="1861"/>
      <c r="C1" s="1861"/>
      <c r="D1" s="1861"/>
      <c r="E1" s="1861"/>
      <c r="F1" s="1861"/>
      <c r="G1" s="1861"/>
      <c r="H1" s="1861"/>
      <c r="I1" s="1861"/>
    </row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5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574">
        <v>2021</v>
      </c>
      <c r="E4" s="326" t="s">
        <v>24</v>
      </c>
      <c r="F4" s="330" t="s">
        <v>25</v>
      </c>
      <c r="G4" s="1856"/>
      <c r="H4" s="326" t="s">
        <v>931</v>
      </c>
      <c r="I4" s="1849"/>
    </row>
    <row r="5" spans="1:9" ht="13.5">
      <c r="A5" s="1800"/>
      <c r="B5" s="1803"/>
      <c r="C5" s="1850" t="s">
        <v>885</v>
      </c>
      <c r="D5" s="1806"/>
      <c r="E5" s="1806"/>
      <c r="F5" s="1807"/>
      <c r="G5" s="1853" t="s">
        <v>886</v>
      </c>
      <c r="H5" s="1854"/>
      <c r="I5" s="322" t="s">
        <v>885</v>
      </c>
    </row>
    <row r="6" spans="1:9" ht="12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40" t="s">
        <v>893</v>
      </c>
      <c r="H6" s="241" t="s">
        <v>894</v>
      </c>
      <c r="I6" s="242" t="s">
        <v>932</v>
      </c>
    </row>
    <row r="7" spans="1:9" ht="19.899999999999999" customHeight="1">
      <c r="A7" s="231"/>
      <c r="B7" s="76" t="s">
        <v>933</v>
      </c>
      <c r="C7" s="567">
        <v>138752850.46000001</v>
      </c>
      <c r="D7" s="159">
        <v>198125422.84999999</v>
      </c>
      <c r="E7" s="158">
        <v>14632722.630000001</v>
      </c>
      <c r="F7" s="332">
        <v>183492700.22</v>
      </c>
      <c r="G7" s="328">
        <v>100</v>
      </c>
      <c r="H7" s="150">
        <v>142.80000000000001</v>
      </c>
      <c r="I7" s="232">
        <v>5.2</v>
      </c>
    </row>
    <row r="8" spans="1:9" ht="19.899999999999999" customHeight="1">
      <c r="A8" s="233" t="s">
        <v>6</v>
      </c>
      <c r="B8" s="246" t="s">
        <v>26</v>
      </c>
      <c r="C8" s="568">
        <v>14764445.52</v>
      </c>
      <c r="D8" s="160">
        <v>27883946.09</v>
      </c>
      <c r="E8" s="155">
        <v>117389.13</v>
      </c>
      <c r="F8" s="334">
        <v>27766556.960000001</v>
      </c>
      <c r="G8" s="64">
        <v>14.1</v>
      </c>
      <c r="H8" s="157">
        <v>188.9</v>
      </c>
      <c r="I8" s="234">
        <v>9.6</v>
      </c>
    </row>
    <row r="9" spans="1:9" ht="19.899999999999999" customHeight="1">
      <c r="A9" s="233" t="s">
        <v>7</v>
      </c>
      <c r="B9" s="246" t="s">
        <v>42</v>
      </c>
      <c r="C9" s="568">
        <v>5940438.7300000004</v>
      </c>
      <c r="D9" s="160">
        <v>8767472.8499999996</v>
      </c>
      <c r="E9" s="155">
        <v>0</v>
      </c>
      <c r="F9" s="334">
        <v>8767472.8499999996</v>
      </c>
      <c r="G9" s="64">
        <v>4.4000000000000004</v>
      </c>
      <c r="H9" s="157">
        <v>147.6</v>
      </c>
      <c r="I9" s="234">
        <v>4.3</v>
      </c>
    </row>
    <row r="10" spans="1:9" ht="19.899999999999999" customHeight="1">
      <c r="A10" s="233" t="s">
        <v>8</v>
      </c>
      <c r="B10" s="246" t="s">
        <v>27</v>
      </c>
      <c r="C10" s="568">
        <v>11200505.199999999</v>
      </c>
      <c r="D10" s="160">
        <v>11563949.710000001</v>
      </c>
      <c r="E10" s="155">
        <v>283279.2</v>
      </c>
      <c r="F10" s="334">
        <v>11280670.510000002</v>
      </c>
      <c r="G10" s="64">
        <v>5.8</v>
      </c>
      <c r="H10" s="157">
        <v>103.2</v>
      </c>
      <c r="I10" s="234">
        <v>5.5</v>
      </c>
    </row>
    <row r="11" spans="1:9" ht="19.899999999999999" customHeight="1">
      <c r="A11" s="233" t="s">
        <v>9</v>
      </c>
      <c r="B11" s="246" t="s">
        <v>28</v>
      </c>
      <c r="C11" s="568">
        <v>3206110.57</v>
      </c>
      <c r="D11" s="160">
        <v>5388705</v>
      </c>
      <c r="E11" s="155">
        <v>885980</v>
      </c>
      <c r="F11" s="334">
        <v>4502725</v>
      </c>
      <c r="G11" s="64">
        <v>2.7</v>
      </c>
      <c r="H11" s="157">
        <v>168.1</v>
      </c>
      <c r="I11" s="234">
        <v>5.4</v>
      </c>
    </row>
    <row r="12" spans="1:9" ht="19.899999999999999" customHeight="1">
      <c r="A12" s="233" t="s">
        <v>1</v>
      </c>
      <c r="B12" s="246" t="s">
        <v>29</v>
      </c>
      <c r="C12" s="568">
        <v>4892428</v>
      </c>
      <c r="D12" s="160">
        <v>8476320.5</v>
      </c>
      <c r="E12" s="155">
        <v>793859</v>
      </c>
      <c r="F12" s="334">
        <v>7682461.5</v>
      </c>
      <c r="G12" s="64">
        <v>4.3</v>
      </c>
      <c r="H12" s="157">
        <v>173.3</v>
      </c>
      <c r="I12" s="234">
        <v>3.5</v>
      </c>
    </row>
    <row r="13" spans="1:9" ht="19.899999999999999" customHeight="1">
      <c r="A13" s="233" t="s">
        <v>2</v>
      </c>
      <c r="B13" s="246" t="s">
        <v>30</v>
      </c>
      <c r="C13" s="568">
        <v>11460537.6</v>
      </c>
      <c r="D13" s="160">
        <v>18924437.620000001</v>
      </c>
      <c r="E13" s="155">
        <v>4029206.4</v>
      </c>
      <c r="F13" s="334">
        <v>14895231.220000001</v>
      </c>
      <c r="G13" s="64">
        <v>9.6</v>
      </c>
      <c r="H13" s="157">
        <v>165.1</v>
      </c>
      <c r="I13" s="234">
        <v>5.5</v>
      </c>
    </row>
    <row r="14" spans="1:9" ht="19.899999999999999" customHeight="1">
      <c r="A14" s="233" t="s">
        <v>10</v>
      </c>
      <c r="B14" s="246" t="s">
        <v>31</v>
      </c>
      <c r="C14" s="568">
        <v>21051878.5</v>
      </c>
      <c r="D14" s="160">
        <v>29601730.09</v>
      </c>
      <c r="E14" s="155">
        <v>2523845.2200000002</v>
      </c>
      <c r="F14" s="334">
        <v>27077884.870000001</v>
      </c>
      <c r="G14" s="64">
        <v>14.9</v>
      </c>
      <c r="H14" s="157">
        <v>140.6</v>
      </c>
      <c r="I14" s="234">
        <v>5.5</v>
      </c>
    </row>
    <row r="15" spans="1:9" ht="19.899999999999999" customHeight="1">
      <c r="A15" s="233" t="s">
        <v>11</v>
      </c>
      <c r="B15" s="246" t="s">
        <v>32</v>
      </c>
      <c r="C15" s="568">
        <v>4601036.97</v>
      </c>
      <c r="D15" s="160">
        <v>5204583.49</v>
      </c>
      <c r="E15" s="155">
        <v>545160.43000000005</v>
      </c>
      <c r="F15" s="334">
        <v>4659423.0600000005</v>
      </c>
      <c r="G15" s="64">
        <v>2.6</v>
      </c>
      <c r="H15" s="157">
        <v>113.1</v>
      </c>
      <c r="I15" s="234">
        <v>5.3</v>
      </c>
    </row>
    <row r="16" spans="1:9" ht="19.899999999999999" customHeight="1">
      <c r="A16" s="233" t="s">
        <v>12</v>
      </c>
      <c r="B16" s="246" t="s">
        <v>33</v>
      </c>
      <c r="C16" s="568">
        <v>6138084.9199999999</v>
      </c>
      <c r="D16" s="160">
        <v>9737912.7699999996</v>
      </c>
      <c r="E16" s="155">
        <v>306527.55</v>
      </c>
      <c r="F16" s="334">
        <v>9431385.2199999988</v>
      </c>
      <c r="G16" s="64">
        <v>4.9000000000000004</v>
      </c>
      <c r="H16" s="157">
        <v>158.6</v>
      </c>
      <c r="I16" s="234">
        <v>4.5999999999999996</v>
      </c>
    </row>
    <row r="17" spans="1:9" ht="19.899999999999999" customHeight="1">
      <c r="A17" s="233" t="s">
        <v>13</v>
      </c>
      <c r="B17" s="246" t="s">
        <v>34</v>
      </c>
      <c r="C17" s="568">
        <v>3553212.67</v>
      </c>
      <c r="D17" s="160">
        <v>6535553.5</v>
      </c>
      <c r="E17" s="155">
        <v>1722085.32</v>
      </c>
      <c r="F17" s="334">
        <v>4813468.18</v>
      </c>
      <c r="G17" s="64">
        <v>3.3</v>
      </c>
      <c r="H17" s="157">
        <v>183.9</v>
      </c>
      <c r="I17" s="234">
        <v>5.6</v>
      </c>
    </row>
    <row r="18" spans="1:9" ht="19.899999999999999" customHeight="1">
      <c r="A18" s="233" t="s">
        <v>14</v>
      </c>
      <c r="B18" s="246" t="s">
        <v>35</v>
      </c>
      <c r="C18" s="568">
        <v>9557672.2799999993</v>
      </c>
      <c r="D18" s="160">
        <v>12082956.460000001</v>
      </c>
      <c r="E18" s="155">
        <v>0</v>
      </c>
      <c r="F18" s="334">
        <v>12082956.460000001</v>
      </c>
      <c r="G18" s="64">
        <v>6.1</v>
      </c>
      <c r="H18" s="157">
        <v>126.4</v>
      </c>
      <c r="I18" s="234">
        <v>5.0999999999999996</v>
      </c>
    </row>
    <row r="19" spans="1:9" ht="19.899999999999999" customHeight="1">
      <c r="A19" s="233" t="s">
        <v>15</v>
      </c>
      <c r="B19" s="246" t="s">
        <v>36</v>
      </c>
      <c r="C19" s="568">
        <v>12456514.300000001</v>
      </c>
      <c r="D19" s="160">
        <v>18902367.16</v>
      </c>
      <c r="E19" s="155">
        <v>1154661.24</v>
      </c>
      <c r="F19" s="334">
        <v>17747705.920000002</v>
      </c>
      <c r="G19" s="64">
        <v>9.6</v>
      </c>
      <c r="H19" s="157">
        <v>151.69999999999999</v>
      </c>
      <c r="I19" s="234">
        <v>4.2</v>
      </c>
    </row>
    <row r="20" spans="1:9" ht="19.899999999999999" customHeight="1">
      <c r="A20" s="233" t="s">
        <v>16</v>
      </c>
      <c r="B20" s="246" t="s">
        <v>37</v>
      </c>
      <c r="C20" s="568">
        <v>6594139.6200000001</v>
      </c>
      <c r="D20" s="160">
        <v>5024686.2699999996</v>
      </c>
      <c r="E20" s="155">
        <v>408379</v>
      </c>
      <c r="F20" s="334">
        <v>4616307.2699999996</v>
      </c>
      <c r="G20" s="64">
        <v>2.6</v>
      </c>
      <c r="H20" s="157">
        <v>76.2</v>
      </c>
      <c r="I20" s="234">
        <v>4.0999999999999996</v>
      </c>
    </row>
    <row r="21" spans="1:9" ht="19.899999999999999" customHeight="1">
      <c r="A21" s="233" t="s">
        <v>17</v>
      </c>
      <c r="B21" s="246" t="s">
        <v>43</v>
      </c>
      <c r="C21" s="568">
        <v>6952768.2800000003</v>
      </c>
      <c r="D21" s="160">
        <v>7956500.79</v>
      </c>
      <c r="E21" s="155">
        <v>63500</v>
      </c>
      <c r="F21" s="334">
        <v>7893000.79</v>
      </c>
      <c r="G21" s="64">
        <v>4</v>
      </c>
      <c r="H21" s="157">
        <v>114.4</v>
      </c>
      <c r="I21" s="234">
        <v>5.6</v>
      </c>
    </row>
    <row r="22" spans="1:9" ht="19.899999999999999" customHeight="1">
      <c r="A22" s="233" t="s">
        <v>18</v>
      </c>
      <c r="B22" s="246" t="s">
        <v>38</v>
      </c>
      <c r="C22" s="568">
        <v>9144770.6500000004</v>
      </c>
      <c r="D22" s="160">
        <v>12518642.189999999</v>
      </c>
      <c r="E22" s="155">
        <v>146995</v>
      </c>
      <c r="F22" s="334">
        <v>12371647.189999999</v>
      </c>
      <c r="G22" s="64">
        <v>6.3</v>
      </c>
      <c r="H22" s="157">
        <v>136.9</v>
      </c>
      <c r="I22" s="234">
        <v>3.6</v>
      </c>
    </row>
    <row r="23" spans="1:9" ht="19.899999999999999" customHeight="1">
      <c r="A23" s="235" t="s">
        <v>19</v>
      </c>
      <c r="B23" s="247" t="s">
        <v>39</v>
      </c>
      <c r="C23" s="569">
        <v>7238306.6500000004</v>
      </c>
      <c r="D23" s="151">
        <v>9555658.3599999994</v>
      </c>
      <c r="E23" s="149">
        <v>1651855.14</v>
      </c>
      <c r="F23" s="336">
        <v>7903803.2199999997</v>
      </c>
      <c r="G23" s="329">
        <v>4.8</v>
      </c>
      <c r="H23" s="130">
        <v>132</v>
      </c>
      <c r="I23" s="238">
        <v>5.7</v>
      </c>
    </row>
    <row r="24" spans="1:9">
      <c r="G24" s="341" t="s">
        <v>3</v>
      </c>
    </row>
    <row r="25" spans="1:9" s="8" customFormat="1" ht="13.5">
      <c r="A25" s="96" t="s">
        <v>934</v>
      </c>
      <c r="B25" s="97" t="s">
        <v>1159</v>
      </c>
      <c r="C25" s="96"/>
      <c r="D25" s="96"/>
      <c r="E25" s="96"/>
      <c r="F25" s="96"/>
      <c r="G25" s="96" t="s">
        <v>3</v>
      </c>
      <c r="H25" s="96"/>
      <c r="I25" s="96"/>
    </row>
    <row r="26" spans="1:9" s="8" customFormat="1" ht="13.5">
      <c r="A26" s="96"/>
      <c r="B26" s="97" t="s">
        <v>936</v>
      </c>
      <c r="C26" s="96"/>
      <c r="D26" s="96"/>
      <c r="E26" s="96"/>
      <c r="F26" s="96"/>
      <c r="G26" s="96"/>
      <c r="H26" s="96"/>
      <c r="I26" s="96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honeticPr fontId="7" type="noConversion"/>
  <printOptions horizontalCentered="1"/>
  <pageMargins left="0.46" right="0.51" top="0.89" bottom="0.98425196850393704" header="0.51181102362204722" footer="0.51181102362204722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>
    <tabColor rgb="FF92D050"/>
  </sheetPr>
  <dimension ref="A1:M77"/>
  <sheetViews>
    <sheetView showGridLines="0" workbookViewId="0">
      <selection activeCell="R13" sqref="R13"/>
    </sheetView>
  </sheetViews>
  <sheetFormatPr defaultColWidth="8.85546875" defaultRowHeight="12"/>
  <cols>
    <col min="1" max="1" width="4.85546875" style="1" customWidth="1"/>
    <col min="2" max="2" width="5.42578125" style="1" customWidth="1"/>
    <col min="3" max="3" width="19.5703125" style="1" customWidth="1"/>
    <col min="4" max="4" width="13.85546875" style="1" customWidth="1"/>
    <col min="5" max="5" width="12.7109375" style="1" customWidth="1"/>
    <col min="6" max="6" width="11.7109375" style="1" bestFit="1" customWidth="1"/>
    <col min="7" max="7" width="12.5703125" style="1" customWidth="1"/>
    <col min="8" max="8" width="13.28515625" style="1" customWidth="1"/>
    <col min="9" max="9" width="10.5703125" style="1" bestFit="1" customWidth="1"/>
    <col min="10" max="10" width="15.85546875" style="1" customWidth="1"/>
    <col min="11" max="16384" width="8.85546875" style="1"/>
  </cols>
  <sheetData>
    <row r="1" spans="1:13">
      <c r="A1" s="1889" t="s">
        <v>1071</v>
      </c>
      <c r="B1" s="1889"/>
      <c r="C1" s="1889"/>
      <c r="D1" s="1889"/>
      <c r="E1" s="1889"/>
      <c r="F1" s="1889"/>
      <c r="G1" s="1889"/>
      <c r="H1" s="1889"/>
      <c r="I1" s="1889"/>
      <c r="J1" s="1889"/>
      <c r="K1" s="1889"/>
      <c r="L1" s="1889"/>
      <c r="M1" s="1889"/>
    </row>
    <row r="2" spans="1:13">
      <c r="A2" s="2317"/>
      <c r="B2" s="2317"/>
      <c r="C2" s="2317"/>
      <c r="D2" s="2317"/>
      <c r="E2" s="2317"/>
      <c r="F2" s="2317"/>
      <c r="G2" s="2317"/>
      <c r="H2" s="2317"/>
      <c r="I2" s="2317"/>
      <c r="J2" s="2317"/>
      <c r="K2" s="2317"/>
      <c r="L2" s="2317"/>
      <c r="M2" s="2317"/>
    </row>
    <row r="3" spans="1:13" ht="13.5">
      <c r="A3" s="1899" t="s">
        <v>41</v>
      </c>
      <c r="B3" s="1894" t="s">
        <v>67</v>
      </c>
      <c r="C3" s="2261" t="s">
        <v>40</v>
      </c>
      <c r="D3" s="2157" t="s">
        <v>983</v>
      </c>
      <c r="E3" s="2160" t="s">
        <v>984</v>
      </c>
      <c r="F3" s="2129" t="s">
        <v>21</v>
      </c>
      <c r="G3" s="2129"/>
      <c r="H3" s="2129"/>
      <c r="I3" s="2129"/>
      <c r="J3" s="2130"/>
      <c r="K3" s="1899" t="s">
        <v>979</v>
      </c>
      <c r="L3" s="2129"/>
      <c r="M3" s="2130"/>
    </row>
    <row r="4" spans="1:13" ht="13.5">
      <c r="A4" s="1900"/>
      <c r="B4" s="2260"/>
      <c r="C4" s="2139"/>
      <c r="D4" s="2158"/>
      <c r="E4" s="2161"/>
      <c r="F4" s="2131" t="s">
        <v>739</v>
      </c>
      <c r="G4" s="2136" t="s">
        <v>734</v>
      </c>
      <c r="H4" s="2136"/>
      <c r="I4" s="2136" t="s">
        <v>740</v>
      </c>
      <c r="J4" s="1683" t="s">
        <v>734</v>
      </c>
      <c r="K4" s="1900"/>
      <c r="L4" s="2136"/>
      <c r="M4" s="2167"/>
    </row>
    <row r="5" spans="1:13">
      <c r="A5" s="1900"/>
      <c r="B5" s="2260"/>
      <c r="C5" s="2139"/>
      <c r="D5" s="2158"/>
      <c r="E5" s="2161"/>
      <c r="F5" s="2131"/>
      <c r="G5" s="2131" t="s">
        <v>1162</v>
      </c>
      <c r="H5" s="2131" t="s">
        <v>980</v>
      </c>
      <c r="I5" s="2136"/>
      <c r="J5" s="2139" t="s">
        <v>981</v>
      </c>
      <c r="K5" s="1900"/>
      <c r="L5" s="2136"/>
      <c r="M5" s="2167"/>
    </row>
    <row r="6" spans="1:13" ht="39" customHeight="1">
      <c r="A6" s="1900"/>
      <c r="B6" s="2260"/>
      <c r="C6" s="2139"/>
      <c r="D6" s="2159"/>
      <c r="E6" s="2162"/>
      <c r="F6" s="2168"/>
      <c r="G6" s="2168"/>
      <c r="H6" s="2168"/>
      <c r="I6" s="2169"/>
      <c r="J6" s="2170"/>
      <c r="K6" s="1682" t="s">
        <v>883</v>
      </c>
      <c r="L6" s="1684" t="s">
        <v>1068</v>
      </c>
      <c r="M6" s="1685" t="s">
        <v>1069</v>
      </c>
    </row>
    <row r="7" spans="1:13" s="18" customFormat="1" ht="13.5">
      <c r="A7" s="1901"/>
      <c r="B7" s="1895"/>
      <c r="C7" s="2170"/>
      <c r="D7" s="2141" t="s">
        <v>885</v>
      </c>
      <c r="E7" s="2142"/>
      <c r="F7" s="2142"/>
      <c r="G7" s="2142"/>
      <c r="H7" s="2142"/>
      <c r="I7" s="2142"/>
      <c r="J7" s="2143"/>
      <c r="K7" s="2255" t="s">
        <v>5</v>
      </c>
      <c r="L7" s="2256"/>
      <c r="M7" s="2257"/>
    </row>
    <row r="8" spans="1:13" ht="12.75">
      <c r="A8" s="398" t="s">
        <v>887</v>
      </c>
      <c r="B8" s="402" t="s">
        <v>888</v>
      </c>
      <c r="C8" s="402" t="s">
        <v>889</v>
      </c>
      <c r="D8" s="402" t="s">
        <v>890</v>
      </c>
      <c r="E8" s="402" t="s">
        <v>891</v>
      </c>
      <c r="F8" s="402" t="s">
        <v>892</v>
      </c>
      <c r="G8" s="402" t="s">
        <v>893</v>
      </c>
      <c r="H8" s="402" t="s">
        <v>894</v>
      </c>
      <c r="I8" s="402" t="s">
        <v>932</v>
      </c>
      <c r="J8" s="402" t="s">
        <v>966</v>
      </c>
      <c r="K8" s="398" t="s">
        <v>967</v>
      </c>
      <c r="L8" s="400" t="s">
        <v>969</v>
      </c>
      <c r="M8" s="402" t="s">
        <v>1070</v>
      </c>
    </row>
    <row r="9" spans="1:13" ht="13.5">
      <c r="A9" s="1010"/>
      <c r="B9" s="1061"/>
      <c r="C9" s="1563" t="s">
        <v>933</v>
      </c>
      <c r="D9" s="1063">
        <v>108203485541.17</v>
      </c>
      <c r="E9" s="1063">
        <v>6333924537.1499996</v>
      </c>
      <c r="F9" s="1063">
        <v>5977506837.3900003</v>
      </c>
      <c r="G9" s="1063">
        <v>4314716384.0699997</v>
      </c>
      <c r="H9" s="1064">
        <v>46591885.399999999</v>
      </c>
      <c r="I9" s="1064">
        <v>356417699.75999999</v>
      </c>
      <c r="J9" s="1064">
        <v>32337828.390000001</v>
      </c>
      <c r="K9" s="1065">
        <v>5.9</v>
      </c>
      <c r="L9" s="1066">
        <v>94.4</v>
      </c>
      <c r="M9" s="1067">
        <v>68.099999999999994</v>
      </c>
    </row>
    <row r="10" spans="1:13" ht="13.5">
      <c r="A10" s="1058">
        <v>2</v>
      </c>
      <c r="B10" s="1059">
        <v>61</v>
      </c>
      <c r="C10" s="1060" t="s">
        <v>143</v>
      </c>
      <c r="D10" s="185">
        <v>559651788.16999996</v>
      </c>
      <c r="E10" s="185">
        <v>41211045.100000001</v>
      </c>
      <c r="F10" s="185">
        <v>40696938.049999997</v>
      </c>
      <c r="G10" s="185">
        <v>29882717.010000002</v>
      </c>
      <c r="H10" s="185">
        <v>1129820.76</v>
      </c>
      <c r="I10" s="185">
        <v>514107.05</v>
      </c>
      <c r="J10" s="185">
        <v>0</v>
      </c>
      <c r="K10" s="195">
        <v>7.4</v>
      </c>
      <c r="L10" s="187">
        <v>98.8</v>
      </c>
      <c r="M10" s="390">
        <v>72.5</v>
      </c>
    </row>
    <row r="11" spans="1:13" ht="13.5">
      <c r="A11" s="1058">
        <v>2</v>
      </c>
      <c r="B11" s="1059">
        <v>62</v>
      </c>
      <c r="C11" s="1060" t="s">
        <v>145</v>
      </c>
      <c r="D11" s="185">
        <v>676511725.00999999</v>
      </c>
      <c r="E11" s="185">
        <v>37227942.619999997</v>
      </c>
      <c r="F11" s="185">
        <v>37227942.619999997</v>
      </c>
      <c r="G11" s="185">
        <v>29511897.829999998</v>
      </c>
      <c r="H11" s="185">
        <v>0</v>
      </c>
      <c r="I11" s="185">
        <v>0</v>
      </c>
      <c r="J11" s="185">
        <v>0</v>
      </c>
      <c r="K11" s="195">
        <v>5.5</v>
      </c>
      <c r="L11" s="187">
        <v>100</v>
      </c>
      <c r="M11" s="390">
        <v>79.3</v>
      </c>
    </row>
    <row r="12" spans="1:13" ht="13.5">
      <c r="A12" s="1058">
        <v>2</v>
      </c>
      <c r="B12" s="1059">
        <v>64</v>
      </c>
      <c r="C12" s="1060" t="s">
        <v>147</v>
      </c>
      <c r="D12" s="185">
        <v>6010342068.7799997</v>
      </c>
      <c r="E12" s="185">
        <v>341934757.25</v>
      </c>
      <c r="F12" s="185">
        <v>329001651.50999999</v>
      </c>
      <c r="G12" s="185">
        <v>240691665.15000001</v>
      </c>
      <c r="H12" s="185">
        <v>1171783.1000000001</v>
      </c>
      <c r="I12" s="185">
        <v>12933105.74</v>
      </c>
      <c r="J12" s="185">
        <v>0</v>
      </c>
      <c r="K12" s="195">
        <v>5.7</v>
      </c>
      <c r="L12" s="187">
        <v>96.2</v>
      </c>
      <c r="M12" s="390">
        <v>70.400000000000006</v>
      </c>
    </row>
    <row r="13" spans="1:13" ht="13.5">
      <c r="A13" s="1058">
        <v>2</v>
      </c>
      <c r="B13" s="1059">
        <v>65</v>
      </c>
      <c r="C13" s="1060" t="s">
        <v>149</v>
      </c>
      <c r="D13" s="185">
        <v>797970272.03999996</v>
      </c>
      <c r="E13" s="185">
        <v>50384734.909999996</v>
      </c>
      <c r="F13" s="185">
        <v>49835630.329999998</v>
      </c>
      <c r="G13" s="185">
        <v>33542425.850000001</v>
      </c>
      <c r="H13" s="185">
        <v>4286999.21</v>
      </c>
      <c r="I13" s="185">
        <v>549104.57999999996</v>
      </c>
      <c r="J13" s="185">
        <v>0</v>
      </c>
      <c r="K13" s="195">
        <v>6.3</v>
      </c>
      <c r="L13" s="187">
        <v>98.9</v>
      </c>
      <c r="M13" s="390">
        <v>66.599999999999994</v>
      </c>
    </row>
    <row r="14" spans="1:13" ht="13.5">
      <c r="A14" s="1058">
        <v>4</v>
      </c>
      <c r="B14" s="1059">
        <v>61</v>
      </c>
      <c r="C14" s="1060" t="s">
        <v>150</v>
      </c>
      <c r="D14" s="185">
        <v>2388712019.1599998</v>
      </c>
      <c r="E14" s="185">
        <v>109182793.86</v>
      </c>
      <c r="F14" s="185">
        <v>107936498.18000001</v>
      </c>
      <c r="G14" s="185">
        <v>77080272.129999995</v>
      </c>
      <c r="H14" s="185">
        <v>1375598.99</v>
      </c>
      <c r="I14" s="185">
        <v>1246295.68</v>
      </c>
      <c r="J14" s="185">
        <v>0</v>
      </c>
      <c r="K14" s="195">
        <v>4.5999999999999996</v>
      </c>
      <c r="L14" s="187">
        <v>98.9</v>
      </c>
      <c r="M14" s="390">
        <v>70.599999999999994</v>
      </c>
    </row>
    <row r="15" spans="1:13" ht="13.5">
      <c r="A15" s="1058">
        <v>4</v>
      </c>
      <c r="B15" s="1059">
        <v>62</v>
      </c>
      <c r="C15" s="1060" t="s">
        <v>151</v>
      </c>
      <c r="D15" s="185">
        <v>731405549.19000006</v>
      </c>
      <c r="E15" s="185">
        <v>33648113.5</v>
      </c>
      <c r="F15" s="185">
        <v>32037613.91</v>
      </c>
      <c r="G15" s="185">
        <v>24341640.960000001</v>
      </c>
      <c r="H15" s="185">
        <v>98851.33</v>
      </c>
      <c r="I15" s="185">
        <v>1610499.59</v>
      </c>
      <c r="J15" s="185">
        <v>20883.05</v>
      </c>
      <c r="K15" s="195">
        <v>4.5999999999999996</v>
      </c>
      <c r="L15" s="187">
        <v>95.2</v>
      </c>
      <c r="M15" s="390">
        <v>72.3</v>
      </c>
    </row>
    <row r="16" spans="1:13" ht="13.5">
      <c r="A16" s="1058">
        <v>4</v>
      </c>
      <c r="B16" s="1059">
        <v>63</v>
      </c>
      <c r="C16" s="1060" t="s">
        <v>153</v>
      </c>
      <c r="D16" s="185">
        <v>1414980997.6800001</v>
      </c>
      <c r="E16" s="185">
        <v>61137177.780000001</v>
      </c>
      <c r="F16" s="185">
        <v>59953303.909999996</v>
      </c>
      <c r="G16" s="185">
        <v>43950974.460000001</v>
      </c>
      <c r="H16" s="185">
        <v>318875.03999999998</v>
      </c>
      <c r="I16" s="185">
        <v>1183873.8700000001</v>
      </c>
      <c r="J16" s="185">
        <v>526631.32999999996</v>
      </c>
      <c r="K16" s="195">
        <v>4.3</v>
      </c>
      <c r="L16" s="187">
        <v>98.1</v>
      </c>
      <c r="M16" s="390">
        <v>71.900000000000006</v>
      </c>
    </row>
    <row r="17" spans="1:13" ht="13.5">
      <c r="A17" s="1058">
        <v>4</v>
      </c>
      <c r="B17" s="1059">
        <v>64</v>
      </c>
      <c r="C17" s="1060" t="s">
        <v>154</v>
      </c>
      <c r="D17" s="185">
        <v>843027541.79999995</v>
      </c>
      <c r="E17" s="185">
        <v>52567523.469999999</v>
      </c>
      <c r="F17" s="185">
        <v>41068612.229999997</v>
      </c>
      <c r="G17" s="185">
        <v>31850277.629999999</v>
      </c>
      <c r="H17" s="185">
        <v>160672.35</v>
      </c>
      <c r="I17" s="185">
        <v>11498911.24</v>
      </c>
      <c r="J17" s="185">
        <v>6625859.04</v>
      </c>
      <c r="K17" s="195">
        <v>6.2</v>
      </c>
      <c r="L17" s="187">
        <v>78.099999999999994</v>
      </c>
      <c r="M17" s="390">
        <v>60.6</v>
      </c>
    </row>
    <row r="18" spans="1:13" ht="13.5">
      <c r="A18" s="1058">
        <v>6</v>
      </c>
      <c r="B18" s="1059">
        <v>61</v>
      </c>
      <c r="C18" s="1060" t="s">
        <v>155</v>
      </c>
      <c r="D18" s="185">
        <v>406050957.06999999</v>
      </c>
      <c r="E18" s="185">
        <v>17195949.899999999</v>
      </c>
      <c r="F18" s="185">
        <v>17195949.899999999</v>
      </c>
      <c r="G18" s="185">
        <v>13840592.800000001</v>
      </c>
      <c r="H18" s="185">
        <v>0</v>
      </c>
      <c r="I18" s="185">
        <v>0</v>
      </c>
      <c r="J18" s="185">
        <v>0</v>
      </c>
      <c r="K18" s="195">
        <v>4.2</v>
      </c>
      <c r="L18" s="187">
        <v>100</v>
      </c>
      <c r="M18" s="390">
        <v>80.5</v>
      </c>
    </row>
    <row r="19" spans="1:13" ht="13.5">
      <c r="A19" s="1058">
        <v>6</v>
      </c>
      <c r="B19" s="1059">
        <v>62</v>
      </c>
      <c r="C19" s="1060" t="s">
        <v>156</v>
      </c>
      <c r="D19" s="185">
        <v>519494072.19999999</v>
      </c>
      <c r="E19" s="185">
        <v>19489521.600000001</v>
      </c>
      <c r="F19" s="185">
        <v>19225401.969999999</v>
      </c>
      <c r="G19" s="185">
        <v>14838635.449999999</v>
      </c>
      <c r="H19" s="185">
        <v>0</v>
      </c>
      <c r="I19" s="185">
        <v>264119.63</v>
      </c>
      <c r="J19" s="185">
        <v>0</v>
      </c>
      <c r="K19" s="195">
        <v>3.8</v>
      </c>
      <c r="L19" s="187">
        <v>98.6</v>
      </c>
      <c r="M19" s="390">
        <v>76.099999999999994</v>
      </c>
    </row>
    <row r="20" spans="1:13" ht="13.5">
      <c r="A20" s="1058">
        <v>6</v>
      </c>
      <c r="B20" s="1059">
        <v>63</v>
      </c>
      <c r="C20" s="1060" t="s">
        <v>157</v>
      </c>
      <c r="D20" s="185">
        <v>2807769653.8400002</v>
      </c>
      <c r="E20" s="185">
        <v>163543280.47</v>
      </c>
      <c r="F20" s="185">
        <v>160127805.78999999</v>
      </c>
      <c r="G20" s="185">
        <v>116962431.2</v>
      </c>
      <c r="H20" s="185">
        <v>3654093.84</v>
      </c>
      <c r="I20" s="185">
        <v>3415474.68</v>
      </c>
      <c r="J20" s="185">
        <v>0</v>
      </c>
      <c r="K20" s="195">
        <v>5.8</v>
      </c>
      <c r="L20" s="187">
        <v>97.9</v>
      </c>
      <c r="M20" s="390">
        <v>71.5</v>
      </c>
    </row>
    <row r="21" spans="1:13" ht="13.5">
      <c r="A21" s="1058">
        <v>6</v>
      </c>
      <c r="B21" s="1059">
        <v>64</v>
      </c>
      <c r="C21" s="1060" t="s">
        <v>158</v>
      </c>
      <c r="D21" s="185">
        <v>541371510.15999997</v>
      </c>
      <c r="E21" s="185">
        <v>19830804.09</v>
      </c>
      <c r="F21" s="185">
        <v>19620491.77</v>
      </c>
      <c r="G21" s="185">
        <v>14597493.279999999</v>
      </c>
      <c r="H21" s="185">
        <v>0</v>
      </c>
      <c r="I21" s="185">
        <v>210312.32000000001</v>
      </c>
      <c r="J21" s="185">
        <v>0</v>
      </c>
      <c r="K21" s="195">
        <v>3.7</v>
      </c>
      <c r="L21" s="187">
        <v>98.9</v>
      </c>
      <c r="M21" s="390">
        <v>73.599999999999994</v>
      </c>
    </row>
    <row r="22" spans="1:13" ht="13.5">
      <c r="A22" s="1058">
        <v>8</v>
      </c>
      <c r="B22" s="1059">
        <v>61</v>
      </c>
      <c r="C22" s="1060" t="s">
        <v>159</v>
      </c>
      <c r="D22" s="185">
        <v>970750816.96000004</v>
      </c>
      <c r="E22" s="185">
        <v>59047699.689999998</v>
      </c>
      <c r="F22" s="185">
        <v>51915061.799999997</v>
      </c>
      <c r="G22" s="185">
        <v>37713393.799999997</v>
      </c>
      <c r="H22" s="185">
        <v>1402730.25</v>
      </c>
      <c r="I22" s="185">
        <v>7132637.8899999997</v>
      </c>
      <c r="J22" s="185">
        <v>0</v>
      </c>
      <c r="K22" s="195">
        <v>6.1</v>
      </c>
      <c r="L22" s="187">
        <v>87.9</v>
      </c>
      <c r="M22" s="390">
        <v>63.9</v>
      </c>
    </row>
    <row r="23" spans="1:13" ht="13.5">
      <c r="A23" s="1058">
        <v>8</v>
      </c>
      <c r="B23" s="1059">
        <v>62</v>
      </c>
      <c r="C23" s="1060" t="s">
        <v>160</v>
      </c>
      <c r="D23" s="185">
        <v>1103677261.5799999</v>
      </c>
      <c r="E23" s="185">
        <v>72336578.069999993</v>
      </c>
      <c r="F23" s="185">
        <v>72245664.340000004</v>
      </c>
      <c r="G23" s="185">
        <v>51836934.369999997</v>
      </c>
      <c r="H23" s="185">
        <v>247975.21</v>
      </c>
      <c r="I23" s="185">
        <v>90913.73</v>
      </c>
      <c r="J23" s="185">
        <v>0</v>
      </c>
      <c r="K23" s="195">
        <v>6.6</v>
      </c>
      <c r="L23" s="187">
        <v>99.9</v>
      </c>
      <c r="M23" s="390">
        <v>71.7</v>
      </c>
    </row>
    <row r="24" spans="1:13" ht="13.5">
      <c r="A24" s="1058">
        <v>10</v>
      </c>
      <c r="B24" s="1059">
        <v>61</v>
      </c>
      <c r="C24" s="1060" t="s">
        <v>161</v>
      </c>
      <c r="D24" s="185">
        <v>5227926727.9200001</v>
      </c>
      <c r="E24" s="185">
        <v>376757742.67000002</v>
      </c>
      <c r="F24" s="185">
        <v>240766088.05000001</v>
      </c>
      <c r="G24" s="185">
        <v>153712343.18000001</v>
      </c>
      <c r="H24" s="185">
        <v>2712353.88</v>
      </c>
      <c r="I24" s="185">
        <v>135991654.62</v>
      </c>
      <c r="J24" s="185">
        <v>0</v>
      </c>
      <c r="K24" s="195">
        <v>7.2</v>
      </c>
      <c r="L24" s="187">
        <v>63.9</v>
      </c>
      <c r="M24" s="390">
        <v>40.799999999999997</v>
      </c>
    </row>
    <row r="25" spans="1:13" ht="13.5">
      <c r="A25" s="1058">
        <v>10</v>
      </c>
      <c r="B25" s="1059">
        <v>62</v>
      </c>
      <c r="C25" s="1060" t="s">
        <v>162</v>
      </c>
      <c r="D25" s="185">
        <v>530367274.69</v>
      </c>
      <c r="E25" s="185">
        <v>25803895.050000001</v>
      </c>
      <c r="F25" s="185">
        <v>25528296.719999999</v>
      </c>
      <c r="G25" s="185">
        <v>20382567.34</v>
      </c>
      <c r="H25" s="185">
        <v>0</v>
      </c>
      <c r="I25" s="185">
        <v>275598.33</v>
      </c>
      <c r="J25" s="185">
        <v>0</v>
      </c>
      <c r="K25" s="195">
        <v>4.9000000000000004</v>
      </c>
      <c r="L25" s="187">
        <v>98.9</v>
      </c>
      <c r="M25" s="390">
        <v>79</v>
      </c>
    </row>
    <row r="26" spans="1:13" ht="13.5">
      <c r="A26" s="1058">
        <v>10</v>
      </c>
      <c r="B26" s="1059">
        <v>63</v>
      </c>
      <c r="C26" s="1060" t="s">
        <v>163</v>
      </c>
      <c r="D26" s="185">
        <v>375295238.44</v>
      </c>
      <c r="E26" s="185">
        <v>21781293.84</v>
      </c>
      <c r="F26" s="185">
        <v>21468426</v>
      </c>
      <c r="G26" s="185">
        <v>16236816.609999999</v>
      </c>
      <c r="H26" s="185">
        <v>0</v>
      </c>
      <c r="I26" s="185">
        <v>312867.84000000003</v>
      </c>
      <c r="J26" s="185">
        <v>0</v>
      </c>
      <c r="K26" s="195">
        <v>5.8</v>
      </c>
      <c r="L26" s="187">
        <v>98.6</v>
      </c>
      <c r="M26" s="390">
        <v>74.5</v>
      </c>
    </row>
    <row r="27" spans="1:13" ht="13.5">
      <c r="A27" s="1058">
        <v>12</v>
      </c>
      <c r="B27" s="1059">
        <v>61</v>
      </c>
      <c r="C27" s="1060" t="s">
        <v>164</v>
      </c>
      <c r="D27" s="185">
        <v>7451927778.1599998</v>
      </c>
      <c r="E27" s="185">
        <v>459581883.86000001</v>
      </c>
      <c r="F27" s="185">
        <v>427224594.32999998</v>
      </c>
      <c r="G27" s="185">
        <v>311965111.07999998</v>
      </c>
      <c r="H27" s="185">
        <v>2770541.09</v>
      </c>
      <c r="I27" s="185">
        <v>32357289.530000001</v>
      </c>
      <c r="J27" s="185">
        <v>0</v>
      </c>
      <c r="K27" s="195">
        <v>6.2</v>
      </c>
      <c r="L27" s="187">
        <v>93</v>
      </c>
      <c r="M27" s="390">
        <v>67.900000000000006</v>
      </c>
    </row>
    <row r="28" spans="1:13" ht="13.5">
      <c r="A28" s="1058">
        <v>12</v>
      </c>
      <c r="B28" s="1059">
        <v>62</v>
      </c>
      <c r="C28" s="1060" t="s">
        <v>165</v>
      </c>
      <c r="D28" s="185">
        <v>718325352.27999997</v>
      </c>
      <c r="E28" s="185">
        <v>31521833.449999999</v>
      </c>
      <c r="F28" s="185">
        <v>30983304.18</v>
      </c>
      <c r="G28" s="185">
        <v>23228560.370000001</v>
      </c>
      <c r="H28" s="185">
        <v>0</v>
      </c>
      <c r="I28" s="185">
        <v>538529.27</v>
      </c>
      <c r="J28" s="185">
        <v>0</v>
      </c>
      <c r="K28" s="195">
        <v>4.4000000000000004</v>
      </c>
      <c r="L28" s="187">
        <v>98.3</v>
      </c>
      <c r="M28" s="390">
        <v>73.7</v>
      </c>
    </row>
    <row r="29" spans="1:13" ht="13.5">
      <c r="A29" s="1058">
        <v>12</v>
      </c>
      <c r="B29" s="1059">
        <v>63</v>
      </c>
      <c r="C29" s="1060" t="s">
        <v>166</v>
      </c>
      <c r="D29" s="185">
        <v>833785820.86000001</v>
      </c>
      <c r="E29" s="185">
        <v>36238864.140000001</v>
      </c>
      <c r="F29" s="185">
        <v>36101273.350000001</v>
      </c>
      <c r="G29" s="185">
        <v>26850232.440000001</v>
      </c>
      <c r="H29" s="185">
        <v>585458.43999999994</v>
      </c>
      <c r="I29" s="185">
        <v>137590.79</v>
      </c>
      <c r="J29" s="185">
        <v>0</v>
      </c>
      <c r="K29" s="195">
        <v>4.3</v>
      </c>
      <c r="L29" s="187">
        <v>99.6</v>
      </c>
      <c r="M29" s="390">
        <v>74.099999999999994</v>
      </c>
    </row>
    <row r="30" spans="1:13" ht="13.5">
      <c r="A30" s="1058">
        <v>14</v>
      </c>
      <c r="B30" s="1059">
        <v>61</v>
      </c>
      <c r="C30" s="1060" t="s">
        <v>167</v>
      </c>
      <c r="D30" s="185">
        <v>413085619.17000002</v>
      </c>
      <c r="E30" s="185">
        <v>23972689.98</v>
      </c>
      <c r="F30" s="185">
        <v>23901223.010000002</v>
      </c>
      <c r="G30" s="185">
        <v>19511063.050000001</v>
      </c>
      <c r="H30" s="185">
        <v>0</v>
      </c>
      <c r="I30" s="185">
        <v>71466.97</v>
      </c>
      <c r="J30" s="185">
        <v>0</v>
      </c>
      <c r="K30" s="195">
        <v>5.8</v>
      </c>
      <c r="L30" s="187">
        <v>99.7</v>
      </c>
      <c r="M30" s="390">
        <v>81.400000000000006</v>
      </c>
    </row>
    <row r="31" spans="1:13" ht="13.5">
      <c r="A31" s="1058">
        <v>14</v>
      </c>
      <c r="B31" s="1059">
        <v>62</v>
      </c>
      <c r="C31" s="1060" t="s">
        <v>168</v>
      </c>
      <c r="D31" s="185">
        <v>1130258666.5999999</v>
      </c>
      <c r="E31" s="185">
        <v>67368907.019999996</v>
      </c>
      <c r="F31" s="185">
        <v>67062772.32</v>
      </c>
      <c r="G31" s="185">
        <v>50379838.439999998</v>
      </c>
      <c r="H31" s="185">
        <v>0</v>
      </c>
      <c r="I31" s="185">
        <v>306134.7</v>
      </c>
      <c r="J31" s="185">
        <v>0</v>
      </c>
      <c r="K31" s="195">
        <v>6</v>
      </c>
      <c r="L31" s="187">
        <v>99.5</v>
      </c>
      <c r="M31" s="390">
        <v>74.8</v>
      </c>
    </row>
    <row r="32" spans="1:13" ht="13.5">
      <c r="A32" s="1058">
        <v>14</v>
      </c>
      <c r="B32" s="1059">
        <v>63</v>
      </c>
      <c r="C32" s="1060" t="s">
        <v>169</v>
      </c>
      <c r="D32" s="185">
        <v>1540943179.4200001</v>
      </c>
      <c r="E32" s="185">
        <v>68148835.079999998</v>
      </c>
      <c r="F32" s="185">
        <v>67220492.469999999</v>
      </c>
      <c r="G32" s="185">
        <v>56248325.380000003</v>
      </c>
      <c r="H32" s="185">
        <v>0</v>
      </c>
      <c r="I32" s="185">
        <v>928342.61</v>
      </c>
      <c r="J32" s="185">
        <v>0</v>
      </c>
      <c r="K32" s="195">
        <v>4.4000000000000004</v>
      </c>
      <c r="L32" s="187">
        <v>98.6</v>
      </c>
      <c r="M32" s="390">
        <v>82.5</v>
      </c>
    </row>
    <row r="33" spans="1:13" ht="13.5">
      <c r="A33" s="1058">
        <v>14</v>
      </c>
      <c r="B33" s="1059">
        <v>64</v>
      </c>
      <c r="C33" s="1060" t="s">
        <v>170</v>
      </c>
      <c r="D33" s="185">
        <v>600676303.11000001</v>
      </c>
      <c r="E33" s="185">
        <v>26708462.559999999</v>
      </c>
      <c r="F33" s="185">
        <v>23485076.789999999</v>
      </c>
      <c r="G33" s="185">
        <v>17609574.530000001</v>
      </c>
      <c r="H33" s="185">
        <v>0</v>
      </c>
      <c r="I33" s="185">
        <v>3223385.77</v>
      </c>
      <c r="J33" s="185">
        <v>0</v>
      </c>
      <c r="K33" s="195">
        <v>4.4000000000000004</v>
      </c>
      <c r="L33" s="187">
        <v>87.9</v>
      </c>
      <c r="M33" s="390">
        <v>65.900000000000006</v>
      </c>
    </row>
    <row r="34" spans="1:13" ht="13.5">
      <c r="A34" s="1058">
        <v>14</v>
      </c>
      <c r="B34" s="1059">
        <v>65</v>
      </c>
      <c r="C34" s="1060" t="s">
        <v>701</v>
      </c>
      <c r="D34" s="185">
        <v>20285439791.799999</v>
      </c>
      <c r="E34" s="185">
        <v>1351395118.5999999</v>
      </c>
      <c r="F34" s="185">
        <v>1333632612.1099999</v>
      </c>
      <c r="G34" s="185">
        <v>1016099753.11</v>
      </c>
      <c r="H34" s="185">
        <v>3186581.56</v>
      </c>
      <c r="I34" s="185">
        <v>17762506.489999998</v>
      </c>
      <c r="J34" s="185">
        <v>311187.32</v>
      </c>
      <c r="K34" s="195">
        <v>6.7</v>
      </c>
      <c r="L34" s="187">
        <v>98.7</v>
      </c>
      <c r="M34" s="390">
        <v>75.2</v>
      </c>
    </row>
    <row r="35" spans="1:13" ht="13.5">
      <c r="A35" s="1058">
        <v>16</v>
      </c>
      <c r="B35" s="1059">
        <v>61</v>
      </c>
      <c r="C35" s="1060" t="s">
        <v>171</v>
      </c>
      <c r="D35" s="185">
        <v>1338999645.24</v>
      </c>
      <c r="E35" s="185">
        <v>73999877.269999996</v>
      </c>
      <c r="F35" s="185">
        <v>73120272.780000001</v>
      </c>
      <c r="G35" s="185">
        <v>54152245.670000002</v>
      </c>
      <c r="H35" s="185">
        <v>28224.65</v>
      </c>
      <c r="I35" s="185">
        <v>879604.49</v>
      </c>
      <c r="J35" s="185">
        <v>0</v>
      </c>
      <c r="K35" s="195">
        <v>5.5</v>
      </c>
      <c r="L35" s="187">
        <v>98.8</v>
      </c>
      <c r="M35" s="390">
        <v>73.2</v>
      </c>
    </row>
    <row r="36" spans="1:13" ht="13.5">
      <c r="A36" s="1058">
        <v>18</v>
      </c>
      <c r="B36" s="1059">
        <v>61</v>
      </c>
      <c r="C36" s="1060" t="s">
        <v>172</v>
      </c>
      <c r="D36" s="185">
        <v>445301202.37</v>
      </c>
      <c r="E36" s="185">
        <v>25859158.149999999</v>
      </c>
      <c r="F36" s="185">
        <v>25167852.359999999</v>
      </c>
      <c r="G36" s="185">
        <v>18086887.699999999</v>
      </c>
      <c r="H36" s="185">
        <v>3062566.37</v>
      </c>
      <c r="I36" s="185">
        <v>691305.79</v>
      </c>
      <c r="J36" s="185">
        <v>356564.7</v>
      </c>
      <c r="K36" s="195">
        <v>5.8</v>
      </c>
      <c r="L36" s="187">
        <v>97.3</v>
      </c>
      <c r="M36" s="390">
        <v>69.900000000000006</v>
      </c>
    </row>
    <row r="37" spans="1:13" ht="13.5">
      <c r="A37" s="1058">
        <v>18</v>
      </c>
      <c r="B37" s="1059">
        <v>62</v>
      </c>
      <c r="C37" s="1060" t="s">
        <v>173</v>
      </c>
      <c r="D37" s="185">
        <v>451064876.48000002</v>
      </c>
      <c r="E37" s="185">
        <v>22818152.969999999</v>
      </c>
      <c r="F37" s="185">
        <v>22566134.129999999</v>
      </c>
      <c r="G37" s="185">
        <v>18062638.16</v>
      </c>
      <c r="H37" s="185">
        <v>206996.01</v>
      </c>
      <c r="I37" s="185">
        <v>252018.84</v>
      </c>
      <c r="J37" s="185">
        <v>99859.44</v>
      </c>
      <c r="K37" s="195">
        <v>5.0999999999999996</v>
      </c>
      <c r="L37" s="187">
        <v>98.9</v>
      </c>
      <c r="M37" s="390">
        <v>79.2</v>
      </c>
    </row>
    <row r="38" spans="1:13" ht="13.5">
      <c r="A38" s="1058">
        <v>18</v>
      </c>
      <c r="B38" s="1059">
        <v>63</v>
      </c>
      <c r="C38" s="1060" t="s">
        <v>174</v>
      </c>
      <c r="D38" s="185">
        <v>1736803086.1900001</v>
      </c>
      <c r="E38" s="185">
        <v>86189853.280000001</v>
      </c>
      <c r="F38" s="185">
        <v>84941568.159999996</v>
      </c>
      <c r="G38" s="185">
        <v>58056748.210000001</v>
      </c>
      <c r="H38" s="185">
        <v>1192534.33</v>
      </c>
      <c r="I38" s="185">
        <v>1248285.1200000001</v>
      </c>
      <c r="J38" s="185">
        <v>97674.7</v>
      </c>
      <c r="K38" s="195">
        <v>5</v>
      </c>
      <c r="L38" s="187">
        <v>98.6</v>
      </c>
      <c r="M38" s="390">
        <v>67.400000000000006</v>
      </c>
    </row>
    <row r="39" spans="1:13" ht="13.5">
      <c r="A39" s="1058">
        <v>18</v>
      </c>
      <c r="B39" s="1059">
        <v>64</v>
      </c>
      <c r="C39" s="1060" t="s">
        <v>175</v>
      </c>
      <c r="D39" s="185">
        <v>372079919.36000001</v>
      </c>
      <c r="E39" s="185">
        <v>22069543.140000001</v>
      </c>
      <c r="F39" s="185">
        <v>21816750.890000001</v>
      </c>
      <c r="G39" s="185">
        <v>15517356.630000001</v>
      </c>
      <c r="H39" s="185">
        <v>0</v>
      </c>
      <c r="I39" s="185">
        <v>252792.25</v>
      </c>
      <c r="J39" s="185">
        <v>0</v>
      </c>
      <c r="K39" s="195">
        <v>5.9</v>
      </c>
      <c r="L39" s="187">
        <v>98.9</v>
      </c>
      <c r="M39" s="390">
        <v>70.3</v>
      </c>
    </row>
    <row r="40" spans="1:13" ht="13.5">
      <c r="A40" s="1058">
        <v>20</v>
      </c>
      <c r="B40" s="1059">
        <v>61</v>
      </c>
      <c r="C40" s="1060" t="s">
        <v>176</v>
      </c>
      <c r="D40" s="185">
        <v>2234834597.3200002</v>
      </c>
      <c r="E40" s="185">
        <v>126065927.48999999</v>
      </c>
      <c r="F40" s="185">
        <v>118977620.45</v>
      </c>
      <c r="G40" s="185">
        <v>85350564.040000007</v>
      </c>
      <c r="H40" s="185">
        <v>6206525.0499999998</v>
      </c>
      <c r="I40" s="185">
        <v>7088307.04</v>
      </c>
      <c r="J40" s="185">
        <v>0</v>
      </c>
      <c r="K40" s="195">
        <v>5.6</v>
      </c>
      <c r="L40" s="187">
        <v>94.4</v>
      </c>
      <c r="M40" s="390">
        <v>67.7</v>
      </c>
    </row>
    <row r="41" spans="1:13" ht="13.5">
      <c r="A41" s="1058">
        <v>20</v>
      </c>
      <c r="B41" s="1059">
        <v>62</v>
      </c>
      <c r="C41" s="1060" t="s">
        <v>177</v>
      </c>
      <c r="D41" s="185">
        <v>447077353.38999999</v>
      </c>
      <c r="E41" s="185">
        <v>23499652.829999998</v>
      </c>
      <c r="F41" s="185">
        <v>23329199.140000001</v>
      </c>
      <c r="G41" s="185">
        <v>16611605.630000001</v>
      </c>
      <c r="H41" s="185">
        <v>102038.7</v>
      </c>
      <c r="I41" s="185">
        <v>170453.69</v>
      </c>
      <c r="J41" s="185">
        <v>0</v>
      </c>
      <c r="K41" s="195">
        <v>5.3</v>
      </c>
      <c r="L41" s="187">
        <v>99.3</v>
      </c>
      <c r="M41" s="390">
        <v>70.7</v>
      </c>
    </row>
    <row r="42" spans="1:13" ht="13.5">
      <c r="A42" s="1058">
        <v>20</v>
      </c>
      <c r="B42" s="1059">
        <v>63</v>
      </c>
      <c r="C42" s="1060" t="s">
        <v>178</v>
      </c>
      <c r="D42" s="185">
        <v>526488296.69999999</v>
      </c>
      <c r="E42" s="185">
        <v>26023673.620000001</v>
      </c>
      <c r="F42" s="185">
        <v>24217778.920000002</v>
      </c>
      <c r="G42" s="185">
        <v>18120608.100000001</v>
      </c>
      <c r="H42" s="185">
        <v>0</v>
      </c>
      <c r="I42" s="185">
        <v>1805894.7</v>
      </c>
      <c r="J42" s="185">
        <v>0</v>
      </c>
      <c r="K42" s="195">
        <v>4.9000000000000004</v>
      </c>
      <c r="L42" s="187">
        <v>93.1</v>
      </c>
      <c r="M42" s="390">
        <v>69.599999999999994</v>
      </c>
    </row>
    <row r="43" spans="1:13" ht="13.5">
      <c r="A43" s="1058">
        <v>22</v>
      </c>
      <c r="B43" s="1059">
        <v>61</v>
      </c>
      <c r="C43" s="1060" t="s">
        <v>179</v>
      </c>
      <c r="D43" s="185">
        <v>4166812607.6399999</v>
      </c>
      <c r="E43" s="185">
        <v>248093136.59999999</v>
      </c>
      <c r="F43" s="185">
        <v>234325765.97</v>
      </c>
      <c r="G43" s="185">
        <v>136926335.5</v>
      </c>
      <c r="H43" s="185">
        <v>29201.93</v>
      </c>
      <c r="I43" s="185">
        <v>13767370.630000001</v>
      </c>
      <c r="J43" s="185">
        <v>0</v>
      </c>
      <c r="K43" s="195">
        <v>6</v>
      </c>
      <c r="L43" s="187">
        <v>94.5</v>
      </c>
      <c r="M43" s="390">
        <v>55.2</v>
      </c>
    </row>
    <row r="44" spans="1:13" ht="13.5">
      <c r="A44" s="1058">
        <v>22</v>
      </c>
      <c r="B44" s="1059">
        <v>62</v>
      </c>
      <c r="C44" s="1060" t="s">
        <v>180</v>
      </c>
      <c r="D44" s="185">
        <v>1921283251.0899999</v>
      </c>
      <c r="E44" s="185">
        <v>122105169.94</v>
      </c>
      <c r="F44" s="185">
        <v>120758561.95999999</v>
      </c>
      <c r="G44" s="185">
        <v>79313528.569999993</v>
      </c>
      <c r="H44" s="185">
        <v>0</v>
      </c>
      <c r="I44" s="185">
        <v>1346607.98</v>
      </c>
      <c r="J44" s="185">
        <v>0</v>
      </c>
      <c r="K44" s="195">
        <v>6.4</v>
      </c>
      <c r="L44" s="187">
        <v>98.9</v>
      </c>
      <c r="M44" s="390">
        <v>65</v>
      </c>
    </row>
    <row r="45" spans="1:13" ht="13.5">
      <c r="A45" s="1058">
        <v>22</v>
      </c>
      <c r="B45" s="1059">
        <v>63</v>
      </c>
      <c r="C45" s="1060" t="s">
        <v>181</v>
      </c>
      <c r="D45" s="185">
        <v>695477106.72000003</v>
      </c>
      <c r="E45" s="185">
        <v>33070734.280000001</v>
      </c>
      <c r="F45" s="185">
        <v>30472988.579999998</v>
      </c>
      <c r="G45" s="185">
        <v>24159820.960000001</v>
      </c>
      <c r="H45" s="185">
        <v>156289.73000000001</v>
      </c>
      <c r="I45" s="185">
        <v>2597745.7000000002</v>
      </c>
      <c r="J45" s="185">
        <v>67030.75</v>
      </c>
      <c r="K45" s="195">
        <v>4.8</v>
      </c>
      <c r="L45" s="187">
        <v>92.1</v>
      </c>
      <c r="M45" s="390">
        <v>73.099999999999994</v>
      </c>
    </row>
    <row r="46" spans="1:13" ht="13.5">
      <c r="A46" s="1058">
        <v>22</v>
      </c>
      <c r="B46" s="1059">
        <v>64</v>
      </c>
      <c r="C46" s="1060" t="s">
        <v>182</v>
      </c>
      <c r="D46" s="185">
        <v>403154617.85000002</v>
      </c>
      <c r="E46" s="185">
        <v>32977725.140000001</v>
      </c>
      <c r="F46" s="185">
        <v>29261549.469999999</v>
      </c>
      <c r="G46" s="185">
        <v>22957933.420000002</v>
      </c>
      <c r="H46" s="185">
        <v>0</v>
      </c>
      <c r="I46" s="185">
        <v>3716175.67</v>
      </c>
      <c r="J46" s="185">
        <v>0</v>
      </c>
      <c r="K46" s="195">
        <v>8.1999999999999993</v>
      </c>
      <c r="L46" s="187">
        <v>88.7</v>
      </c>
      <c r="M46" s="390">
        <v>69.599999999999994</v>
      </c>
    </row>
    <row r="47" spans="1:13" ht="13.5">
      <c r="A47" s="1058">
        <v>24</v>
      </c>
      <c r="B47" s="1059">
        <v>61</v>
      </c>
      <c r="C47" s="1060" t="s">
        <v>183</v>
      </c>
      <c r="D47" s="185">
        <v>1540028880.4400001</v>
      </c>
      <c r="E47" s="185">
        <v>96540159.890000001</v>
      </c>
      <c r="F47" s="185">
        <v>87011689.930000007</v>
      </c>
      <c r="G47" s="185">
        <v>63696184.649999999</v>
      </c>
      <c r="H47" s="185">
        <v>1892180.71</v>
      </c>
      <c r="I47" s="185">
        <v>9528469.9600000009</v>
      </c>
      <c r="J47" s="185">
        <v>0</v>
      </c>
      <c r="K47" s="195">
        <v>6.3</v>
      </c>
      <c r="L47" s="187">
        <v>90.1</v>
      </c>
      <c r="M47" s="390">
        <v>66</v>
      </c>
    </row>
    <row r="48" spans="1:13" ht="13.5">
      <c r="A48" s="1058">
        <v>24</v>
      </c>
      <c r="B48" s="1059">
        <v>62</v>
      </c>
      <c r="C48" s="1060" t="s">
        <v>184</v>
      </c>
      <c r="D48" s="185">
        <v>1198976595.6400001</v>
      </c>
      <c r="E48" s="185">
        <v>57786414.560000002</v>
      </c>
      <c r="F48" s="185">
        <v>57457989.039999999</v>
      </c>
      <c r="G48" s="185">
        <v>40453922.409999996</v>
      </c>
      <c r="H48" s="185">
        <v>18950.97</v>
      </c>
      <c r="I48" s="185">
        <v>328425.52</v>
      </c>
      <c r="J48" s="185">
        <v>4185.22</v>
      </c>
      <c r="K48" s="195">
        <v>4.8</v>
      </c>
      <c r="L48" s="187">
        <v>99.4</v>
      </c>
      <c r="M48" s="390">
        <v>70</v>
      </c>
    </row>
    <row r="49" spans="1:13" ht="13.5">
      <c r="A49" s="1058">
        <v>24</v>
      </c>
      <c r="B49" s="1059">
        <v>63</v>
      </c>
      <c r="C49" s="1060" t="s">
        <v>185</v>
      </c>
      <c r="D49" s="185">
        <v>776540209.72000003</v>
      </c>
      <c r="E49" s="185">
        <v>50883997.200000003</v>
      </c>
      <c r="F49" s="185">
        <v>50566060.659999996</v>
      </c>
      <c r="G49" s="185">
        <v>35415329.609999999</v>
      </c>
      <c r="H49" s="185">
        <v>10523.7</v>
      </c>
      <c r="I49" s="185">
        <v>317936.53999999998</v>
      </c>
      <c r="J49" s="185">
        <v>0</v>
      </c>
      <c r="K49" s="195">
        <v>6.6</v>
      </c>
      <c r="L49" s="187">
        <v>99.4</v>
      </c>
      <c r="M49" s="390">
        <v>69.599999999999994</v>
      </c>
    </row>
    <row r="50" spans="1:13" ht="13.5">
      <c r="A50" s="1058">
        <v>24</v>
      </c>
      <c r="B50" s="1059">
        <v>64</v>
      </c>
      <c r="C50" s="1060" t="s">
        <v>186</v>
      </c>
      <c r="D50" s="185">
        <v>1551401674.24</v>
      </c>
      <c r="E50" s="185">
        <v>85052373.560000002</v>
      </c>
      <c r="F50" s="185">
        <v>82832970.329999998</v>
      </c>
      <c r="G50" s="185">
        <v>62771041.75</v>
      </c>
      <c r="H50" s="185">
        <v>571262.07999999996</v>
      </c>
      <c r="I50" s="185">
        <v>2219403.23</v>
      </c>
      <c r="J50" s="185">
        <v>0</v>
      </c>
      <c r="K50" s="195">
        <v>5.5</v>
      </c>
      <c r="L50" s="187">
        <v>97.4</v>
      </c>
      <c r="M50" s="390">
        <v>73.8</v>
      </c>
    </row>
    <row r="51" spans="1:13" ht="13.5">
      <c r="A51" s="1058">
        <v>24</v>
      </c>
      <c r="B51" s="1059">
        <v>65</v>
      </c>
      <c r="C51" s="1060" t="s">
        <v>187</v>
      </c>
      <c r="D51" s="185">
        <v>965189423.12</v>
      </c>
      <c r="E51" s="185">
        <v>87755105.150000006</v>
      </c>
      <c r="F51" s="185">
        <v>87609219.769999996</v>
      </c>
      <c r="G51" s="185">
        <v>47382056.009999998</v>
      </c>
      <c r="H51" s="185">
        <v>0</v>
      </c>
      <c r="I51" s="185">
        <v>145885.38</v>
      </c>
      <c r="J51" s="185">
        <v>0</v>
      </c>
      <c r="K51" s="195">
        <v>9.1</v>
      </c>
      <c r="L51" s="187">
        <v>99.8</v>
      </c>
      <c r="M51" s="390">
        <v>54</v>
      </c>
    </row>
    <row r="52" spans="1:13" ht="13.5">
      <c r="A52" s="1058">
        <v>24</v>
      </c>
      <c r="B52" s="1059">
        <v>66</v>
      </c>
      <c r="C52" s="1060" t="s">
        <v>189</v>
      </c>
      <c r="D52" s="185">
        <v>1667175725.0799999</v>
      </c>
      <c r="E52" s="185">
        <v>79909410.950000003</v>
      </c>
      <c r="F52" s="185">
        <v>75931375.739999995</v>
      </c>
      <c r="G52" s="185">
        <v>53170187.140000001</v>
      </c>
      <c r="H52" s="185">
        <v>0</v>
      </c>
      <c r="I52" s="185">
        <v>3978035.21</v>
      </c>
      <c r="J52" s="185">
        <v>78051.67</v>
      </c>
      <c r="K52" s="195">
        <v>4.8</v>
      </c>
      <c r="L52" s="187">
        <v>95</v>
      </c>
      <c r="M52" s="390">
        <v>66.5</v>
      </c>
    </row>
    <row r="53" spans="1:13" ht="13.5">
      <c r="A53" s="1058">
        <v>24</v>
      </c>
      <c r="B53" s="1059">
        <v>67</v>
      </c>
      <c r="C53" s="1060" t="s">
        <v>700</v>
      </c>
      <c r="D53" s="185">
        <v>582285563.57000005</v>
      </c>
      <c r="E53" s="185">
        <v>35407767.159999996</v>
      </c>
      <c r="F53" s="185">
        <v>33030517.469999999</v>
      </c>
      <c r="G53" s="185">
        <v>25411949.690000001</v>
      </c>
      <c r="H53" s="185">
        <v>0</v>
      </c>
      <c r="I53" s="185">
        <v>2377249.69</v>
      </c>
      <c r="J53" s="185">
        <v>298568.40999999997</v>
      </c>
      <c r="K53" s="195">
        <v>6.1</v>
      </c>
      <c r="L53" s="187">
        <v>93.3</v>
      </c>
      <c r="M53" s="390">
        <v>71.8</v>
      </c>
    </row>
    <row r="54" spans="1:13" ht="13.5">
      <c r="A54" s="1058">
        <v>24</v>
      </c>
      <c r="B54" s="1059">
        <v>68</v>
      </c>
      <c r="C54" s="1060" t="s">
        <v>191</v>
      </c>
      <c r="D54" s="185">
        <v>666357653.55999994</v>
      </c>
      <c r="E54" s="185">
        <v>48161360.460000001</v>
      </c>
      <c r="F54" s="185">
        <v>47222052.899999999</v>
      </c>
      <c r="G54" s="185">
        <v>37115294.329999998</v>
      </c>
      <c r="H54" s="185">
        <v>0</v>
      </c>
      <c r="I54" s="185">
        <v>939307.56</v>
      </c>
      <c r="J54" s="185">
        <v>0</v>
      </c>
      <c r="K54" s="195">
        <v>7.2</v>
      </c>
      <c r="L54" s="187">
        <v>98</v>
      </c>
      <c r="M54" s="390">
        <v>77.099999999999994</v>
      </c>
    </row>
    <row r="55" spans="1:13" ht="13.5">
      <c r="A55" s="1058">
        <v>24</v>
      </c>
      <c r="B55" s="1059">
        <v>69</v>
      </c>
      <c r="C55" s="1060" t="s">
        <v>193</v>
      </c>
      <c r="D55" s="185">
        <v>2461366894.5100002</v>
      </c>
      <c r="E55" s="185">
        <v>176194830.25999999</v>
      </c>
      <c r="F55" s="185">
        <v>167381532.75</v>
      </c>
      <c r="G55" s="185">
        <v>107664209.02</v>
      </c>
      <c r="H55" s="185">
        <v>826989.93</v>
      </c>
      <c r="I55" s="185">
        <v>8813297.5099999998</v>
      </c>
      <c r="J55" s="185">
        <v>952728.09</v>
      </c>
      <c r="K55" s="195">
        <v>7.2</v>
      </c>
      <c r="L55" s="187">
        <v>95</v>
      </c>
      <c r="M55" s="390">
        <v>61.1</v>
      </c>
    </row>
    <row r="56" spans="1:13" ht="13.5">
      <c r="A56" s="1058">
        <v>24</v>
      </c>
      <c r="B56" s="1059">
        <v>70</v>
      </c>
      <c r="C56" s="1060" t="s">
        <v>195</v>
      </c>
      <c r="D56" s="185">
        <v>562338383.63</v>
      </c>
      <c r="E56" s="185">
        <v>35674890.200000003</v>
      </c>
      <c r="F56" s="185">
        <v>35482142.329999998</v>
      </c>
      <c r="G56" s="185">
        <v>27118444.210000001</v>
      </c>
      <c r="H56" s="185">
        <v>216159.77</v>
      </c>
      <c r="I56" s="185">
        <v>192747.87</v>
      </c>
      <c r="J56" s="185">
        <v>0</v>
      </c>
      <c r="K56" s="195">
        <v>6.3</v>
      </c>
      <c r="L56" s="187">
        <v>99.5</v>
      </c>
      <c r="M56" s="390">
        <v>76</v>
      </c>
    </row>
    <row r="57" spans="1:13" ht="13.5">
      <c r="A57" s="1058">
        <v>24</v>
      </c>
      <c r="B57" s="1059">
        <v>71</v>
      </c>
      <c r="C57" s="1060" t="s">
        <v>196</v>
      </c>
      <c r="D57" s="185">
        <v>344203076.66000003</v>
      </c>
      <c r="E57" s="185">
        <v>23701282.66</v>
      </c>
      <c r="F57" s="185">
        <v>23345261.870000001</v>
      </c>
      <c r="G57" s="185">
        <v>17668946.73</v>
      </c>
      <c r="H57" s="185">
        <v>0</v>
      </c>
      <c r="I57" s="185">
        <v>356020.79</v>
      </c>
      <c r="J57" s="185">
        <v>0</v>
      </c>
      <c r="K57" s="195">
        <v>6.9</v>
      </c>
      <c r="L57" s="187">
        <v>98.5</v>
      </c>
      <c r="M57" s="390">
        <v>74.5</v>
      </c>
    </row>
    <row r="58" spans="1:13" ht="13.5">
      <c r="A58" s="1058">
        <v>24</v>
      </c>
      <c r="B58" s="1059">
        <v>72</v>
      </c>
      <c r="C58" s="1060" t="s">
        <v>197</v>
      </c>
      <c r="D58" s="185">
        <v>934443717.38999999</v>
      </c>
      <c r="E58" s="185">
        <v>53229775.899999999</v>
      </c>
      <c r="F58" s="185">
        <v>52211829.020000003</v>
      </c>
      <c r="G58" s="185">
        <v>40684444.25</v>
      </c>
      <c r="H58" s="185">
        <v>0</v>
      </c>
      <c r="I58" s="185">
        <v>1017946.88</v>
      </c>
      <c r="J58" s="185">
        <v>0</v>
      </c>
      <c r="K58" s="195">
        <v>5.7</v>
      </c>
      <c r="L58" s="187">
        <v>98.1</v>
      </c>
      <c r="M58" s="390">
        <v>76.400000000000006</v>
      </c>
    </row>
    <row r="59" spans="1:13" ht="13.5">
      <c r="A59" s="1058">
        <v>24</v>
      </c>
      <c r="B59" s="1059">
        <v>73</v>
      </c>
      <c r="C59" s="1060" t="s">
        <v>198</v>
      </c>
      <c r="D59" s="185">
        <v>1025487601.05</v>
      </c>
      <c r="E59" s="185">
        <v>48081258.689999998</v>
      </c>
      <c r="F59" s="185">
        <v>46611745.170000002</v>
      </c>
      <c r="G59" s="185">
        <v>33102423.98</v>
      </c>
      <c r="H59" s="185">
        <v>315964.69</v>
      </c>
      <c r="I59" s="185">
        <v>1469513.52</v>
      </c>
      <c r="J59" s="185">
        <v>0</v>
      </c>
      <c r="K59" s="195">
        <v>4.7</v>
      </c>
      <c r="L59" s="187">
        <v>96.9</v>
      </c>
      <c r="M59" s="390">
        <v>68.8</v>
      </c>
    </row>
    <row r="60" spans="1:13" ht="13.5">
      <c r="A60" s="1058">
        <v>24</v>
      </c>
      <c r="B60" s="1059">
        <v>74</v>
      </c>
      <c r="C60" s="1060" t="s">
        <v>199</v>
      </c>
      <c r="D60" s="185">
        <v>458672978.24000001</v>
      </c>
      <c r="E60" s="185">
        <v>39830898.399999999</v>
      </c>
      <c r="F60" s="185">
        <v>37685847.280000001</v>
      </c>
      <c r="G60" s="185">
        <v>25153562.359999999</v>
      </c>
      <c r="H60" s="185">
        <v>1016608.11</v>
      </c>
      <c r="I60" s="185">
        <v>2145051.12</v>
      </c>
      <c r="J60" s="185">
        <v>1379339.78</v>
      </c>
      <c r="K60" s="195">
        <v>8.6999999999999993</v>
      </c>
      <c r="L60" s="187">
        <v>94.6</v>
      </c>
      <c r="M60" s="390">
        <v>63.2</v>
      </c>
    </row>
    <row r="61" spans="1:13" ht="13.5">
      <c r="A61" s="1058">
        <v>24</v>
      </c>
      <c r="B61" s="1059">
        <v>75</v>
      </c>
      <c r="C61" s="1060" t="s">
        <v>200</v>
      </c>
      <c r="D61" s="185">
        <v>1323566370.8499999</v>
      </c>
      <c r="E61" s="185">
        <v>70884044.870000005</v>
      </c>
      <c r="F61" s="185">
        <v>66910395.009999998</v>
      </c>
      <c r="G61" s="185">
        <v>48154308.890000001</v>
      </c>
      <c r="H61" s="185">
        <v>0</v>
      </c>
      <c r="I61" s="185">
        <v>3973649.86</v>
      </c>
      <c r="J61" s="185">
        <v>2167415.84</v>
      </c>
      <c r="K61" s="195">
        <v>5.4</v>
      </c>
      <c r="L61" s="187">
        <v>94.4</v>
      </c>
      <c r="M61" s="390">
        <v>67.900000000000006</v>
      </c>
    </row>
    <row r="62" spans="1:13" ht="13.5">
      <c r="A62" s="1058">
        <v>24</v>
      </c>
      <c r="B62" s="1059">
        <v>76</v>
      </c>
      <c r="C62" s="1060" t="s">
        <v>201</v>
      </c>
      <c r="D62" s="185">
        <v>325700485.30000001</v>
      </c>
      <c r="E62" s="185">
        <v>19851713.399999999</v>
      </c>
      <c r="F62" s="185">
        <v>19748147.399999999</v>
      </c>
      <c r="G62" s="185">
        <v>14291175.689999999</v>
      </c>
      <c r="H62" s="185">
        <v>76511.960000000006</v>
      </c>
      <c r="I62" s="185">
        <v>103566</v>
      </c>
      <c r="J62" s="185">
        <v>0</v>
      </c>
      <c r="K62" s="195">
        <v>6.1</v>
      </c>
      <c r="L62" s="187">
        <v>99.5</v>
      </c>
      <c r="M62" s="390">
        <v>72</v>
      </c>
    </row>
    <row r="63" spans="1:13" ht="13.5">
      <c r="A63" s="1058">
        <v>24</v>
      </c>
      <c r="B63" s="1059">
        <v>77</v>
      </c>
      <c r="C63" s="1060" t="s">
        <v>203</v>
      </c>
      <c r="D63" s="185">
        <v>994850889.42999995</v>
      </c>
      <c r="E63" s="185">
        <v>50838466.740000002</v>
      </c>
      <c r="F63" s="185">
        <v>50365731.670000002</v>
      </c>
      <c r="G63" s="185">
        <v>34324478.259999998</v>
      </c>
      <c r="H63" s="185">
        <v>1132815.3799999999</v>
      </c>
      <c r="I63" s="185">
        <v>472735.07</v>
      </c>
      <c r="J63" s="185">
        <v>0</v>
      </c>
      <c r="K63" s="195">
        <v>5.0999999999999996</v>
      </c>
      <c r="L63" s="187">
        <v>99.1</v>
      </c>
      <c r="M63" s="390">
        <v>67.5</v>
      </c>
    </row>
    <row r="64" spans="1:13" ht="13.5">
      <c r="A64" s="1058">
        <v>24</v>
      </c>
      <c r="B64" s="1059">
        <v>78</v>
      </c>
      <c r="C64" s="1060" t="s">
        <v>204</v>
      </c>
      <c r="D64" s="185">
        <v>1125984616.8900001</v>
      </c>
      <c r="E64" s="185">
        <v>63730581.759999998</v>
      </c>
      <c r="F64" s="185">
        <v>62885667.43</v>
      </c>
      <c r="G64" s="185">
        <v>44186606.780000001</v>
      </c>
      <c r="H64" s="185">
        <v>0</v>
      </c>
      <c r="I64" s="185">
        <v>844914.33</v>
      </c>
      <c r="J64" s="185">
        <v>0</v>
      </c>
      <c r="K64" s="195">
        <v>5.7</v>
      </c>
      <c r="L64" s="187">
        <v>98.7</v>
      </c>
      <c r="M64" s="390">
        <v>69.3</v>
      </c>
    </row>
    <row r="65" spans="1:13" ht="13.5">
      <c r="A65" s="1058">
        <v>24</v>
      </c>
      <c r="B65" s="1059">
        <v>79</v>
      </c>
      <c r="C65" s="1060" t="s">
        <v>205</v>
      </c>
      <c r="D65" s="185">
        <v>439261556.67000002</v>
      </c>
      <c r="E65" s="185">
        <v>24236809.48</v>
      </c>
      <c r="F65" s="185">
        <v>23503540.510000002</v>
      </c>
      <c r="G65" s="185">
        <v>17372993.420000002</v>
      </c>
      <c r="H65" s="185">
        <v>12412.69</v>
      </c>
      <c r="I65" s="185">
        <v>733268.97</v>
      </c>
      <c r="J65" s="185">
        <v>52.74</v>
      </c>
      <c r="K65" s="195">
        <v>5.5</v>
      </c>
      <c r="L65" s="187">
        <v>97</v>
      </c>
      <c r="M65" s="390">
        <v>71.7</v>
      </c>
    </row>
    <row r="66" spans="1:13" ht="13.5">
      <c r="A66" s="1058">
        <v>26</v>
      </c>
      <c r="B66" s="1059">
        <v>61</v>
      </c>
      <c r="C66" s="1060" t="s">
        <v>206</v>
      </c>
      <c r="D66" s="185">
        <v>1542389586.71</v>
      </c>
      <c r="E66" s="185">
        <v>67922342.010000005</v>
      </c>
      <c r="F66" s="185">
        <v>66942974.149999999</v>
      </c>
      <c r="G66" s="185">
        <v>47655644.979999997</v>
      </c>
      <c r="H66" s="185">
        <v>1706303.38</v>
      </c>
      <c r="I66" s="185">
        <v>979367.86</v>
      </c>
      <c r="J66" s="185">
        <v>103520</v>
      </c>
      <c r="K66" s="195">
        <v>4.4000000000000004</v>
      </c>
      <c r="L66" s="187">
        <v>98.6</v>
      </c>
      <c r="M66" s="390">
        <v>70.2</v>
      </c>
    </row>
    <row r="67" spans="1:13" ht="13.5">
      <c r="A67" s="1058">
        <v>28</v>
      </c>
      <c r="B67" s="1059">
        <v>61</v>
      </c>
      <c r="C67" s="1060" t="s">
        <v>207</v>
      </c>
      <c r="D67" s="185">
        <v>782571626.11000001</v>
      </c>
      <c r="E67" s="185">
        <v>60705893.43</v>
      </c>
      <c r="F67" s="185">
        <v>60288797.960000001</v>
      </c>
      <c r="G67" s="185">
        <v>35671156.920000002</v>
      </c>
      <c r="H67" s="185">
        <v>0</v>
      </c>
      <c r="I67" s="185">
        <v>417095.47</v>
      </c>
      <c r="J67" s="185">
        <v>0</v>
      </c>
      <c r="K67" s="195">
        <v>7.8</v>
      </c>
      <c r="L67" s="187">
        <v>99.3</v>
      </c>
      <c r="M67" s="390">
        <v>58.8</v>
      </c>
    </row>
    <row r="68" spans="1:13" ht="13.5">
      <c r="A68" s="1058">
        <v>28</v>
      </c>
      <c r="B68" s="1059">
        <v>62</v>
      </c>
      <c r="C68" s="1060" t="s">
        <v>208</v>
      </c>
      <c r="D68" s="185">
        <v>1384796345.3399999</v>
      </c>
      <c r="E68" s="185">
        <v>74603629.439999998</v>
      </c>
      <c r="F68" s="185">
        <v>56340563.710000001</v>
      </c>
      <c r="G68" s="185">
        <v>42045316.850000001</v>
      </c>
      <c r="H68" s="185">
        <v>781599.84</v>
      </c>
      <c r="I68" s="185">
        <v>18263065.73</v>
      </c>
      <c r="J68" s="185">
        <v>15853091.17</v>
      </c>
      <c r="K68" s="195">
        <v>5.4</v>
      </c>
      <c r="L68" s="187">
        <v>75.5</v>
      </c>
      <c r="M68" s="390">
        <v>56.4</v>
      </c>
    </row>
    <row r="69" spans="1:13" ht="13.5">
      <c r="A69" s="1058">
        <v>30</v>
      </c>
      <c r="B69" s="1059">
        <v>61</v>
      </c>
      <c r="C69" s="1060" t="s">
        <v>209</v>
      </c>
      <c r="D69" s="185">
        <v>789215201.17999995</v>
      </c>
      <c r="E69" s="185">
        <v>42053588.130000003</v>
      </c>
      <c r="F69" s="185">
        <v>41932970.43</v>
      </c>
      <c r="G69" s="185">
        <v>32753350.460000001</v>
      </c>
      <c r="H69" s="185">
        <v>0</v>
      </c>
      <c r="I69" s="185">
        <v>120617.7</v>
      </c>
      <c r="J69" s="185">
        <v>0</v>
      </c>
      <c r="K69" s="195">
        <v>5.3</v>
      </c>
      <c r="L69" s="187">
        <v>99.7</v>
      </c>
      <c r="M69" s="390">
        <v>77.900000000000006</v>
      </c>
    </row>
    <row r="70" spans="1:13" ht="13.5">
      <c r="A70" s="1058">
        <v>30</v>
      </c>
      <c r="B70" s="1059">
        <v>62</v>
      </c>
      <c r="C70" s="1060" t="s">
        <v>210</v>
      </c>
      <c r="D70" s="185">
        <v>618397066.25</v>
      </c>
      <c r="E70" s="185">
        <v>41750505.490000002</v>
      </c>
      <c r="F70" s="185">
        <v>41413854.490000002</v>
      </c>
      <c r="G70" s="185">
        <v>32505763.309999999</v>
      </c>
      <c r="H70" s="185">
        <v>1606233.66</v>
      </c>
      <c r="I70" s="185">
        <v>336651</v>
      </c>
      <c r="J70" s="185">
        <v>36900</v>
      </c>
      <c r="K70" s="195">
        <v>6.8</v>
      </c>
      <c r="L70" s="187">
        <v>99.2</v>
      </c>
      <c r="M70" s="390">
        <v>77.900000000000006</v>
      </c>
    </row>
    <row r="71" spans="1:13" ht="13.5">
      <c r="A71" s="1058">
        <v>30</v>
      </c>
      <c r="B71" s="1059">
        <v>63</v>
      </c>
      <c r="C71" s="1060" t="s">
        <v>211</v>
      </c>
      <c r="D71" s="185">
        <v>524532914.93000001</v>
      </c>
      <c r="E71" s="185">
        <v>31722343.640000001</v>
      </c>
      <c r="F71" s="185">
        <v>31587912.359999999</v>
      </c>
      <c r="G71" s="185">
        <v>23774108.239999998</v>
      </c>
      <c r="H71" s="185">
        <v>0</v>
      </c>
      <c r="I71" s="185">
        <v>134431.28</v>
      </c>
      <c r="J71" s="185">
        <v>0</v>
      </c>
      <c r="K71" s="195">
        <v>6</v>
      </c>
      <c r="L71" s="187">
        <v>99.6</v>
      </c>
      <c r="M71" s="390">
        <v>74.900000000000006</v>
      </c>
    </row>
    <row r="72" spans="1:13" ht="13.5">
      <c r="A72" s="1058">
        <v>30</v>
      </c>
      <c r="B72" s="1059">
        <v>64</v>
      </c>
      <c r="C72" s="1060" t="s">
        <v>212</v>
      </c>
      <c r="D72" s="185">
        <v>4928466559.6199999</v>
      </c>
      <c r="E72" s="185">
        <v>218675334.88</v>
      </c>
      <c r="F72" s="185">
        <v>214152639.88</v>
      </c>
      <c r="G72" s="185">
        <v>153674265.31</v>
      </c>
      <c r="H72" s="185">
        <v>679216.19</v>
      </c>
      <c r="I72" s="185">
        <v>4522695</v>
      </c>
      <c r="J72" s="185">
        <v>0</v>
      </c>
      <c r="K72" s="195">
        <v>4.4000000000000004</v>
      </c>
      <c r="L72" s="187">
        <v>97.9</v>
      </c>
      <c r="M72" s="390">
        <v>70.3</v>
      </c>
    </row>
    <row r="73" spans="1:13" ht="13.5">
      <c r="A73" s="1058">
        <v>32</v>
      </c>
      <c r="B73" s="1059">
        <v>61</v>
      </c>
      <c r="C73" s="1060" t="s">
        <v>213</v>
      </c>
      <c r="D73" s="185">
        <v>761364891.85000002</v>
      </c>
      <c r="E73" s="185">
        <v>53544168.829999998</v>
      </c>
      <c r="F73" s="185">
        <v>50050385.700000003</v>
      </c>
      <c r="G73" s="185">
        <v>35539383.359999999</v>
      </c>
      <c r="H73" s="185">
        <v>558407.6</v>
      </c>
      <c r="I73" s="185">
        <v>3493783.13</v>
      </c>
      <c r="J73" s="185">
        <v>49639.11</v>
      </c>
      <c r="K73" s="195">
        <v>7</v>
      </c>
      <c r="L73" s="187">
        <v>93.5</v>
      </c>
      <c r="M73" s="390">
        <v>66.400000000000006</v>
      </c>
    </row>
    <row r="74" spans="1:13" ht="13.5">
      <c r="A74" s="1058">
        <v>32</v>
      </c>
      <c r="B74" s="1059">
        <v>62</v>
      </c>
      <c r="C74" s="1060" t="s">
        <v>214</v>
      </c>
      <c r="D74" s="185">
        <v>3502549627.8600001</v>
      </c>
      <c r="E74" s="185">
        <v>144356735.19999999</v>
      </c>
      <c r="F74" s="185">
        <v>130759014.08</v>
      </c>
      <c r="G74" s="185">
        <v>91041557.569999993</v>
      </c>
      <c r="H74" s="185">
        <v>649026.68999999994</v>
      </c>
      <c r="I74" s="185">
        <v>13597721.119999999</v>
      </c>
      <c r="J74" s="185">
        <v>0</v>
      </c>
      <c r="K74" s="195">
        <v>4.0999999999999996</v>
      </c>
      <c r="L74" s="187">
        <v>90.6</v>
      </c>
      <c r="M74" s="390">
        <v>63.1</v>
      </c>
    </row>
    <row r="75" spans="1:13" ht="13.5">
      <c r="A75" s="1068">
        <v>32</v>
      </c>
      <c r="B75" s="1069">
        <v>63</v>
      </c>
      <c r="C75" s="1070" t="s">
        <v>215</v>
      </c>
      <c r="D75" s="393">
        <v>806244878.88999999</v>
      </c>
      <c r="E75" s="393">
        <v>40048801.539999999</v>
      </c>
      <c r="F75" s="393">
        <v>31825239.899999999</v>
      </c>
      <c r="G75" s="393">
        <v>24736467.850000001</v>
      </c>
      <c r="H75" s="393">
        <v>434006.23</v>
      </c>
      <c r="I75" s="393">
        <v>8223561.6399999997</v>
      </c>
      <c r="J75" s="393">
        <v>3308646.03</v>
      </c>
      <c r="K75" s="570">
        <v>5</v>
      </c>
      <c r="L75" s="395">
        <v>79.5</v>
      </c>
      <c r="M75" s="396">
        <v>61.8</v>
      </c>
    </row>
    <row r="76" spans="1:13" ht="15.75">
      <c r="A76" s="1031" t="s">
        <v>1165</v>
      </c>
    </row>
    <row r="77" spans="1:13" ht="13.5">
      <c r="A77" s="188" t="s">
        <v>1158</v>
      </c>
    </row>
  </sheetData>
  <mergeCells count="16">
    <mergeCell ref="K7:M7"/>
    <mergeCell ref="A1:M2"/>
    <mergeCell ref="D7:J7"/>
    <mergeCell ref="F3:J3"/>
    <mergeCell ref="K3:M5"/>
    <mergeCell ref="F4:F6"/>
    <mergeCell ref="G4:H4"/>
    <mergeCell ref="I4:I6"/>
    <mergeCell ref="G5:G6"/>
    <mergeCell ref="H5:H6"/>
    <mergeCell ref="J5:J6"/>
    <mergeCell ref="A3:A7"/>
    <mergeCell ref="B3:B7"/>
    <mergeCell ref="C3:C7"/>
    <mergeCell ref="D3:D6"/>
    <mergeCell ref="E3:E6"/>
  </mergeCells>
  <phoneticPr fontId="0" type="noConversion"/>
  <printOptions horizontalCentered="1"/>
  <pageMargins left="0.31496062992125984" right="0.31496062992125984" top="0.6692913385826772" bottom="0.59055118110236227" header="0.19685039370078741" footer="0.31496062992125984"/>
  <pageSetup paperSize="9" scale="95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>
    <tabColor rgb="FF92D050"/>
    <pageSetUpPr fitToPage="1"/>
  </sheetPr>
  <dimension ref="A2:I27"/>
  <sheetViews>
    <sheetView showGridLines="0" workbookViewId="0">
      <selection activeCell="L4" sqref="L4"/>
    </sheetView>
  </sheetViews>
  <sheetFormatPr defaultRowHeight="12.75"/>
  <cols>
    <col min="1" max="1" width="5.140625" customWidth="1"/>
    <col min="2" max="2" width="18.5703125" customWidth="1"/>
    <col min="3" max="3" width="11.42578125" customWidth="1"/>
    <col min="4" max="4" width="13.7109375" bestFit="1" customWidth="1"/>
    <col min="5" max="5" width="12" customWidth="1"/>
    <col min="6" max="6" width="13.5703125" customWidth="1"/>
    <col min="7" max="7" width="14.5703125" customWidth="1"/>
    <col min="8" max="8" width="12.28515625" customWidth="1"/>
    <col min="9" max="9" width="13.85546875" customWidth="1"/>
  </cols>
  <sheetData>
    <row r="2" spans="1:9" ht="12.75" customHeight="1">
      <c r="A2" s="2265" t="s">
        <v>125</v>
      </c>
      <c r="B2" s="2265"/>
      <c r="C2" s="2265"/>
      <c r="D2" s="2265"/>
      <c r="E2" s="2265"/>
      <c r="F2" s="2265"/>
      <c r="G2" s="2265"/>
      <c r="H2" s="2265"/>
      <c r="I2" s="2265"/>
    </row>
    <row r="4" spans="1:9" ht="13.15" customHeight="1">
      <c r="A4" s="1899" t="s">
        <v>41</v>
      </c>
      <c r="B4" s="1902" t="s">
        <v>68</v>
      </c>
      <c r="C4" s="1808" t="s">
        <v>959</v>
      </c>
      <c r="D4" s="2171" t="s">
        <v>45</v>
      </c>
      <c r="E4" s="1907" t="s">
        <v>46</v>
      </c>
      <c r="F4" s="1909" t="s">
        <v>47</v>
      </c>
      <c r="G4" s="1905" t="s">
        <v>48</v>
      </c>
      <c r="H4" s="1907" t="s">
        <v>49</v>
      </c>
      <c r="I4" s="1911" t="s">
        <v>50</v>
      </c>
    </row>
    <row r="5" spans="1:9" ht="34.9" customHeight="1">
      <c r="A5" s="1900"/>
      <c r="B5" s="1903"/>
      <c r="C5" s="1809"/>
      <c r="D5" s="2266"/>
      <c r="E5" s="2267"/>
      <c r="F5" s="2268"/>
      <c r="G5" s="2269"/>
      <c r="H5" s="2267"/>
      <c r="I5" s="2270"/>
    </row>
    <row r="6" spans="1:9" ht="13.5">
      <c r="A6" s="2128"/>
      <c r="B6" s="2259"/>
      <c r="C6" s="1809"/>
      <c r="D6" s="2271" t="s">
        <v>4</v>
      </c>
      <c r="E6" s="2119"/>
      <c r="F6" s="658" t="s">
        <v>5</v>
      </c>
      <c r="G6" s="2118" t="s">
        <v>4</v>
      </c>
      <c r="H6" s="2119"/>
      <c r="I6" s="605" t="s">
        <v>5</v>
      </c>
    </row>
    <row r="7" spans="1:9">
      <c r="A7" s="398" t="s">
        <v>887</v>
      </c>
      <c r="B7" s="403" t="s">
        <v>888</v>
      </c>
      <c r="C7" s="428" t="s">
        <v>889</v>
      </c>
      <c r="D7" s="399" t="s">
        <v>890</v>
      </c>
      <c r="E7" s="400" t="s">
        <v>891</v>
      </c>
      <c r="F7" s="401" t="s">
        <v>892</v>
      </c>
      <c r="G7" s="398" t="s">
        <v>893</v>
      </c>
      <c r="H7" s="400" t="s">
        <v>894</v>
      </c>
      <c r="I7" s="402" t="s">
        <v>932</v>
      </c>
    </row>
    <row r="8" spans="1:9" ht="19.899999999999999" customHeight="1">
      <c r="A8" s="420"/>
      <c r="B8" s="1563" t="s">
        <v>933</v>
      </c>
      <c r="C8" s="429">
        <v>12510635</v>
      </c>
      <c r="D8" s="182">
        <v>15648193584.379999</v>
      </c>
      <c r="E8" s="189">
        <v>1250.8</v>
      </c>
      <c r="F8" s="191">
        <v>14.5</v>
      </c>
      <c r="G8" s="414">
        <v>13895432033.77</v>
      </c>
      <c r="H8" s="189">
        <v>1110.7</v>
      </c>
      <c r="I8" s="421">
        <v>12.8</v>
      </c>
    </row>
    <row r="9" spans="1:9" ht="19.899999999999999" customHeight="1">
      <c r="A9" s="389" t="s">
        <v>6</v>
      </c>
      <c r="B9" s="193" t="s">
        <v>26</v>
      </c>
      <c r="C9" s="430">
        <v>928670</v>
      </c>
      <c r="D9" s="185">
        <v>1261258152.05</v>
      </c>
      <c r="E9" s="190">
        <v>1358.13</v>
      </c>
      <c r="F9" s="192">
        <v>15.7</v>
      </c>
      <c r="G9" s="416">
        <v>1091567870.6500001</v>
      </c>
      <c r="H9" s="190">
        <v>1175.4000000000001</v>
      </c>
      <c r="I9" s="422">
        <v>13.6</v>
      </c>
    </row>
    <row r="10" spans="1:9" ht="19.899999999999999" customHeight="1">
      <c r="A10" s="389" t="s">
        <v>7</v>
      </c>
      <c r="B10" s="193" t="s">
        <v>42</v>
      </c>
      <c r="C10" s="430">
        <v>744829</v>
      </c>
      <c r="D10" s="185">
        <v>696571054.78999996</v>
      </c>
      <c r="E10" s="190">
        <v>935.21</v>
      </c>
      <c r="F10" s="192">
        <v>13</v>
      </c>
      <c r="G10" s="416">
        <v>600392492.78999996</v>
      </c>
      <c r="H10" s="190">
        <v>806.1</v>
      </c>
      <c r="I10" s="422">
        <v>11.2</v>
      </c>
    </row>
    <row r="11" spans="1:9" ht="19.899999999999999" customHeight="1">
      <c r="A11" s="389" t="s">
        <v>8</v>
      </c>
      <c r="B11" s="193" t="s">
        <v>27</v>
      </c>
      <c r="C11" s="430">
        <v>519448</v>
      </c>
      <c r="D11" s="185">
        <v>724617111.36000001</v>
      </c>
      <c r="E11" s="190">
        <v>1394.98</v>
      </c>
      <c r="F11" s="192">
        <v>17</v>
      </c>
      <c r="G11" s="416">
        <v>696466126.21000004</v>
      </c>
      <c r="H11" s="190">
        <v>1340.8</v>
      </c>
      <c r="I11" s="422">
        <v>16.3</v>
      </c>
    </row>
    <row r="12" spans="1:9" ht="19.899999999999999" customHeight="1">
      <c r="A12" s="389" t="s">
        <v>9</v>
      </c>
      <c r="B12" s="193" t="s">
        <v>28</v>
      </c>
      <c r="C12" s="430">
        <v>263481</v>
      </c>
      <c r="D12" s="185">
        <v>357095937.49000001</v>
      </c>
      <c r="E12" s="190">
        <v>1355.3</v>
      </c>
      <c r="F12" s="192">
        <v>17.2</v>
      </c>
      <c r="G12" s="416">
        <v>333157720.54000002</v>
      </c>
      <c r="H12" s="190">
        <v>1264.4000000000001</v>
      </c>
      <c r="I12" s="422">
        <v>16.100000000000001</v>
      </c>
    </row>
    <row r="13" spans="1:9" ht="19.899999999999999" customHeight="1">
      <c r="A13" s="389" t="s">
        <v>1</v>
      </c>
      <c r="B13" s="193" t="s">
        <v>29</v>
      </c>
      <c r="C13" s="430">
        <v>792090</v>
      </c>
      <c r="D13" s="185">
        <v>878223245.92999995</v>
      </c>
      <c r="E13" s="190">
        <v>1108.74</v>
      </c>
      <c r="F13" s="192">
        <v>14.3</v>
      </c>
      <c r="G13" s="416">
        <v>745031616.46000004</v>
      </c>
      <c r="H13" s="190">
        <v>940.6</v>
      </c>
      <c r="I13" s="422">
        <v>12.1</v>
      </c>
    </row>
    <row r="14" spans="1:9" ht="19.899999999999999" customHeight="1">
      <c r="A14" s="389" t="s">
        <v>2</v>
      </c>
      <c r="B14" s="193" t="s">
        <v>30</v>
      </c>
      <c r="C14" s="430">
        <v>971022</v>
      </c>
      <c r="D14" s="185">
        <v>1376866852.6600001</v>
      </c>
      <c r="E14" s="190">
        <v>1417.96</v>
      </c>
      <c r="F14" s="192">
        <v>15.3</v>
      </c>
      <c r="G14" s="416">
        <v>1237438391.0799999</v>
      </c>
      <c r="H14" s="190">
        <v>1274.4000000000001</v>
      </c>
      <c r="I14" s="422">
        <v>13.7</v>
      </c>
    </row>
    <row r="15" spans="1:9" ht="19.899999999999999" customHeight="1">
      <c r="A15" s="389" t="s">
        <v>10</v>
      </c>
      <c r="B15" s="193" t="s">
        <v>31</v>
      </c>
      <c r="C15" s="430">
        <v>2251199</v>
      </c>
      <c r="D15" s="185">
        <v>2409362402.8899999</v>
      </c>
      <c r="E15" s="190">
        <v>1070.26</v>
      </c>
      <c r="F15" s="192">
        <v>10.1</v>
      </c>
      <c r="G15" s="416">
        <v>2079633426.73</v>
      </c>
      <c r="H15" s="190">
        <v>923.8</v>
      </c>
      <c r="I15" s="422">
        <v>8.6999999999999993</v>
      </c>
    </row>
    <row r="16" spans="1:9" ht="19.899999999999999" customHeight="1">
      <c r="A16" s="389" t="s">
        <v>11</v>
      </c>
      <c r="B16" s="193" t="s">
        <v>32</v>
      </c>
      <c r="C16" s="430">
        <v>127839</v>
      </c>
      <c r="D16" s="185">
        <v>327847719.39999998</v>
      </c>
      <c r="E16" s="190">
        <v>2564.54</v>
      </c>
      <c r="F16" s="192">
        <v>24.5</v>
      </c>
      <c r="G16" s="416">
        <v>225986919.40000001</v>
      </c>
      <c r="H16" s="190">
        <v>1767.7</v>
      </c>
      <c r="I16" s="422">
        <v>16.899999999999999</v>
      </c>
    </row>
    <row r="17" spans="1:9" ht="19.899999999999999" customHeight="1">
      <c r="A17" s="389" t="s">
        <v>12</v>
      </c>
      <c r="B17" s="193" t="s">
        <v>33</v>
      </c>
      <c r="C17" s="430">
        <v>348721</v>
      </c>
      <c r="D17" s="185">
        <v>452818772.04000002</v>
      </c>
      <c r="E17" s="190">
        <v>1298.51</v>
      </c>
      <c r="F17" s="192">
        <v>15.1</v>
      </c>
      <c r="G17" s="416">
        <v>439966070.39999998</v>
      </c>
      <c r="H17" s="190">
        <v>1261.7</v>
      </c>
      <c r="I17" s="422">
        <v>14.6</v>
      </c>
    </row>
    <row r="18" spans="1:9" ht="19.899999999999999" customHeight="1">
      <c r="A18" s="389" t="s">
        <v>13</v>
      </c>
      <c r="B18" s="193" t="s">
        <v>34</v>
      </c>
      <c r="C18" s="430">
        <v>429170</v>
      </c>
      <c r="D18" s="185">
        <v>301814977.06999999</v>
      </c>
      <c r="E18" s="190">
        <v>703.25</v>
      </c>
      <c r="F18" s="192">
        <v>9.4</v>
      </c>
      <c r="G18" s="416">
        <v>294080977.06999999</v>
      </c>
      <c r="H18" s="190">
        <v>685.2</v>
      </c>
      <c r="I18" s="422">
        <v>9.1999999999999993</v>
      </c>
    </row>
    <row r="19" spans="1:9" ht="19.899999999999999" customHeight="1">
      <c r="A19" s="389" t="s">
        <v>14</v>
      </c>
      <c r="B19" s="193" t="s">
        <v>35</v>
      </c>
      <c r="C19" s="430">
        <v>840840</v>
      </c>
      <c r="D19" s="185">
        <v>913182672.88999999</v>
      </c>
      <c r="E19" s="190">
        <v>1086.04</v>
      </c>
      <c r="F19" s="192">
        <v>12.7</v>
      </c>
      <c r="G19" s="416">
        <v>777135872.88999999</v>
      </c>
      <c r="H19" s="190">
        <v>924.2</v>
      </c>
      <c r="I19" s="422">
        <v>10.8</v>
      </c>
    </row>
    <row r="20" spans="1:9" ht="19.899999999999999" customHeight="1">
      <c r="A20" s="389" t="s">
        <v>15</v>
      </c>
      <c r="B20" s="193" t="s">
        <v>36</v>
      </c>
      <c r="C20" s="430">
        <v>2498095</v>
      </c>
      <c r="D20" s="185">
        <v>2842391102.6199999</v>
      </c>
      <c r="E20" s="190">
        <v>1137.82</v>
      </c>
      <c r="F20" s="192">
        <v>15</v>
      </c>
      <c r="G20" s="416">
        <v>2483343579.3200002</v>
      </c>
      <c r="H20" s="190">
        <v>994.1</v>
      </c>
      <c r="I20" s="422">
        <v>13.1</v>
      </c>
    </row>
    <row r="21" spans="1:9" ht="19.899999999999999" customHeight="1">
      <c r="A21" s="389" t="s">
        <v>16</v>
      </c>
      <c r="B21" s="193" t="s">
        <v>37</v>
      </c>
      <c r="C21" s="430">
        <v>193415</v>
      </c>
      <c r="D21" s="185">
        <v>124487205.31</v>
      </c>
      <c r="E21" s="190">
        <v>643.63</v>
      </c>
      <c r="F21" s="192">
        <v>8.1</v>
      </c>
      <c r="G21" s="416">
        <v>120817205.31</v>
      </c>
      <c r="H21" s="190">
        <v>624.70000000000005</v>
      </c>
      <c r="I21" s="422">
        <v>7.8</v>
      </c>
    </row>
    <row r="22" spans="1:9" ht="19.899999999999999" customHeight="1">
      <c r="A22" s="389" t="s">
        <v>17</v>
      </c>
      <c r="B22" s="193" t="s">
        <v>43</v>
      </c>
      <c r="C22" s="430">
        <v>289831</v>
      </c>
      <c r="D22" s="185">
        <v>256527386.88</v>
      </c>
      <c r="E22" s="190">
        <v>885.09</v>
      </c>
      <c r="F22" s="192">
        <v>11.8</v>
      </c>
      <c r="G22" s="416">
        <v>221463886.46000001</v>
      </c>
      <c r="H22" s="190">
        <v>764.1</v>
      </c>
      <c r="I22" s="422">
        <v>10.199999999999999</v>
      </c>
    </row>
    <row r="23" spans="1:9" ht="19.899999999999999" customHeight="1">
      <c r="A23" s="389" t="s">
        <v>18</v>
      </c>
      <c r="B23" s="193" t="s">
        <v>38</v>
      </c>
      <c r="C23" s="430">
        <v>766547</v>
      </c>
      <c r="D23" s="185">
        <v>1237843990.71</v>
      </c>
      <c r="E23" s="190">
        <v>1614.83</v>
      </c>
      <c r="F23" s="192">
        <v>18</v>
      </c>
      <c r="G23" s="416">
        <v>1159752070.1700001</v>
      </c>
      <c r="H23" s="190">
        <v>1513</v>
      </c>
      <c r="I23" s="422">
        <v>16.899999999999999</v>
      </c>
    </row>
    <row r="24" spans="1:9" ht="19.899999999999999" customHeight="1">
      <c r="A24" s="392" t="s">
        <v>19</v>
      </c>
      <c r="B24" s="427" t="s">
        <v>39</v>
      </c>
      <c r="C24" s="431">
        <v>545438</v>
      </c>
      <c r="D24" s="393">
        <v>1487285000.29</v>
      </c>
      <c r="E24" s="423">
        <v>2726.77</v>
      </c>
      <c r="F24" s="424">
        <v>29.3</v>
      </c>
      <c r="G24" s="418">
        <v>1389197808.29</v>
      </c>
      <c r="H24" s="423">
        <v>2546.9</v>
      </c>
      <c r="I24" s="425">
        <v>27.4</v>
      </c>
    </row>
    <row r="26" spans="1:9" ht="13.5">
      <c r="A26" s="106" t="s">
        <v>934</v>
      </c>
      <c r="B26" s="106" t="s">
        <v>935</v>
      </c>
      <c r="C26" s="106"/>
      <c r="D26" s="106"/>
      <c r="E26" s="106"/>
      <c r="F26" s="106"/>
      <c r="G26" s="106"/>
      <c r="H26" s="106"/>
      <c r="I26" s="106"/>
    </row>
    <row r="27" spans="1:9" ht="13.5">
      <c r="A27" s="106"/>
      <c r="B27" s="106" t="s">
        <v>936</v>
      </c>
      <c r="C27" s="106"/>
      <c r="D27" s="106"/>
      <c r="E27" s="106"/>
      <c r="F27" s="106"/>
      <c r="G27" s="106"/>
      <c r="H27" s="106"/>
      <c r="I27" s="106"/>
    </row>
  </sheetData>
  <mergeCells count="12">
    <mergeCell ref="A2:I2"/>
    <mergeCell ref="A4:A6"/>
    <mergeCell ref="B4:B6"/>
    <mergeCell ref="D4:D5"/>
    <mergeCell ref="E4:E5"/>
    <mergeCell ref="C4:C6"/>
    <mergeCell ref="F4:F5"/>
    <mergeCell ref="G4:G5"/>
    <mergeCell ref="H4:H5"/>
    <mergeCell ref="I4:I5"/>
    <mergeCell ref="D6:E6"/>
    <mergeCell ref="G6:H6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92"/>
  <sheetViews>
    <sheetView showGridLines="0" topLeftCell="A85" zoomScaleNormal="100" zoomScaleSheetLayoutView="100" workbookViewId="0">
      <selection activeCell="A93" sqref="A93"/>
    </sheetView>
  </sheetViews>
  <sheetFormatPr defaultColWidth="9.140625" defaultRowHeight="13.5"/>
  <cols>
    <col min="1" max="1" width="36.140625" style="1097" customWidth="1"/>
    <col min="2" max="4" width="12.28515625" style="1097" bestFit="1" customWidth="1"/>
    <col min="5" max="5" width="10.28515625" style="1097" bestFit="1" customWidth="1"/>
    <col min="6" max="7" width="9.28515625" style="1097" bestFit="1" customWidth="1"/>
    <col min="8" max="9" width="9.140625" style="1097"/>
    <col min="10" max="11" width="9.28515625" style="1097" bestFit="1" customWidth="1"/>
    <col min="12" max="14" width="9.140625" style="1097"/>
    <col min="15" max="16384" width="9.140625" style="31"/>
  </cols>
  <sheetData>
    <row r="1" spans="1:7" ht="27" customHeight="1">
      <c r="A1" s="2336" t="s">
        <v>1133</v>
      </c>
      <c r="B1" s="2336"/>
      <c r="C1" s="2336"/>
      <c r="D1" s="2336"/>
      <c r="E1" s="2336"/>
      <c r="F1" s="2337"/>
      <c r="G1" s="2338"/>
    </row>
    <row r="2" spans="1:7" ht="67.5">
      <c r="A2" s="1692" t="s">
        <v>218</v>
      </c>
      <c r="B2" s="1134" t="s">
        <v>1080</v>
      </c>
      <c r="C2" s="1135" t="s">
        <v>1081</v>
      </c>
      <c r="D2" s="1136" t="s">
        <v>1082</v>
      </c>
      <c r="E2" s="1137" t="s">
        <v>219</v>
      </c>
      <c r="F2" s="1135" t="s">
        <v>220</v>
      </c>
      <c r="G2" s="1138" t="s">
        <v>221</v>
      </c>
    </row>
    <row r="3" spans="1:7">
      <c r="A3" s="1925"/>
      <c r="B3" s="1926" t="s">
        <v>4</v>
      </c>
      <c r="C3" s="1695"/>
      <c r="D3" s="1696"/>
      <c r="E3" s="1694" t="s">
        <v>5</v>
      </c>
      <c r="F3" s="1695"/>
      <c r="G3" s="1697"/>
    </row>
    <row r="4" spans="1:7">
      <c r="A4" s="1328" t="s">
        <v>887</v>
      </c>
      <c r="B4" s="1327" t="s">
        <v>888</v>
      </c>
      <c r="C4" s="1294" t="s">
        <v>889</v>
      </c>
      <c r="D4" s="1415" t="s">
        <v>890</v>
      </c>
      <c r="E4" s="1129" t="s">
        <v>891</v>
      </c>
      <c r="F4" s="1117" t="s">
        <v>892</v>
      </c>
      <c r="G4" s="1296" t="s">
        <v>893</v>
      </c>
    </row>
    <row r="5" spans="1:7">
      <c r="A5" s="1123" t="s">
        <v>222</v>
      </c>
      <c r="B5" s="266">
        <f>21843643459.89</f>
        <v>21843643459.889999</v>
      </c>
      <c r="C5" s="263">
        <f>22826558202.36</f>
        <v>22826558202.360001</v>
      </c>
      <c r="D5" s="280">
        <f>22839517606.96</f>
        <v>22839517606.959999</v>
      </c>
      <c r="E5" s="1130">
        <v>100</v>
      </c>
      <c r="F5" s="1114">
        <v>104.49977470230577</v>
      </c>
      <c r="G5" s="1115"/>
    </row>
    <row r="6" spans="1:7" ht="27">
      <c r="A6" s="1124" t="s">
        <v>223</v>
      </c>
      <c r="B6" s="267">
        <f>B5-B11-B31</f>
        <v>11124906979.439999</v>
      </c>
      <c r="C6" s="253">
        <f>C5-C11-C31</f>
        <v>12698763482.710001</v>
      </c>
      <c r="D6" s="281">
        <f>D5-D11-D31</f>
        <v>12628260698.49</v>
      </c>
      <c r="E6" s="1131">
        <v>55.631529598698307</v>
      </c>
      <c r="F6" s="1108">
        <v>114.14714303839712</v>
      </c>
      <c r="G6" s="1109">
        <v>99.999999999999986</v>
      </c>
    </row>
    <row r="7" spans="1:7">
      <c r="A7" s="1125" t="s">
        <v>224</v>
      </c>
      <c r="B7" s="268">
        <f>7933705922</f>
        <v>7933705922</v>
      </c>
      <c r="C7" s="256">
        <f>9239933501.02</f>
        <v>9239933501.0200005</v>
      </c>
      <c r="D7" s="282">
        <f>9230989958.63</f>
        <v>9230989958.6299992</v>
      </c>
      <c r="E7" s="1132">
        <v>40.478872982544949</v>
      </c>
      <c r="F7" s="1110">
        <v>116.46428027282758</v>
      </c>
      <c r="G7" s="1111">
        <v>72.762466310996572</v>
      </c>
    </row>
    <row r="8" spans="1:7">
      <c r="A8" s="1125" t="s">
        <v>225</v>
      </c>
      <c r="B8" s="268">
        <f>1836041095</f>
        <v>1836041095</v>
      </c>
      <c r="C8" s="256">
        <f>1983431946</f>
        <v>1983431946</v>
      </c>
      <c r="D8" s="282">
        <f>1920655793</f>
        <v>1920655793</v>
      </c>
      <c r="E8" s="1132">
        <v>8.6891415184744591</v>
      </c>
      <c r="F8" s="1110">
        <v>108.02764444659665</v>
      </c>
      <c r="G8" s="1111">
        <v>15.61909510875245</v>
      </c>
    </row>
    <row r="9" spans="1:7">
      <c r="A9" s="1125" t="s">
        <v>90</v>
      </c>
      <c r="B9" s="268">
        <f>250481673.83</f>
        <v>250481673.83000001</v>
      </c>
      <c r="C9" s="1146">
        <f>287024482.99</f>
        <v>287024482.99000001</v>
      </c>
      <c r="D9" s="282">
        <f>287024478.11</f>
        <v>287024478.11000001</v>
      </c>
      <c r="E9" s="1132">
        <v>1.2574146327514457</v>
      </c>
      <c r="F9" s="1110">
        <v>114.58901507692786</v>
      </c>
      <c r="G9" s="1111">
        <v>2.2602553656566493</v>
      </c>
    </row>
    <row r="10" spans="1:7">
      <c r="A10" s="1125" t="s">
        <v>231</v>
      </c>
      <c r="B10" s="268">
        <f>B6-B7-B8-B9</f>
        <v>1104678288.6099987</v>
      </c>
      <c r="C10" s="256">
        <f>C6-C7-C8-C9</f>
        <v>1188373552.7000005</v>
      </c>
      <c r="D10" s="282">
        <f>D6-D7-D8-D9</f>
        <v>1189590468.7500005</v>
      </c>
      <c r="E10" s="1132">
        <v>5.2061004649274567</v>
      </c>
      <c r="F10" s="1110">
        <v>107.57643786005012</v>
      </c>
      <c r="G10" s="1546">
        <v>9.3581832145943213</v>
      </c>
    </row>
    <row r="11" spans="1:7">
      <c r="A11" s="1124" t="s">
        <v>1129</v>
      </c>
      <c r="B11" s="267">
        <f>B12+B27+B29</f>
        <v>7061736761.4499998</v>
      </c>
      <c r="C11" s="253">
        <f>C12+C27+C29</f>
        <v>6453699667.6499996</v>
      </c>
      <c r="D11" s="281">
        <f>D12+D27+D29</f>
        <v>6544189618.4699993</v>
      </c>
      <c r="E11" s="1131">
        <v>28.272767232086537</v>
      </c>
      <c r="F11" s="1449">
        <v>91.389694711940095</v>
      </c>
      <c r="G11" s="1547"/>
    </row>
    <row r="12" spans="1:7">
      <c r="A12" s="1124" t="s">
        <v>1130</v>
      </c>
      <c r="B12" s="267">
        <f>B13+B15+B17+B19+B21+B23+B25</f>
        <v>1599074639.3299999</v>
      </c>
      <c r="C12" s="253">
        <f>C13+C15+C17+C19+C21+C23+C25</f>
        <v>1450970984.6800001</v>
      </c>
      <c r="D12" s="281">
        <f>D13+D15+D17+D19+D21+D23+D25</f>
        <v>1437815479.49</v>
      </c>
      <c r="E12" s="1131">
        <v>6.3565035596561659</v>
      </c>
      <c r="F12" s="1449">
        <v>90.73816499822334</v>
      </c>
      <c r="G12" s="1454"/>
    </row>
    <row r="13" spans="1:7">
      <c r="A13" s="1125" t="s">
        <v>234</v>
      </c>
      <c r="B13" s="268">
        <f>1079596979.45</f>
        <v>1079596979.45</v>
      </c>
      <c r="C13" s="256">
        <f>944287164.33</f>
        <v>944287164.33000004</v>
      </c>
      <c r="D13" s="282">
        <f>958016762.27</f>
        <v>958016762.26999998</v>
      </c>
      <c r="E13" s="1132">
        <v>4.136791696578995</v>
      </c>
      <c r="F13" s="1450">
        <v>87.466636374905988</v>
      </c>
      <c r="G13" s="1454"/>
    </row>
    <row r="14" spans="1:7">
      <c r="A14" s="1144" t="s">
        <v>235</v>
      </c>
      <c r="B14" s="268">
        <f>11456346.65</f>
        <v>11456346.65</v>
      </c>
      <c r="C14" s="256">
        <f>10457782.87</f>
        <v>10457782.869999999</v>
      </c>
      <c r="D14" s="282">
        <f>10457782.87</f>
        <v>10457782.869999999</v>
      </c>
      <c r="E14" s="1132">
        <v>4.5814102929099425E-2</v>
      </c>
      <c r="F14" s="1450">
        <v>91.283750304465499</v>
      </c>
      <c r="G14" s="1454"/>
    </row>
    <row r="15" spans="1:7">
      <c r="A15" s="1125" t="s">
        <v>236</v>
      </c>
      <c r="B15" s="268">
        <f>85649626.34</f>
        <v>85649626.340000004</v>
      </c>
      <c r="C15" s="256">
        <f>66363491.67</f>
        <v>66363491.670000002</v>
      </c>
      <c r="D15" s="282">
        <f>66410885.62</f>
        <v>66410885.619999997</v>
      </c>
      <c r="E15" s="1132">
        <v>0.29072929471749615</v>
      </c>
      <c r="F15" s="1450">
        <v>77.482523282190883</v>
      </c>
      <c r="G15" s="1454"/>
    </row>
    <row r="16" spans="1:7">
      <c r="A16" s="1144" t="s">
        <v>235</v>
      </c>
      <c r="B16" s="268">
        <f>58129990.44</f>
        <v>58129990.439999998</v>
      </c>
      <c r="C16" s="256">
        <f>39638215.14</f>
        <v>39638215.140000001</v>
      </c>
      <c r="D16" s="282">
        <f>39643442.96</f>
        <v>39643442.960000001</v>
      </c>
      <c r="E16" s="1132">
        <v>0.17364954798968277</v>
      </c>
      <c r="F16" s="1450">
        <v>68.188924236816035</v>
      </c>
      <c r="G16" s="1454"/>
    </row>
    <row r="17" spans="1:7" ht="27">
      <c r="A17" s="1125" t="s">
        <v>363</v>
      </c>
      <c r="B17" s="268">
        <f>39149893</f>
        <v>39149893</v>
      </c>
      <c r="C17" s="256">
        <f>35379279.58</f>
        <v>35379279.579999998</v>
      </c>
      <c r="D17" s="282">
        <f>36043451.51</f>
        <v>36043451.509999998</v>
      </c>
      <c r="E17" s="1132">
        <v>0.15499173929927901</v>
      </c>
      <c r="F17" s="1450">
        <v>90.368777202021988</v>
      </c>
      <c r="G17" s="1454"/>
    </row>
    <row r="18" spans="1:7">
      <c r="A18" s="1144" t="s">
        <v>235</v>
      </c>
      <c r="B18" s="268">
        <f>85100</f>
        <v>85100</v>
      </c>
      <c r="C18" s="256">
        <f>72606.9</f>
        <v>72606.899999999994</v>
      </c>
      <c r="D18" s="282">
        <f>85100</f>
        <v>85100</v>
      </c>
      <c r="E18" s="1132">
        <v>3.1808080463261991E-4</v>
      </c>
      <c r="F18" s="1450">
        <v>85.31950646298472</v>
      </c>
      <c r="G18" s="1454"/>
    </row>
    <row r="19" spans="1:7" ht="27">
      <c r="A19" s="1125" t="s">
        <v>362</v>
      </c>
      <c r="B19" s="268">
        <f>75524673.22</f>
        <v>75524673.219999999</v>
      </c>
      <c r="C19" s="256">
        <f>62947548.92</f>
        <v>62947548.920000002</v>
      </c>
      <c r="D19" s="282">
        <f>63329879.91</f>
        <v>63329879.909999996</v>
      </c>
      <c r="E19" s="1132">
        <v>0.27576452114227168</v>
      </c>
      <c r="F19" s="1450">
        <v>83.346999379443332</v>
      </c>
      <c r="G19" s="1454"/>
    </row>
    <row r="20" spans="1:7">
      <c r="A20" s="1144" t="s">
        <v>235</v>
      </c>
      <c r="B20" s="268">
        <f>16923312.22</f>
        <v>16923312.219999999</v>
      </c>
      <c r="C20" s="256">
        <f>5763709.66</f>
        <v>5763709.6600000001</v>
      </c>
      <c r="D20" s="282">
        <f>5767958.66</f>
        <v>5767958.6600000001</v>
      </c>
      <c r="E20" s="1132">
        <v>2.5250016270101112E-2</v>
      </c>
      <c r="F20" s="1450">
        <v>34.057810817840007</v>
      </c>
      <c r="G20" s="1454"/>
    </row>
    <row r="21" spans="1:7" ht="27">
      <c r="A21" s="1125" t="s">
        <v>237</v>
      </c>
      <c r="B21" s="268">
        <f>181176714.32</f>
        <v>181176714.31999999</v>
      </c>
      <c r="C21" s="256">
        <f>161123944.44</f>
        <v>161123944.44</v>
      </c>
      <c r="D21" s="282">
        <f>161123944.44</f>
        <v>161123944.44</v>
      </c>
      <c r="E21" s="1132">
        <v>0.70586175546754859</v>
      </c>
      <c r="F21" s="1450">
        <v>88.931927618147355</v>
      </c>
      <c r="G21" s="1454"/>
    </row>
    <row r="22" spans="1:7">
      <c r="A22" s="1144" t="s">
        <v>235</v>
      </c>
      <c r="B22" s="268">
        <f>118103213.78</f>
        <v>118103213.78</v>
      </c>
      <c r="C22" s="256">
        <f>99792973.56</f>
        <v>99792973.560000002</v>
      </c>
      <c r="D22" s="282">
        <f>99792973.56</f>
        <v>99792973.560000002</v>
      </c>
      <c r="E22" s="1132">
        <v>0.43717923953021776</v>
      </c>
      <c r="F22" s="1450">
        <v>84.496408155236225</v>
      </c>
      <c r="G22" s="1454"/>
    </row>
    <row r="23" spans="1:7">
      <c r="A23" s="1125" t="s">
        <v>238</v>
      </c>
      <c r="B23" s="268">
        <f>57554000</f>
        <v>57554000</v>
      </c>
      <c r="C23" s="256">
        <f>57348965.14</f>
        <v>57348965.140000001</v>
      </c>
      <c r="D23" s="282">
        <f>57348965.14</f>
        <v>57348965.140000001</v>
      </c>
      <c r="E23" s="1132">
        <v>0.25123789855481055</v>
      </c>
      <c r="F23" s="1450">
        <v>99.643752197935854</v>
      </c>
      <c r="G23" s="1454"/>
    </row>
    <row r="24" spans="1:7">
      <c r="A24" s="1144" t="s">
        <v>235</v>
      </c>
      <c r="B24" s="268">
        <f>7977583</f>
        <v>7977583</v>
      </c>
      <c r="C24" s="256">
        <f>7969453.81</f>
        <v>7969453.8099999996</v>
      </c>
      <c r="D24" s="282">
        <f>7969453.81</f>
        <v>7969453.8099999996</v>
      </c>
      <c r="E24" s="1132">
        <v>3.4913076861390564E-2</v>
      </c>
      <c r="F24" s="1450">
        <v>99.898099587306078</v>
      </c>
      <c r="G24" s="1454"/>
    </row>
    <row r="25" spans="1:7" ht="40.5">
      <c r="A25" s="1125" t="s">
        <v>1101</v>
      </c>
      <c r="B25" s="268">
        <f>80422753</f>
        <v>80422753</v>
      </c>
      <c r="C25" s="256">
        <f>123520590.6</f>
        <v>123520590.59999999</v>
      </c>
      <c r="D25" s="282">
        <f>95541590.6</f>
        <v>95541590.599999994</v>
      </c>
      <c r="E25" s="1132">
        <v>0.5411266538957652</v>
      </c>
      <c r="F25" s="1450">
        <v>153.58911003705632</v>
      </c>
      <c r="G25" s="1454"/>
    </row>
    <row r="26" spans="1:7">
      <c r="A26" s="1144" t="s">
        <v>235</v>
      </c>
      <c r="B26" s="268">
        <f>78841081</f>
        <v>78841081</v>
      </c>
      <c r="C26" s="256">
        <f>121939293</f>
        <v>121939293</v>
      </c>
      <c r="D26" s="282">
        <f>93960293</f>
        <v>93960293</v>
      </c>
      <c r="E26" s="1132">
        <v>0.53419920742756954</v>
      </c>
      <c r="F26" s="1450">
        <v>154.66466397131211</v>
      </c>
      <c r="G26" s="1454"/>
    </row>
    <row r="27" spans="1:7">
      <c r="A27" s="1124" t="s">
        <v>239</v>
      </c>
      <c r="B27" s="267">
        <f>1171633246.17</f>
        <v>1171633246.1700001</v>
      </c>
      <c r="C27" s="253">
        <f>914349568.9</f>
        <v>914349568.89999998</v>
      </c>
      <c r="D27" s="281">
        <f>959814003.13</f>
        <v>959814003.13</v>
      </c>
      <c r="E27" s="1131">
        <v>4.0056392242500527</v>
      </c>
      <c r="F27" s="1449">
        <v>78.040596055886496</v>
      </c>
      <c r="G27" s="1454"/>
    </row>
    <row r="28" spans="1:7">
      <c r="A28" s="1144" t="s">
        <v>240</v>
      </c>
      <c r="B28" s="268">
        <f>617875895.06</f>
        <v>617875895.05999994</v>
      </c>
      <c r="C28" s="256">
        <f>433240083.41</f>
        <v>433240083.41000003</v>
      </c>
      <c r="D28" s="282">
        <f>458274456.41</f>
        <v>458274456.41000003</v>
      </c>
      <c r="E28" s="1132">
        <v>1.8979649913459491</v>
      </c>
      <c r="F28" s="1450">
        <v>70.117654188132633</v>
      </c>
      <c r="G28" s="1454"/>
    </row>
    <row r="29" spans="1:7">
      <c r="A29" s="1124" t="s">
        <v>241</v>
      </c>
      <c r="B29" s="267">
        <f>4291028875.95</f>
        <v>4291028875.9499998</v>
      </c>
      <c r="C29" s="253">
        <f>4088379114.07</f>
        <v>4088379114.0700002</v>
      </c>
      <c r="D29" s="281">
        <f>4146560135.85</f>
        <v>4146560135.8499999</v>
      </c>
      <c r="E29" s="1132">
        <v>17.910624448180318</v>
      </c>
      <c r="F29" s="1450">
        <v>95.277361962866422</v>
      </c>
      <c r="G29" s="1454"/>
    </row>
    <row r="30" spans="1:7">
      <c r="A30" s="1144" t="s">
        <v>242</v>
      </c>
      <c r="B30" s="268">
        <f>2681075385.47</f>
        <v>2681075385.4699998</v>
      </c>
      <c r="C30" s="256">
        <f>2599509861.18</f>
        <v>2599509861.1799998</v>
      </c>
      <c r="D30" s="282">
        <f>2615044011.3</f>
        <v>2615044011.3000002</v>
      </c>
      <c r="E30" s="1132">
        <v>11.38809380781392</v>
      </c>
      <c r="F30" s="1450">
        <v>96.957731038372074</v>
      </c>
      <c r="G30" s="1454"/>
    </row>
    <row r="31" spans="1:7" ht="27">
      <c r="A31" s="1124" t="s">
        <v>243</v>
      </c>
      <c r="B31" s="267">
        <f>B32+B33+B34+B35</f>
        <v>3656999719</v>
      </c>
      <c r="C31" s="253">
        <f>C32+C33+C34+C35</f>
        <v>3674095052</v>
      </c>
      <c r="D31" s="281">
        <f>D32+D33+D34+D35</f>
        <v>3667067290</v>
      </c>
      <c r="E31" s="1131">
        <v>16.095703169215152</v>
      </c>
      <c r="F31" s="1449">
        <v>100.46746880813747</v>
      </c>
      <c r="G31" s="1454"/>
    </row>
    <row r="32" spans="1:7">
      <c r="A32" s="1125" t="s">
        <v>245</v>
      </c>
      <c r="B32" s="268">
        <f>661051017</f>
        <v>661051017</v>
      </c>
      <c r="C32" s="256">
        <f>661051017</f>
        <v>661051017</v>
      </c>
      <c r="D32" s="282">
        <f>654023255</f>
        <v>654023255</v>
      </c>
      <c r="E32" s="1132">
        <v>2.8959732393281041</v>
      </c>
      <c r="F32" s="1450">
        <v>100</v>
      </c>
      <c r="G32" s="1454"/>
    </row>
    <row r="33" spans="1:14">
      <c r="A33" s="1125" t="s">
        <v>248</v>
      </c>
      <c r="B33" s="268">
        <f>638823295</f>
        <v>638823295</v>
      </c>
      <c r="C33" s="256">
        <f>638823295</f>
        <v>638823295</v>
      </c>
      <c r="D33" s="282">
        <f>638823295</f>
        <v>638823295</v>
      </c>
      <c r="E33" s="1132">
        <v>2.798596658054008</v>
      </c>
      <c r="F33" s="1450">
        <v>100</v>
      </c>
      <c r="G33" s="1454"/>
    </row>
    <row r="34" spans="1:14">
      <c r="A34" s="1125" t="s">
        <v>244</v>
      </c>
      <c r="B34" s="268">
        <f>1738734445</f>
        <v>1738734445</v>
      </c>
      <c r="C34" s="256">
        <f>1738734445</f>
        <v>1738734445</v>
      </c>
      <c r="D34" s="282">
        <f>1738734445</f>
        <v>1738734445</v>
      </c>
      <c r="E34" s="1132">
        <v>7.6171555500655161</v>
      </c>
      <c r="F34" s="1450">
        <v>100</v>
      </c>
      <c r="G34" s="1454"/>
    </row>
    <row r="35" spans="1:14">
      <c r="A35" s="1347" t="s">
        <v>249</v>
      </c>
      <c r="B35" s="1345">
        <f>618390962</f>
        <v>618390962</v>
      </c>
      <c r="C35" s="1333">
        <f>635486295</f>
        <v>635486295</v>
      </c>
      <c r="D35" s="1442">
        <f>635486295</f>
        <v>635486295</v>
      </c>
      <c r="E35" s="1479">
        <v>2.7839777217675246</v>
      </c>
      <c r="F35" s="1480">
        <v>102.76448623128486</v>
      </c>
      <c r="G35" s="1454"/>
      <c r="M35" s="1107"/>
    </row>
    <row r="36" spans="1:14">
      <c r="A36" s="1575"/>
      <c r="B36" s="1576"/>
      <c r="C36" s="1576"/>
      <c r="D36" s="1576"/>
      <c r="E36" s="1577"/>
      <c r="F36" s="1577"/>
      <c r="G36" s="1331"/>
      <c r="M36" s="1107"/>
    </row>
    <row r="37" spans="1:14">
      <c r="A37" s="1484"/>
      <c r="B37" s="1473"/>
      <c r="C37" s="1473"/>
      <c r="D37" s="1473"/>
      <c r="E37" s="1525"/>
      <c r="F37" s="1525"/>
      <c r="G37" s="1331"/>
      <c r="M37" s="1107"/>
    </row>
    <row r="38" spans="1:14">
      <c r="A38" s="1548" t="s">
        <v>1131</v>
      </c>
      <c r="B38" s="1471">
        <f>+B5</f>
        <v>21843643459.889999</v>
      </c>
      <c r="C38" s="1463">
        <f>+C5</f>
        <v>22826558202.360001</v>
      </c>
      <c r="D38" s="1464">
        <f>+D5</f>
        <v>22839517606.959999</v>
      </c>
      <c r="E38" s="1549">
        <v>100</v>
      </c>
      <c r="F38" s="1550">
        <v>104.49977470230577</v>
      </c>
      <c r="G38" s="1456"/>
      <c r="L38" s="1107"/>
      <c r="N38" s="31"/>
    </row>
    <row r="39" spans="1:14">
      <c r="A39" s="1300" t="s">
        <v>740</v>
      </c>
      <c r="B39" s="1299">
        <f>3977528406.47</f>
        <v>3977528406.4699998</v>
      </c>
      <c r="C39" s="1171">
        <f>3735061231.72</f>
        <v>3735061231.7199998</v>
      </c>
      <c r="D39" s="1172">
        <f>3747672724.76</f>
        <v>3747672724.7600002</v>
      </c>
      <c r="E39" s="1307">
        <v>16.362787585444387</v>
      </c>
      <c r="F39" s="1551">
        <v>93.904074340346796</v>
      </c>
      <c r="G39" s="1456"/>
      <c r="L39" s="1107"/>
      <c r="N39" s="31"/>
    </row>
    <row r="40" spans="1:14">
      <c r="A40" s="1301" t="s">
        <v>1132</v>
      </c>
      <c r="B40" s="1121">
        <f>B38-B39</f>
        <v>17866115053.419998</v>
      </c>
      <c r="C40" s="1112">
        <f>C38-C39</f>
        <v>19091496970.639999</v>
      </c>
      <c r="D40" s="1128">
        <f>D38-D39</f>
        <v>19091844882.199997</v>
      </c>
      <c r="E40" s="1133">
        <v>83.637212414555606</v>
      </c>
      <c r="F40" s="1451">
        <v>106.85869263438687</v>
      </c>
      <c r="G40" s="1523"/>
      <c r="H40" s="1090"/>
      <c r="I40" s="1091"/>
      <c r="J40" s="1091"/>
      <c r="K40" s="1096"/>
      <c r="L40" s="1107"/>
      <c r="N40" s="31"/>
    </row>
    <row r="41" spans="1:14">
      <c r="A41" s="1514"/>
      <c r="B41" s="1358"/>
      <c r="C41" s="1358"/>
      <c r="D41" s="1358"/>
      <c r="E41" s="1094"/>
      <c r="F41" s="1094"/>
      <c r="G41" s="1090"/>
      <c r="H41" s="1090"/>
      <c r="I41" s="1091"/>
      <c r="J41" s="1091"/>
      <c r="K41" s="1096"/>
      <c r="L41" s="1107"/>
      <c r="N41" s="31"/>
    </row>
    <row r="42" spans="1:14">
      <c r="A42" s="1092"/>
      <c r="B42" s="1088"/>
      <c r="C42" s="1089"/>
      <c r="D42" s="1089"/>
      <c r="E42" s="1093"/>
      <c r="F42" s="1093"/>
      <c r="G42" s="1093"/>
      <c r="H42" s="1093"/>
      <c r="I42" s="1093"/>
      <c r="J42" s="1091"/>
      <c r="K42" s="1091"/>
      <c r="L42" s="1096"/>
    </row>
    <row r="43" spans="1:14" ht="28.9" customHeight="1">
      <c r="A43" s="1692" t="s">
        <v>218</v>
      </c>
      <c r="B43" s="1699" t="s">
        <v>1080</v>
      </c>
      <c r="C43" s="1702" t="s">
        <v>1088</v>
      </c>
      <c r="D43" s="1702" t="s">
        <v>1089</v>
      </c>
      <c r="E43" s="1702" t="s">
        <v>250</v>
      </c>
      <c r="F43" s="1702"/>
      <c r="G43" s="1702"/>
      <c r="H43" s="1702" t="s">
        <v>1090</v>
      </c>
      <c r="I43" s="1707"/>
      <c r="J43" s="1710" t="s">
        <v>219</v>
      </c>
      <c r="K43" s="1713" t="s">
        <v>251</v>
      </c>
    </row>
    <row r="44" spans="1:14">
      <c r="A44" s="1698"/>
      <c r="B44" s="1700"/>
      <c r="C44" s="1703"/>
      <c r="D44" s="1705"/>
      <c r="E44" s="1705" t="s">
        <v>1091</v>
      </c>
      <c r="F44" s="1703" t="s">
        <v>252</v>
      </c>
      <c r="G44" s="1703"/>
      <c r="H44" s="1705"/>
      <c r="I44" s="1708"/>
      <c r="J44" s="1711"/>
      <c r="K44" s="1714"/>
      <c r="L44" s="1101"/>
    </row>
    <row r="45" spans="1:14" ht="54">
      <c r="A45" s="1698"/>
      <c r="B45" s="1701"/>
      <c r="C45" s="1704"/>
      <c r="D45" s="1706"/>
      <c r="E45" s="1704"/>
      <c r="F45" s="1184" t="s">
        <v>1092</v>
      </c>
      <c r="G45" s="1184" t="s">
        <v>1093</v>
      </c>
      <c r="H45" s="1706"/>
      <c r="I45" s="1709"/>
      <c r="J45" s="1712"/>
      <c r="K45" s="1715"/>
      <c r="L45" s="1101"/>
    </row>
    <row r="46" spans="1:14">
      <c r="A46" s="1925"/>
      <c r="B46" s="2318" t="s">
        <v>4</v>
      </c>
      <c r="C46" s="2319"/>
      <c r="D46" s="2319"/>
      <c r="E46" s="2319"/>
      <c r="F46" s="2319"/>
      <c r="G46" s="2319"/>
      <c r="H46" s="2319"/>
      <c r="I46" s="2320"/>
      <c r="J46" s="2321" t="s">
        <v>5</v>
      </c>
      <c r="K46" s="2322"/>
    </row>
    <row r="47" spans="1:14">
      <c r="A47" s="1328" t="s">
        <v>887</v>
      </c>
      <c r="B47" s="1327" t="s">
        <v>888</v>
      </c>
      <c r="C47" s="1294" t="s">
        <v>889</v>
      </c>
      <c r="D47" s="1294" t="s">
        <v>890</v>
      </c>
      <c r="E47" s="1295" t="s">
        <v>891</v>
      </c>
      <c r="F47" s="1295" t="s">
        <v>892</v>
      </c>
      <c r="G47" s="1294" t="s">
        <v>893</v>
      </c>
      <c r="H47" s="2323" t="s">
        <v>894</v>
      </c>
      <c r="I47" s="2324"/>
      <c r="J47" s="1293" t="s">
        <v>932</v>
      </c>
      <c r="K47" s="1296" t="s">
        <v>966</v>
      </c>
    </row>
    <row r="48" spans="1:14" ht="27">
      <c r="A48" s="1123" t="s">
        <v>253</v>
      </c>
      <c r="B48" s="1177">
        <f>22963188906.03</f>
        <v>22963188906.029999</v>
      </c>
      <c r="C48" s="1175">
        <f>20817345533.68</f>
        <v>20817345533.68</v>
      </c>
      <c r="D48" s="1175">
        <f>20802073580.95</f>
        <v>20802073580.950001</v>
      </c>
      <c r="E48" s="1175">
        <f>549347213.51</f>
        <v>549347213.50999999</v>
      </c>
      <c r="F48" s="1175">
        <f>0</f>
        <v>0</v>
      </c>
      <c r="G48" s="1175">
        <f>524894.98</f>
        <v>524894.98</v>
      </c>
      <c r="H48" s="1719">
        <f>363451148.69</f>
        <v>363451148.69</v>
      </c>
      <c r="I48" s="1720"/>
      <c r="J48" s="1181">
        <v>100</v>
      </c>
      <c r="K48" s="1176">
        <v>90.588783927512338</v>
      </c>
    </row>
    <row r="49" spans="1:12">
      <c r="A49" s="1124" t="s">
        <v>254</v>
      </c>
      <c r="B49" s="1344">
        <f>8535394050.21</f>
        <v>8535394050.21</v>
      </c>
      <c r="C49" s="1332">
        <f>7526549077.01</f>
        <v>7526549077.0100002</v>
      </c>
      <c r="D49" s="1332">
        <f>7511419380.98</f>
        <v>7511419380.9799995</v>
      </c>
      <c r="E49" s="1332">
        <f>145384234.19</f>
        <v>145384234.19</v>
      </c>
      <c r="F49" s="1332">
        <f>0</f>
        <v>0</v>
      </c>
      <c r="G49" s="1332">
        <f>522893.63</f>
        <v>522893.63</v>
      </c>
      <c r="H49" s="1936">
        <f>332197330.02</f>
        <v>332197330.01999998</v>
      </c>
      <c r="I49" s="1938"/>
      <c r="J49" s="1182">
        <v>36.108993421976756</v>
      </c>
      <c r="K49" s="1168">
        <v>88.003193956759304</v>
      </c>
    </row>
    <row r="50" spans="1:12">
      <c r="A50" s="1125" t="s">
        <v>255</v>
      </c>
      <c r="B50" s="268">
        <f>8117663387.21</f>
        <v>8117663387.21</v>
      </c>
      <c r="C50" s="256">
        <f>7112549954.23</f>
        <v>7112549954.2299995</v>
      </c>
      <c r="D50" s="256">
        <f>7097420258.2</f>
        <v>7097420258.1999998</v>
      </c>
      <c r="E50" s="256">
        <f>145384234.19</f>
        <v>145384234.19</v>
      </c>
      <c r="F50" s="256">
        <f>0</f>
        <v>0</v>
      </c>
      <c r="G50" s="256">
        <f>522893.63</f>
        <v>522893.63</v>
      </c>
      <c r="H50" s="1723">
        <f>332197330.02</f>
        <v>332197330.01999998</v>
      </c>
      <c r="I50" s="1724"/>
      <c r="J50" s="1183">
        <v>34.118811428008954</v>
      </c>
      <c r="K50" s="1147">
        <v>87.431812821686208</v>
      </c>
    </row>
    <row r="51" spans="1:12" ht="27">
      <c r="A51" s="1124" t="s">
        <v>256</v>
      </c>
      <c r="B51" s="1344">
        <f t="shared" ref="B51:H51" si="0">B48-B49</f>
        <v>14427794855.82</v>
      </c>
      <c r="C51" s="1332">
        <f t="shared" si="0"/>
        <v>13290796456.67</v>
      </c>
      <c r="D51" s="1332">
        <f t="shared" si="0"/>
        <v>13290654199.970001</v>
      </c>
      <c r="E51" s="1332">
        <f t="shared" si="0"/>
        <v>403962979.31999999</v>
      </c>
      <c r="F51" s="1332">
        <f t="shared" si="0"/>
        <v>0</v>
      </c>
      <c r="G51" s="1332">
        <f t="shared" si="0"/>
        <v>2001.3499999999767</v>
      </c>
      <c r="H51" s="1936">
        <f t="shared" si="0"/>
        <v>31253818.670000017</v>
      </c>
      <c r="I51" s="1938"/>
      <c r="J51" s="1182">
        <v>63.891006578023244</v>
      </c>
      <c r="K51" s="1168">
        <v>92.118402935350232</v>
      </c>
    </row>
    <row r="52" spans="1:12" ht="27">
      <c r="A52" s="1125" t="s">
        <v>257</v>
      </c>
      <c r="B52" s="268">
        <f>3579936234.26</f>
        <v>3579936234.2600002</v>
      </c>
      <c r="C52" s="256">
        <f>3419450107.56</f>
        <v>3419450107.5599999</v>
      </c>
      <c r="D52" s="256">
        <f>3419402769.52</f>
        <v>3419402769.52</v>
      </c>
      <c r="E52" s="256">
        <f>230644071.26</f>
        <v>230644071.25999999</v>
      </c>
      <c r="F52" s="256">
        <f>0</f>
        <v>0</v>
      </c>
      <c r="G52" s="256">
        <f>105</f>
        <v>105</v>
      </c>
      <c r="H52" s="1723">
        <f>0</f>
        <v>0</v>
      </c>
      <c r="I52" s="1724"/>
      <c r="J52" s="1183">
        <v>16.437797684993289</v>
      </c>
      <c r="K52" s="1147">
        <v>95.515745135243066</v>
      </c>
    </row>
    <row r="53" spans="1:12">
      <c r="A53" s="1125" t="s">
        <v>258</v>
      </c>
      <c r="B53" s="1344">
        <f>5855712323.19</f>
        <v>5855712323.1899996</v>
      </c>
      <c r="C53" s="1332">
        <f>5519929820.18999</f>
        <v>5519929820.18999</v>
      </c>
      <c r="D53" s="1332">
        <f>5519922243.05999</f>
        <v>5519922243.0599899</v>
      </c>
      <c r="E53" s="1332">
        <f>2763235.78</f>
        <v>2763235.78</v>
      </c>
      <c r="F53" s="1332">
        <f>0</f>
        <v>0</v>
      </c>
      <c r="G53" s="1332">
        <f>0</f>
        <v>0</v>
      </c>
      <c r="H53" s="1936">
        <f>9273369.17</f>
        <v>9273369.1699999999</v>
      </c>
      <c r="I53" s="1938"/>
      <c r="J53" s="1183">
        <v>26.535442351838384</v>
      </c>
      <c r="K53" s="1147">
        <v>94.265598075912962</v>
      </c>
    </row>
    <row r="54" spans="1:12">
      <c r="A54" s="1125" t="s">
        <v>259</v>
      </c>
      <c r="B54" s="268">
        <f>93871494</f>
        <v>93871494</v>
      </c>
      <c r="C54" s="256">
        <f>62055239.71</f>
        <v>62055239.710000001</v>
      </c>
      <c r="D54" s="256">
        <f>62055239.71</f>
        <v>62055239.710000001</v>
      </c>
      <c r="E54" s="256">
        <f>1345652.4</f>
        <v>1345652.4</v>
      </c>
      <c r="F54" s="256">
        <f>0</f>
        <v>0</v>
      </c>
      <c r="G54" s="256">
        <f>0</f>
        <v>0</v>
      </c>
      <c r="H54" s="1723">
        <f>0</f>
        <v>0</v>
      </c>
      <c r="I54" s="1724"/>
      <c r="J54" s="1183">
        <v>0.29831275939158575</v>
      </c>
      <c r="K54" s="1147">
        <v>66.106585786309097</v>
      </c>
    </row>
    <row r="55" spans="1:12">
      <c r="A55" s="1125" t="s">
        <v>260</v>
      </c>
      <c r="B55" s="1344">
        <f>46442980.4</f>
        <v>46442980.399999999</v>
      </c>
      <c r="C55" s="1332">
        <f>14636280.6</f>
        <v>14636280.6</v>
      </c>
      <c r="D55" s="1332">
        <f>14636280.6</f>
        <v>14636280.6</v>
      </c>
      <c r="E55" s="1332">
        <f>0</f>
        <v>0</v>
      </c>
      <c r="F55" s="1332">
        <f>0</f>
        <v>0</v>
      </c>
      <c r="G55" s="1332">
        <f>0</f>
        <v>0</v>
      </c>
      <c r="H55" s="1936">
        <f>0</f>
        <v>0</v>
      </c>
      <c r="I55" s="1938"/>
      <c r="J55" s="1183">
        <v>7.0359719395491058E-2</v>
      </c>
      <c r="K55" s="1147">
        <v>31.514516238927683</v>
      </c>
    </row>
    <row r="56" spans="1:12">
      <c r="A56" s="1125" t="s">
        <v>261</v>
      </c>
      <c r="B56" s="1344">
        <f>144463636.87</f>
        <v>144463636.87</v>
      </c>
      <c r="C56" s="1332">
        <f>121644596.34</f>
        <v>121644596.34</v>
      </c>
      <c r="D56" s="1332">
        <f>121644596.34</f>
        <v>121644596.34</v>
      </c>
      <c r="E56" s="1332">
        <f>2283229.47</f>
        <v>2283229.4700000002</v>
      </c>
      <c r="F56" s="1332">
        <f>0</f>
        <v>0</v>
      </c>
      <c r="G56" s="1332">
        <f>0</f>
        <v>0</v>
      </c>
      <c r="H56" s="1936">
        <f>0</f>
        <v>0</v>
      </c>
      <c r="I56" s="1937"/>
      <c r="J56" s="1183">
        <v>0.58477149341207491</v>
      </c>
      <c r="K56" s="1147">
        <v>84.204301494545362</v>
      </c>
    </row>
    <row r="57" spans="1:12">
      <c r="A57" s="1125" t="s">
        <v>262</v>
      </c>
      <c r="B57" s="268">
        <f t="shared" ref="B57:H57" si="1">B51-B52-B53-B54-B55-B56</f>
        <v>4707368187.1000004</v>
      </c>
      <c r="C57" s="256">
        <f t="shared" si="1"/>
        <v>4153080412.2700105</v>
      </c>
      <c r="D57" s="256">
        <f t="shared" si="1"/>
        <v>4152993070.7400107</v>
      </c>
      <c r="E57" s="1333">
        <f t="shared" si="1"/>
        <v>166926790.41</v>
      </c>
      <c r="F57" s="1333">
        <f t="shared" si="1"/>
        <v>0</v>
      </c>
      <c r="G57" s="1333">
        <f t="shared" si="1"/>
        <v>1896.3499999999767</v>
      </c>
      <c r="H57" s="1971">
        <f t="shared" si="1"/>
        <v>21980449.500000015</v>
      </c>
      <c r="I57" s="2328"/>
      <c r="J57" s="1461">
        <v>19.964322568992422</v>
      </c>
      <c r="K57" s="1477">
        <v>88.223247166448743</v>
      </c>
    </row>
    <row r="58" spans="1:12">
      <c r="A58" s="1336" t="s">
        <v>263</v>
      </c>
      <c r="B58" s="1418">
        <f>B5-B48</f>
        <v>-1119545446.1399994</v>
      </c>
      <c r="C58" s="1416"/>
      <c r="D58" s="1439">
        <f>C5-D48</f>
        <v>2024484621.4099998</v>
      </c>
      <c r="E58" s="1553"/>
      <c r="F58" s="1472"/>
      <c r="G58" s="1472"/>
      <c r="H58" s="2329"/>
      <c r="I58" s="2329"/>
      <c r="J58" s="1465"/>
      <c r="K58" s="1465"/>
      <c r="L58" s="1103"/>
    </row>
    <row r="59" spans="1:12" ht="40.5">
      <c r="A59" s="1414" t="s">
        <v>1134</v>
      </c>
      <c r="B59" s="1407">
        <f>+B40-B51</f>
        <v>3438320197.5999985</v>
      </c>
      <c r="C59" s="1417"/>
      <c r="D59" s="1552">
        <f>+C40-D51</f>
        <v>5800842770.6699982</v>
      </c>
      <c r="E59" s="1455"/>
      <c r="F59" s="1443"/>
      <c r="G59" s="1443"/>
      <c r="H59" s="2330"/>
      <c r="I59" s="2331"/>
      <c r="J59" s="1107"/>
      <c r="K59" s="1107"/>
      <c r="L59" s="1107"/>
    </row>
    <row r="60" spans="1:12">
      <c r="A60" s="1554"/>
      <c r="B60" s="1515"/>
      <c r="C60" s="1089"/>
      <c r="D60" s="1515"/>
      <c r="E60" s="1443"/>
      <c r="F60" s="1443"/>
      <c r="G60" s="1443"/>
      <c r="H60" s="1555"/>
      <c r="I60" s="1522"/>
      <c r="J60" s="1107"/>
      <c r="K60" s="1107"/>
      <c r="L60" s="1107"/>
    </row>
    <row r="61" spans="1:12">
      <c r="A61" s="1394"/>
      <c r="B61" s="1395"/>
      <c r="C61" s="1395"/>
      <c r="D61" s="1395"/>
      <c r="E61" s="1096"/>
      <c r="F61" s="1096"/>
      <c r="G61" s="1096"/>
      <c r="H61" s="1096"/>
      <c r="K61" s="1107"/>
      <c r="L61" s="1107"/>
    </row>
    <row r="62" spans="1:12">
      <c r="A62" s="1292" t="s">
        <v>1074</v>
      </c>
      <c r="B62" s="1395"/>
      <c r="C62" s="1395"/>
      <c r="D62" s="1395"/>
      <c r="E62" s="1096"/>
      <c r="F62" s="1096"/>
      <c r="G62" s="1096"/>
      <c r="H62" s="1096"/>
      <c r="K62" s="1107"/>
      <c r="L62" s="1107"/>
    </row>
    <row r="63" spans="1:12">
      <c r="A63" s="1392" t="s">
        <v>1135</v>
      </c>
      <c r="B63" s="1349">
        <f>7232453666.9</f>
        <v>7232453666.8999996</v>
      </c>
      <c r="C63" s="1350">
        <f>6235109150.03</f>
        <v>6235109150.0299997</v>
      </c>
      <c r="D63" s="1350">
        <f>6233101772.21</f>
        <v>6233101772.21</v>
      </c>
      <c r="E63" s="1350">
        <f>184065153.17</f>
        <v>184065153.16999999</v>
      </c>
      <c r="F63" s="1350">
        <f>0</f>
        <v>0</v>
      </c>
      <c r="G63" s="1350">
        <f>523847.63</f>
        <v>523847.63</v>
      </c>
      <c r="H63" s="2332">
        <f>25287071.79</f>
        <v>25287071.789999999</v>
      </c>
      <c r="I63" s="2333"/>
      <c r="J63" s="1165">
        <v>100</v>
      </c>
      <c r="K63" s="1166">
        <v>86.182394789978019</v>
      </c>
      <c r="L63" s="1107"/>
    </row>
    <row r="64" spans="1:12">
      <c r="A64" s="1404" t="s">
        <v>740</v>
      </c>
      <c r="B64" s="1405">
        <f>4583407272.07</f>
        <v>4583407272.0699997</v>
      </c>
      <c r="C64" s="1406">
        <f>4010349215.86</f>
        <v>4010349215.8600001</v>
      </c>
      <c r="D64" s="1406">
        <f>4008293311.55</f>
        <v>4008293311.5500002</v>
      </c>
      <c r="E64" s="1406">
        <f>128202699.74</f>
        <v>128202699.73999999</v>
      </c>
      <c r="F64" s="1406">
        <f>0</f>
        <v>0</v>
      </c>
      <c r="G64" s="1406">
        <f>522893.63</f>
        <v>522893.63</v>
      </c>
      <c r="H64" s="2334">
        <f>25266912.62</f>
        <v>25266912.620000001</v>
      </c>
      <c r="I64" s="2335"/>
      <c r="J64" s="1163">
        <v>64.30655968783941</v>
      </c>
      <c r="K64" s="1153">
        <v>87.452261464422264</v>
      </c>
    </row>
    <row r="65" spans="1:14">
      <c r="A65" s="1403" t="s">
        <v>739</v>
      </c>
      <c r="B65" s="1402">
        <f t="shared" ref="B65:H65" si="2">B63-B64</f>
        <v>2649046394.8299999</v>
      </c>
      <c r="C65" s="1401">
        <f t="shared" si="2"/>
        <v>2224759934.1699996</v>
      </c>
      <c r="D65" s="1401">
        <f t="shared" si="2"/>
        <v>2224808460.6599998</v>
      </c>
      <c r="E65" s="1401">
        <f t="shared" si="2"/>
        <v>55862453.429999992</v>
      </c>
      <c r="F65" s="1401">
        <f t="shared" si="2"/>
        <v>0</v>
      </c>
      <c r="G65" s="1401">
        <f t="shared" si="2"/>
        <v>954</v>
      </c>
      <c r="H65" s="2325">
        <f t="shared" si="2"/>
        <v>20159.169999998063</v>
      </c>
      <c r="I65" s="2326"/>
      <c r="J65" s="1164">
        <v>35.693440312160583</v>
      </c>
      <c r="K65" s="1150">
        <v>83.985258431186324</v>
      </c>
    </row>
    <row r="66" spans="1:14">
      <c r="A66" s="2327" t="s">
        <v>3</v>
      </c>
      <c r="B66" s="2327"/>
      <c r="C66" s="2327"/>
      <c r="D66" s="2327"/>
      <c r="E66" s="2327"/>
      <c r="F66" s="2327"/>
      <c r="G66" s="2327"/>
      <c r="H66" s="2327"/>
      <c r="I66" s="2327"/>
      <c r="J66" s="2327"/>
      <c r="K66" s="2327"/>
      <c r="L66" s="2327"/>
    </row>
    <row r="67" spans="1:14">
      <c r="A67" s="1441"/>
      <c r="B67" s="1441"/>
      <c r="C67" s="1441"/>
      <c r="D67" s="1441"/>
      <c r="E67" s="1441"/>
      <c r="F67" s="1441"/>
      <c r="G67" s="1441"/>
      <c r="H67" s="1441"/>
      <c r="I67" s="1441"/>
      <c r="J67" s="1441"/>
      <c r="K67" s="1441"/>
      <c r="L67" s="1441"/>
    </row>
    <row r="68" spans="1:14">
      <c r="A68" s="1441"/>
      <c r="B68" s="1441"/>
      <c r="C68" s="1441"/>
      <c r="D68" s="1441"/>
      <c r="E68" s="1441"/>
      <c r="F68" s="1441"/>
      <c r="G68" s="1441"/>
      <c r="H68" s="1441"/>
      <c r="I68" s="1441"/>
      <c r="J68" s="1441"/>
      <c r="K68" s="1441"/>
      <c r="L68" s="1441"/>
    </row>
    <row r="69" spans="1:14">
      <c r="A69" s="1441"/>
      <c r="B69" s="1441"/>
      <c r="C69" s="1441"/>
      <c r="D69" s="1441"/>
      <c r="E69" s="1441"/>
      <c r="F69" s="1441"/>
      <c r="G69" s="1441"/>
      <c r="H69" s="1441"/>
      <c r="I69" s="1441"/>
      <c r="J69" s="1441"/>
      <c r="K69" s="1441"/>
      <c r="L69" s="1441"/>
    </row>
    <row r="70" spans="1:14">
      <c r="A70" s="1441"/>
      <c r="B70" s="1441"/>
      <c r="C70" s="1441"/>
      <c r="D70" s="1441"/>
      <c r="E70" s="1441"/>
      <c r="F70" s="1441"/>
      <c r="G70" s="1441"/>
      <c r="H70" s="1441"/>
      <c r="I70" s="1441"/>
      <c r="J70" s="1441"/>
      <c r="K70" s="1441"/>
      <c r="L70" s="1441"/>
    </row>
    <row r="71" spans="1:14">
      <c r="A71" s="1441"/>
      <c r="B71" s="1441"/>
      <c r="C71" s="1441"/>
      <c r="D71" s="1441"/>
      <c r="E71" s="1441"/>
      <c r="F71" s="1441"/>
      <c r="G71" s="1441"/>
      <c r="H71" s="1441"/>
      <c r="I71" s="1441"/>
      <c r="J71" s="1441"/>
      <c r="K71" s="1441"/>
      <c r="L71" s="1441"/>
    </row>
    <row r="72" spans="1:14">
      <c r="A72" s="1441"/>
      <c r="B72" s="1441"/>
      <c r="C72" s="1441"/>
      <c r="D72" s="1441"/>
      <c r="E72" s="1441"/>
      <c r="F72" s="1441"/>
      <c r="G72" s="1441"/>
      <c r="H72" s="1441"/>
      <c r="I72" s="1441"/>
      <c r="J72" s="1441"/>
      <c r="K72" s="1441"/>
      <c r="L72" s="1441"/>
    </row>
    <row r="73" spans="1:14">
      <c r="A73" s="1441"/>
      <c r="B73" s="1441"/>
      <c r="C73" s="1441"/>
      <c r="D73" s="1441"/>
      <c r="E73" s="1441"/>
      <c r="F73" s="1441"/>
      <c r="G73" s="1441"/>
      <c r="H73" s="1441"/>
      <c r="I73" s="1441"/>
      <c r="J73" s="1441"/>
      <c r="K73" s="1441"/>
      <c r="L73" s="1441"/>
    </row>
    <row r="74" spans="1:14">
      <c r="A74" s="1441"/>
      <c r="B74" s="1441"/>
      <c r="C74" s="1441"/>
      <c r="D74" s="1441"/>
      <c r="E74" s="1441"/>
      <c r="F74" s="1441"/>
      <c r="G74" s="1441"/>
      <c r="H74" s="1441"/>
      <c r="I74" s="1441"/>
      <c r="J74" s="1441"/>
      <c r="K74" s="1441"/>
      <c r="L74" s="1441"/>
    </row>
    <row r="76" spans="1:14" ht="27">
      <c r="A76" s="1939" t="s">
        <v>68</v>
      </c>
      <c r="B76" s="1220" t="s">
        <v>1095</v>
      </c>
      <c r="C76" s="1368" t="s">
        <v>264</v>
      </c>
      <c r="D76" s="1369" t="s">
        <v>22</v>
      </c>
      <c r="E76" s="1217" t="s">
        <v>265</v>
      </c>
      <c r="M76" s="31"/>
      <c r="N76" s="31"/>
    </row>
    <row r="77" spans="1:14">
      <c r="A77" s="2339"/>
      <c r="B77" s="2340" t="s">
        <v>4</v>
      </c>
      <c r="C77" s="1944"/>
      <c r="D77" s="1941" t="s">
        <v>5</v>
      </c>
      <c r="E77" s="1942"/>
      <c r="M77" s="31"/>
      <c r="N77" s="31"/>
    </row>
    <row r="78" spans="1:14">
      <c r="A78" s="1200" t="s">
        <v>887</v>
      </c>
      <c r="B78" s="1198" t="s">
        <v>888</v>
      </c>
      <c r="C78" s="1206" t="s">
        <v>889</v>
      </c>
      <c r="D78" s="1210" t="s">
        <v>890</v>
      </c>
      <c r="E78" s="1197" t="s">
        <v>891</v>
      </c>
      <c r="M78" s="31"/>
      <c r="N78" s="31"/>
    </row>
    <row r="79" spans="1:14" ht="27">
      <c r="A79" s="1201" t="s">
        <v>266</v>
      </c>
      <c r="B79" s="1177">
        <f>2808742826.13</f>
        <v>2808742826.1300001</v>
      </c>
      <c r="C79" s="1207">
        <f>3425354006.75</f>
        <v>3425354006.75</v>
      </c>
      <c r="D79" s="1410">
        <v>100</v>
      </c>
      <c r="E79" s="1176">
        <v>121.95328012531471</v>
      </c>
      <c r="M79" s="31"/>
      <c r="N79" s="31"/>
    </row>
    <row r="80" spans="1:14" ht="27">
      <c r="A80" s="1202" t="s">
        <v>267</v>
      </c>
      <c r="B80" s="1199">
        <f>965866978</f>
        <v>965866978</v>
      </c>
      <c r="C80" s="533">
        <f>542003952.77</f>
        <v>542003952.76999998</v>
      </c>
      <c r="D80" s="1411">
        <v>15.823297437343044</v>
      </c>
      <c r="E80" s="1147">
        <v>56.115797010921312</v>
      </c>
      <c r="M80" s="31"/>
      <c r="N80" s="31"/>
    </row>
    <row r="81" spans="1:14">
      <c r="A81" s="1203" t="s">
        <v>268</v>
      </c>
      <c r="B81" s="1199">
        <f>140000000</f>
        <v>140000000</v>
      </c>
      <c r="C81" s="533">
        <f>125000000</f>
        <v>125000000</v>
      </c>
      <c r="D81" s="1411">
        <v>3.649257850536765</v>
      </c>
      <c r="E81" s="1147">
        <v>89.285714285714292</v>
      </c>
      <c r="M81" s="31"/>
      <c r="N81" s="31"/>
    </row>
    <row r="82" spans="1:14">
      <c r="A82" s="1202" t="s">
        <v>269</v>
      </c>
      <c r="B82" s="1199">
        <f>24866965.52</f>
        <v>24866965.52</v>
      </c>
      <c r="C82" s="533">
        <f>28556297.34</f>
        <v>28556297.34</v>
      </c>
      <c r="D82" s="1411">
        <v>0.83367433800205704</v>
      </c>
      <c r="E82" s="1147">
        <v>114.83627673441998</v>
      </c>
      <c r="M82" s="31"/>
      <c r="N82" s="31"/>
    </row>
    <row r="83" spans="1:14">
      <c r="A83" s="1202" t="s">
        <v>270</v>
      </c>
      <c r="B83" s="1199">
        <f>32859816</f>
        <v>32859816</v>
      </c>
      <c r="C83" s="533">
        <f>160039250.29</f>
        <v>160039250.28999999</v>
      </c>
      <c r="D83" s="1411">
        <v>4.6721959241184061</v>
      </c>
      <c r="E83" s="1147">
        <v>487.03635555962944</v>
      </c>
      <c r="M83" s="31"/>
      <c r="N83" s="31"/>
    </row>
    <row r="84" spans="1:14" ht="27">
      <c r="A84" s="1202" t="s">
        <v>1102</v>
      </c>
      <c r="B84" s="1199">
        <f>603483228.12</f>
        <v>603483228.12</v>
      </c>
      <c r="C84" s="533">
        <f>757569807.76</f>
        <v>757569807.75999999</v>
      </c>
      <c r="D84" s="1411">
        <v>22.116540546382463</v>
      </c>
      <c r="E84" s="1147">
        <v>125.53286859686523</v>
      </c>
      <c r="M84" s="31"/>
      <c r="N84" s="31"/>
    </row>
    <row r="85" spans="1:14">
      <c r="A85" s="1202" t="s">
        <v>272</v>
      </c>
      <c r="B85" s="1199">
        <f>0</f>
        <v>0</v>
      </c>
      <c r="C85" s="533">
        <f>0</f>
        <v>0</v>
      </c>
      <c r="D85" s="1411">
        <v>0</v>
      </c>
      <c r="E85" s="1147" t="s">
        <v>273</v>
      </c>
      <c r="M85" s="31"/>
      <c r="N85" s="31"/>
    </row>
    <row r="86" spans="1:14" ht="27">
      <c r="A86" s="1202" t="s">
        <v>689</v>
      </c>
      <c r="B86" s="1199">
        <f>881665838.49</f>
        <v>881665838.49000001</v>
      </c>
      <c r="C86" s="533">
        <f>1937184698.59</f>
        <v>1937184698.5899999</v>
      </c>
      <c r="D86" s="1411">
        <v>56.554291754154029</v>
      </c>
      <c r="E86" s="1147">
        <v>219.71869772200228</v>
      </c>
      <c r="M86" s="31"/>
      <c r="N86" s="31"/>
    </row>
    <row r="87" spans="1:14">
      <c r="A87" s="1203" t="s">
        <v>275</v>
      </c>
      <c r="B87" s="1199">
        <f>300000000</f>
        <v>300000000</v>
      </c>
      <c r="C87" s="533">
        <f>0</f>
        <v>0</v>
      </c>
      <c r="D87" s="1411">
        <v>0</v>
      </c>
      <c r="E87" s="1147">
        <v>0</v>
      </c>
      <c r="M87" s="31"/>
      <c r="N87" s="31"/>
    </row>
    <row r="88" spans="1:14" ht="27">
      <c r="A88" s="1204" t="s">
        <v>276</v>
      </c>
      <c r="B88" s="1179">
        <f>1552231473.99</f>
        <v>1552231473.99</v>
      </c>
      <c r="C88" s="1208">
        <f>1244926143.57</f>
        <v>1244926143.5699999</v>
      </c>
      <c r="D88" s="1412">
        <v>100</v>
      </c>
      <c r="E88" s="1168">
        <v>80.202351545541475</v>
      </c>
      <c r="M88" s="31"/>
      <c r="N88" s="31"/>
    </row>
    <row r="89" spans="1:14" ht="27">
      <c r="A89" s="1202" t="s">
        <v>277</v>
      </c>
      <c r="B89" s="1199">
        <f>986748351</f>
        <v>986748351</v>
      </c>
      <c r="C89" s="533">
        <f>982111265.6</f>
        <v>982111265.60000002</v>
      </c>
      <c r="D89" s="1411">
        <v>78.889118898544339</v>
      </c>
      <c r="E89" s="1147">
        <v>99.530064033519722</v>
      </c>
      <c r="M89" s="31"/>
      <c r="N89" s="31"/>
    </row>
    <row r="90" spans="1:14">
      <c r="A90" s="1202" t="s">
        <v>278</v>
      </c>
      <c r="B90" s="1199">
        <f>1750000</f>
        <v>1750000</v>
      </c>
      <c r="C90" s="533">
        <f>1750000</f>
        <v>1750000</v>
      </c>
      <c r="D90" s="1411">
        <v>0.14057058798537478</v>
      </c>
      <c r="E90" s="1147">
        <v>100</v>
      </c>
      <c r="M90" s="31"/>
      <c r="N90" s="31"/>
    </row>
    <row r="91" spans="1:14">
      <c r="A91" s="1202" t="s">
        <v>279</v>
      </c>
      <c r="B91" s="1199">
        <f>110483122.99</f>
        <v>110483122.98999999</v>
      </c>
      <c r="C91" s="533">
        <f>107814877.97</f>
        <v>107814877.97</v>
      </c>
      <c r="D91" s="1411">
        <v>8.6603433084653325</v>
      </c>
      <c r="E91" s="1147">
        <v>97.584929763216863</v>
      </c>
      <c r="M91" s="31"/>
      <c r="N91" s="31"/>
    </row>
    <row r="92" spans="1:14">
      <c r="A92" s="1205" t="s">
        <v>280</v>
      </c>
      <c r="B92" s="1157">
        <f>455000000</f>
        <v>455000000</v>
      </c>
      <c r="C92" s="1162">
        <f>155000000</f>
        <v>155000000</v>
      </c>
      <c r="D92" s="1413">
        <v>12.450537792990339</v>
      </c>
      <c r="E92" s="1150">
        <v>34.065934065934066</v>
      </c>
      <c r="M92" s="31"/>
      <c r="N92" s="31"/>
    </row>
  </sheetData>
  <mergeCells count="36">
    <mergeCell ref="A1:G1"/>
    <mergeCell ref="A76:A77"/>
    <mergeCell ref="B77:C77"/>
    <mergeCell ref="A2:A3"/>
    <mergeCell ref="B3:D3"/>
    <mergeCell ref="E3:G3"/>
    <mergeCell ref="A43:A46"/>
    <mergeCell ref="B43:B45"/>
    <mergeCell ref="C43:C45"/>
    <mergeCell ref="D43:D45"/>
    <mergeCell ref="E43:G43"/>
    <mergeCell ref="H65:I65"/>
    <mergeCell ref="A66:L66"/>
    <mergeCell ref="D77:E77"/>
    <mergeCell ref="H57:I57"/>
    <mergeCell ref="H58:I58"/>
    <mergeCell ref="H59:I59"/>
    <mergeCell ref="H63:I63"/>
    <mergeCell ref="H64:I64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K43:K45"/>
    <mergeCell ref="E44:E45"/>
    <mergeCell ref="F44:G44"/>
    <mergeCell ref="B46:I46"/>
    <mergeCell ref="J46:K46"/>
    <mergeCell ref="H43:I45"/>
    <mergeCell ref="J43:J45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3" orientation="landscape" r:id="rId1"/>
  <headerFooter alignWithMargins="0"/>
  <rowBreaks count="1" manualBreakCount="1">
    <brk id="36" max="16383" man="1"/>
  </rowBreaks>
  <legacy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75"/>
  <sheetViews>
    <sheetView showGridLines="0" topLeftCell="A24" zoomScaleNormal="100" zoomScaleSheetLayoutView="50" workbookViewId="0">
      <selection activeCell="C4" sqref="C4:N4"/>
    </sheetView>
  </sheetViews>
  <sheetFormatPr defaultColWidth="9.140625" defaultRowHeight="13.5"/>
  <cols>
    <col min="1" max="1" width="31.7109375" style="1223" customWidth="1"/>
    <col min="2" max="3" width="11.42578125" style="1223" bestFit="1" customWidth="1"/>
    <col min="4" max="4" width="10.28515625" style="1223" bestFit="1" customWidth="1"/>
    <col min="5" max="5" width="12" style="1223" customWidth="1"/>
    <col min="6" max="6" width="11.42578125" style="1223" bestFit="1" customWidth="1"/>
    <col min="7" max="7" width="10.28515625" style="1223" bestFit="1" customWidth="1"/>
    <col min="8" max="8" width="9.28515625" style="1223" bestFit="1" customWidth="1"/>
    <col min="9" max="9" width="11.7109375" style="1223" customWidth="1"/>
    <col min="10" max="10" width="11.42578125" style="1223" bestFit="1" customWidth="1"/>
    <col min="11" max="11" width="12.140625" style="1223" customWidth="1"/>
    <col min="12" max="12" width="12.28515625" style="1223" customWidth="1"/>
    <col min="13" max="13" width="10.28515625" style="1223" bestFit="1" customWidth="1"/>
    <col min="14" max="14" width="12.140625" style="1223" customWidth="1"/>
    <col min="15" max="16" width="11.42578125" style="1223" bestFit="1" customWidth="1"/>
    <col min="17" max="17" width="9.28515625" style="1223" bestFit="1" customWidth="1"/>
    <col min="18" max="16384" width="9.140625" style="1223"/>
  </cols>
  <sheetData>
    <row r="2" spans="1:17">
      <c r="A2" s="1749" t="s">
        <v>281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</row>
    <row r="3" spans="1:17">
      <c r="B3" s="1224"/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</row>
    <row r="4" spans="1:17">
      <c r="A4" s="1751" t="s">
        <v>68</v>
      </c>
      <c r="B4" s="1751" t="s">
        <v>282</v>
      </c>
      <c r="C4" s="1754" t="s">
        <v>283</v>
      </c>
      <c r="D4" s="1755"/>
      <c r="E4" s="1755"/>
      <c r="F4" s="1755"/>
      <c r="G4" s="1755"/>
      <c r="H4" s="1755"/>
      <c r="I4" s="1755"/>
      <c r="J4" s="1755"/>
      <c r="K4" s="1755"/>
      <c r="L4" s="1755"/>
      <c r="M4" s="1755"/>
      <c r="N4" s="1756"/>
      <c r="O4" s="1757" t="s">
        <v>284</v>
      </c>
      <c r="P4" s="1755"/>
      <c r="Q4" s="1758"/>
    </row>
    <row r="5" spans="1:17">
      <c r="A5" s="1752"/>
      <c r="B5" s="1752"/>
      <c r="C5" s="1759" t="s">
        <v>285</v>
      </c>
      <c r="D5" s="1745" t="s">
        <v>286</v>
      </c>
      <c r="E5" s="1745" t="s">
        <v>287</v>
      </c>
      <c r="F5" s="1745" t="s">
        <v>288</v>
      </c>
      <c r="G5" s="1745" t="s">
        <v>289</v>
      </c>
      <c r="H5" s="1745" t="s">
        <v>290</v>
      </c>
      <c r="I5" s="1745" t="s">
        <v>291</v>
      </c>
      <c r="J5" s="1745" t="s">
        <v>292</v>
      </c>
      <c r="K5" s="1745" t="s">
        <v>293</v>
      </c>
      <c r="L5" s="1745" t="s">
        <v>294</v>
      </c>
      <c r="M5" s="1745" t="s">
        <v>295</v>
      </c>
      <c r="N5" s="1761" t="s">
        <v>296</v>
      </c>
      <c r="O5" s="1743" t="s">
        <v>297</v>
      </c>
      <c r="P5" s="1745" t="s">
        <v>298</v>
      </c>
      <c r="Q5" s="1747" t="s">
        <v>299</v>
      </c>
    </row>
    <row r="6" spans="1:17">
      <c r="A6" s="1752"/>
      <c r="B6" s="1752"/>
      <c r="C6" s="1759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61"/>
      <c r="O6" s="1743"/>
      <c r="P6" s="1745"/>
      <c r="Q6" s="1747"/>
    </row>
    <row r="7" spans="1:17">
      <c r="A7" s="1752"/>
      <c r="B7" s="1752"/>
      <c r="C7" s="1759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61"/>
      <c r="O7" s="1743"/>
      <c r="P7" s="1745"/>
      <c r="Q7" s="1747"/>
    </row>
    <row r="8" spans="1:17" ht="39.6" customHeight="1">
      <c r="A8" s="1752"/>
      <c r="B8" s="1753"/>
      <c r="C8" s="1765"/>
      <c r="D8" s="1766"/>
      <c r="E8" s="1766"/>
      <c r="F8" s="1766"/>
      <c r="G8" s="1766"/>
      <c r="H8" s="1766"/>
      <c r="I8" s="1766"/>
      <c r="J8" s="1766"/>
      <c r="K8" s="1766"/>
      <c r="L8" s="1766"/>
      <c r="M8" s="1766"/>
      <c r="N8" s="1957"/>
      <c r="O8" s="1744"/>
      <c r="P8" s="1746"/>
      <c r="Q8" s="1748"/>
    </row>
    <row r="9" spans="1:17">
      <c r="A9" s="1753"/>
      <c r="B9" s="1977" t="s">
        <v>4</v>
      </c>
      <c r="C9" s="1959"/>
      <c r="D9" s="1959"/>
      <c r="E9" s="1959"/>
      <c r="F9" s="1959"/>
      <c r="G9" s="1959"/>
      <c r="H9" s="1959"/>
      <c r="I9" s="1959"/>
      <c r="J9" s="1959"/>
      <c r="K9" s="1959"/>
      <c r="L9" s="1959"/>
      <c r="M9" s="1959"/>
      <c r="N9" s="1959"/>
      <c r="O9" s="1959"/>
      <c r="P9" s="1959"/>
      <c r="Q9" s="1960"/>
    </row>
    <row r="10" spans="1:17">
      <c r="A10" s="1267" t="s">
        <v>887</v>
      </c>
      <c r="B10" s="1287" t="s">
        <v>888</v>
      </c>
      <c r="C10" s="1262" t="s">
        <v>889</v>
      </c>
      <c r="D10" s="1263" t="s">
        <v>890</v>
      </c>
      <c r="E10" s="1263" t="s">
        <v>891</v>
      </c>
      <c r="F10" s="1263" t="s">
        <v>892</v>
      </c>
      <c r="G10" s="1263" t="s">
        <v>893</v>
      </c>
      <c r="H10" s="1263" t="s">
        <v>894</v>
      </c>
      <c r="I10" s="1263" t="s">
        <v>932</v>
      </c>
      <c r="J10" s="1263" t="s">
        <v>966</v>
      </c>
      <c r="K10" s="1263" t="s">
        <v>967</v>
      </c>
      <c r="L10" s="1263" t="s">
        <v>969</v>
      </c>
      <c r="M10" s="1263" t="s">
        <v>1070</v>
      </c>
      <c r="N10" s="1264" t="s">
        <v>1096</v>
      </c>
      <c r="O10" s="1380" t="s">
        <v>1097</v>
      </c>
      <c r="P10" s="1285" t="s">
        <v>1098</v>
      </c>
      <c r="Q10" s="1286" t="s">
        <v>1099</v>
      </c>
    </row>
    <row r="11" spans="1:17" ht="27">
      <c r="A11" s="1374" t="s">
        <v>300</v>
      </c>
      <c r="B11" s="1252">
        <f>5686343205.78</f>
        <v>5686343205.7799997</v>
      </c>
      <c r="C11" s="1237">
        <f>3437347187.44</f>
        <v>3437347187.4400001</v>
      </c>
      <c r="D11" s="1232">
        <f>197919781.73</f>
        <v>197919781.72999999</v>
      </c>
      <c r="E11" s="1232">
        <f>194000423.35</f>
        <v>194000423.34999999</v>
      </c>
      <c r="F11" s="1232">
        <f>0</f>
        <v>0</v>
      </c>
      <c r="G11" s="1232">
        <f>3919358.38</f>
        <v>3919358.38</v>
      </c>
      <c r="H11" s="1232">
        <f>0</f>
        <v>0</v>
      </c>
      <c r="I11" s="1232">
        <f>0</f>
        <v>0</v>
      </c>
      <c r="J11" s="1232">
        <f>2993152180.28</f>
        <v>2993152180.2800002</v>
      </c>
      <c r="K11" s="1232">
        <f>0</f>
        <v>0</v>
      </c>
      <c r="L11" s="1232">
        <f>245943199.91</f>
        <v>245943199.91</v>
      </c>
      <c r="M11" s="1232">
        <f>324093.16</f>
        <v>324093.15999999997</v>
      </c>
      <c r="N11" s="1246">
        <f>7932.36</f>
        <v>7932.36</v>
      </c>
      <c r="O11" s="1249">
        <f>2248996018.34</f>
        <v>2248996018.3400002</v>
      </c>
      <c r="P11" s="1232">
        <f>2248996018.34</f>
        <v>2248996018.3400002</v>
      </c>
      <c r="Q11" s="1233">
        <f>0</f>
        <v>0</v>
      </c>
    </row>
    <row r="12" spans="1:17" ht="27">
      <c r="A12" s="1243" t="s">
        <v>367</v>
      </c>
      <c r="B12" s="1253">
        <f>232750000</f>
        <v>232750000</v>
      </c>
      <c r="C12" s="1238">
        <f>232750000</f>
        <v>232750000</v>
      </c>
      <c r="D12" s="1228">
        <f>0</f>
        <v>0</v>
      </c>
      <c r="E12" s="1228">
        <f>0</f>
        <v>0</v>
      </c>
      <c r="F12" s="1228">
        <f>0</f>
        <v>0</v>
      </c>
      <c r="G12" s="1228">
        <f>0</f>
        <v>0</v>
      </c>
      <c r="H12" s="1228">
        <f>0</f>
        <v>0</v>
      </c>
      <c r="I12" s="1228">
        <f>0</f>
        <v>0</v>
      </c>
      <c r="J12" s="1228">
        <f>232750000</f>
        <v>232750000</v>
      </c>
      <c r="K12" s="1228">
        <f>0</f>
        <v>0</v>
      </c>
      <c r="L12" s="1228">
        <f>0</f>
        <v>0</v>
      </c>
      <c r="M12" s="1228">
        <f>0</f>
        <v>0</v>
      </c>
      <c r="N12" s="1247">
        <f>0</f>
        <v>0</v>
      </c>
      <c r="O12" s="1250">
        <f>0</f>
        <v>0</v>
      </c>
      <c r="P12" s="1228">
        <f>0</f>
        <v>0</v>
      </c>
      <c r="Q12" s="1229">
        <f>0</f>
        <v>0</v>
      </c>
    </row>
    <row r="13" spans="1:17">
      <c r="A13" s="1242" t="s">
        <v>711</v>
      </c>
      <c r="B13" s="1253">
        <f>0</f>
        <v>0</v>
      </c>
      <c r="C13" s="1238">
        <f>0</f>
        <v>0</v>
      </c>
      <c r="D13" s="1228">
        <f>0</f>
        <v>0</v>
      </c>
      <c r="E13" s="1228">
        <f>0</f>
        <v>0</v>
      </c>
      <c r="F13" s="1228">
        <f>0</f>
        <v>0</v>
      </c>
      <c r="G13" s="1228">
        <f>0</f>
        <v>0</v>
      </c>
      <c r="H13" s="1228">
        <f>0</f>
        <v>0</v>
      </c>
      <c r="I13" s="1228">
        <f>0</f>
        <v>0</v>
      </c>
      <c r="J13" s="1228">
        <f>0</f>
        <v>0</v>
      </c>
      <c r="K13" s="1228">
        <f>0</f>
        <v>0</v>
      </c>
      <c r="L13" s="1228">
        <f>0</f>
        <v>0</v>
      </c>
      <c r="M13" s="1228">
        <f>0</f>
        <v>0</v>
      </c>
      <c r="N13" s="1247">
        <f>0</f>
        <v>0</v>
      </c>
      <c r="O13" s="1250">
        <f>0</f>
        <v>0</v>
      </c>
      <c r="P13" s="1228">
        <f>0</f>
        <v>0</v>
      </c>
      <c r="Q13" s="1229">
        <f>0</f>
        <v>0</v>
      </c>
    </row>
    <row r="14" spans="1:17">
      <c r="A14" s="1242" t="s">
        <v>302</v>
      </c>
      <c r="B14" s="1253">
        <f>232750000</f>
        <v>232750000</v>
      </c>
      <c r="C14" s="1238">
        <f>232750000</f>
        <v>232750000</v>
      </c>
      <c r="D14" s="1228">
        <f>0</f>
        <v>0</v>
      </c>
      <c r="E14" s="1228">
        <f>0</f>
        <v>0</v>
      </c>
      <c r="F14" s="1228">
        <f>0</f>
        <v>0</v>
      </c>
      <c r="G14" s="1228">
        <f>0</f>
        <v>0</v>
      </c>
      <c r="H14" s="1228">
        <f>0</f>
        <v>0</v>
      </c>
      <c r="I14" s="1228">
        <f>0</f>
        <v>0</v>
      </c>
      <c r="J14" s="1228">
        <f>232750000</f>
        <v>232750000</v>
      </c>
      <c r="K14" s="1228">
        <f>0</f>
        <v>0</v>
      </c>
      <c r="L14" s="1228">
        <f>0</f>
        <v>0</v>
      </c>
      <c r="M14" s="1228">
        <f>0</f>
        <v>0</v>
      </c>
      <c r="N14" s="1247">
        <f>0</f>
        <v>0</v>
      </c>
      <c r="O14" s="1250">
        <f>0</f>
        <v>0</v>
      </c>
      <c r="P14" s="1228">
        <f>0</f>
        <v>0</v>
      </c>
      <c r="Q14" s="1229">
        <f>0</f>
        <v>0</v>
      </c>
    </row>
    <row r="15" spans="1:17" ht="27">
      <c r="A15" s="1243" t="s">
        <v>366</v>
      </c>
      <c r="B15" s="1253">
        <f>5452559724.14</f>
        <v>5452559724.1400003</v>
      </c>
      <c r="C15" s="1238">
        <f>3203563705.8</f>
        <v>3203563705.8000002</v>
      </c>
      <c r="D15" s="1228">
        <f>197887865.52</f>
        <v>197887865.52000001</v>
      </c>
      <c r="E15" s="1228">
        <f>194000000</f>
        <v>194000000</v>
      </c>
      <c r="F15" s="1228">
        <f>0</f>
        <v>0</v>
      </c>
      <c r="G15" s="1228">
        <f>3887865.52</f>
        <v>3887865.52</v>
      </c>
      <c r="H15" s="1228">
        <f>0</f>
        <v>0</v>
      </c>
      <c r="I15" s="1228">
        <f>0</f>
        <v>0</v>
      </c>
      <c r="J15" s="1228">
        <f>2760389190.28</f>
        <v>2760389190.2800002</v>
      </c>
      <c r="K15" s="1228">
        <f>0</f>
        <v>0</v>
      </c>
      <c r="L15" s="1228">
        <f>245286650</f>
        <v>245286650</v>
      </c>
      <c r="M15" s="1228">
        <f>0</f>
        <v>0</v>
      </c>
      <c r="N15" s="1247">
        <f>0</f>
        <v>0</v>
      </c>
      <c r="O15" s="1250">
        <f>2248996018.34</f>
        <v>2248996018.3400002</v>
      </c>
      <c r="P15" s="1228">
        <f>2248996018.34</f>
        <v>2248996018.3400002</v>
      </c>
      <c r="Q15" s="1229">
        <f>0</f>
        <v>0</v>
      </c>
    </row>
    <row r="16" spans="1:17">
      <c r="A16" s="1242" t="s">
        <v>710</v>
      </c>
      <c r="B16" s="1253">
        <f>0</f>
        <v>0</v>
      </c>
      <c r="C16" s="1238">
        <f>0</f>
        <v>0</v>
      </c>
      <c r="D16" s="1228">
        <f>0</f>
        <v>0</v>
      </c>
      <c r="E16" s="1228">
        <f>0</f>
        <v>0</v>
      </c>
      <c r="F16" s="1228">
        <f>0</f>
        <v>0</v>
      </c>
      <c r="G16" s="1228">
        <f>0</f>
        <v>0</v>
      </c>
      <c r="H16" s="1228">
        <f>0</f>
        <v>0</v>
      </c>
      <c r="I16" s="1228">
        <f>0</f>
        <v>0</v>
      </c>
      <c r="J16" s="1228">
        <f>0</f>
        <v>0</v>
      </c>
      <c r="K16" s="1228">
        <f>0</f>
        <v>0</v>
      </c>
      <c r="L16" s="1228">
        <f>0</f>
        <v>0</v>
      </c>
      <c r="M16" s="1228">
        <f>0</f>
        <v>0</v>
      </c>
      <c r="N16" s="1247">
        <f>0</f>
        <v>0</v>
      </c>
      <c r="O16" s="1250">
        <f>0</f>
        <v>0</v>
      </c>
      <c r="P16" s="1228">
        <f>0</f>
        <v>0</v>
      </c>
      <c r="Q16" s="1229">
        <f>0</f>
        <v>0</v>
      </c>
    </row>
    <row r="17" spans="1:17">
      <c r="A17" s="1242" t="s">
        <v>304</v>
      </c>
      <c r="B17" s="1253">
        <f>5452559724.14</f>
        <v>5452559724.1400003</v>
      </c>
      <c r="C17" s="1238">
        <f>3203563705.8</f>
        <v>3203563705.8000002</v>
      </c>
      <c r="D17" s="1228">
        <f>197887865.52</f>
        <v>197887865.52000001</v>
      </c>
      <c r="E17" s="1228">
        <f>194000000</f>
        <v>194000000</v>
      </c>
      <c r="F17" s="1228">
        <f>0</f>
        <v>0</v>
      </c>
      <c r="G17" s="1228">
        <f>3887865.52</f>
        <v>3887865.52</v>
      </c>
      <c r="H17" s="1228">
        <f>0</f>
        <v>0</v>
      </c>
      <c r="I17" s="1228">
        <f>0</f>
        <v>0</v>
      </c>
      <c r="J17" s="1228">
        <f>2760389190.28</f>
        <v>2760389190.2800002</v>
      </c>
      <c r="K17" s="1228">
        <f>0</f>
        <v>0</v>
      </c>
      <c r="L17" s="1228">
        <f>245286650</f>
        <v>245286650</v>
      </c>
      <c r="M17" s="1228">
        <f>0</f>
        <v>0</v>
      </c>
      <c r="N17" s="1247">
        <f>0</f>
        <v>0</v>
      </c>
      <c r="O17" s="1250">
        <f>2248996018.34</f>
        <v>2248996018.3400002</v>
      </c>
      <c r="P17" s="1228">
        <f>2248996018.34</f>
        <v>2248996018.3400002</v>
      </c>
      <c r="Q17" s="1229">
        <f>0</f>
        <v>0</v>
      </c>
    </row>
    <row r="18" spans="1:17">
      <c r="A18" s="1243" t="s">
        <v>305</v>
      </c>
      <c r="B18" s="1253">
        <f>0</f>
        <v>0</v>
      </c>
      <c r="C18" s="1238">
        <f>0</f>
        <v>0</v>
      </c>
      <c r="D18" s="1228">
        <f>0</f>
        <v>0</v>
      </c>
      <c r="E18" s="1228">
        <f>0</f>
        <v>0</v>
      </c>
      <c r="F18" s="1228">
        <f>0</f>
        <v>0</v>
      </c>
      <c r="G18" s="1228">
        <f>0</f>
        <v>0</v>
      </c>
      <c r="H18" s="1228">
        <f>0</f>
        <v>0</v>
      </c>
      <c r="I18" s="1228">
        <f>0</f>
        <v>0</v>
      </c>
      <c r="J18" s="1228">
        <f>0</f>
        <v>0</v>
      </c>
      <c r="K18" s="1228">
        <f>0</f>
        <v>0</v>
      </c>
      <c r="L18" s="1228">
        <f>0</f>
        <v>0</v>
      </c>
      <c r="M18" s="1228">
        <f>0</f>
        <v>0</v>
      </c>
      <c r="N18" s="1247">
        <f>0</f>
        <v>0</v>
      </c>
      <c r="O18" s="1250">
        <f>0</f>
        <v>0</v>
      </c>
      <c r="P18" s="1228">
        <f>0</f>
        <v>0</v>
      </c>
      <c r="Q18" s="1229">
        <f>0</f>
        <v>0</v>
      </c>
    </row>
    <row r="19" spans="1:17" ht="27">
      <c r="A19" s="1243" t="s">
        <v>365</v>
      </c>
      <c r="B19" s="1253">
        <f>1033481.64</f>
        <v>1033481.64</v>
      </c>
      <c r="C19" s="1238">
        <f>1033481.64</f>
        <v>1033481.64</v>
      </c>
      <c r="D19" s="1228">
        <f>31916.21</f>
        <v>31916.21</v>
      </c>
      <c r="E19" s="1228">
        <f>423.35</f>
        <v>423.35</v>
      </c>
      <c r="F19" s="1228">
        <f>0</f>
        <v>0</v>
      </c>
      <c r="G19" s="1228">
        <f>31492.86</f>
        <v>31492.86</v>
      </c>
      <c r="H19" s="1228">
        <f>0</f>
        <v>0</v>
      </c>
      <c r="I19" s="1228">
        <f>0</f>
        <v>0</v>
      </c>
      <c r="J19" s="1228">
        <f>12990</f>
        <v>12990</v>
      </c>
      <c r="K19" s="1228">
        <f>0</f>
        <v>0</v>
      </c>
      <c r="L19" s="1228">
        <f>656549.91</f>
        <v>656549.91</v>
      </c>
      <c r="M19" s="1228">
        <f>324093.16</f>
        <v>324093.15999999997</v>
      </c>
      <c r="N19" s="1247">
        <f>7932.36</f>
        <v>7932.36</v>
      </c>
      <c r="O19" s="1250">
        <f>0</f>
        <v>0</v>
      </c>
      <c r="P19" s="1228">
        <f>0</f>
        <v>0</v>
      </c>
      <c r="Q19" s="1229">
        <f>0</f>
        <v>0</v>
      </c>
    </row>
    <row r="20" spans="1:17">
      <c r="A20" s="1242" t="s">
        <v>307</v>
      </c>
      <c r="B20" s="1253">
        <f>742220.33</f>
        <v>742220.33</v>
      </c>
      <c r="C20" s="1238">
        <f>742220.33</f>
        <v>742220.33</v>
      </c>
      <c r="D20" s="1228">
        <f>30538.86</f>
        <v>30538.86</v>
      </c>
      <c r="E20" s="1228">
        <f>0</f>
        <v>0</v>
      </c>
      <c r="F20" s="1228">
        <f>0</f>
        <v>0</v>
      </c>
      <c r="G20" s="1228">
        <f>30538.86</f>
        <v>30538.86</v>
      </c>
      <c r="H20" s="1228">
        <f>0</f>
        <v>0</v>
      </c>
      <c r="I20" s="1228">
        <f>0</f>
        <v>0</v>
      </c>
      <c r="J20" s="1228">
        <f>0</f>
        <v>0</v>
      </c>
      <c r="K20" s="1228">
        <f>0</f>
        <v>0</v>
      </c>
      <c r="L20" s="1228">
        <f>646489.91</f>
        <v>646489.91</v>
      </c>
      <c r="M20" s="1228">
        <f>57259.2</f>
        <v>57259.199999999997</v>
      </c>
      <c r="N20" s="1247">
        <f>7932.36</f>
        <v>7932.36</v>
      </c>
      <c r="O20" s="1250">
        <f>0</f>
        <v>0</v>
      </c>
      <c r="P20" s="1228">
        <f>0</f>
        <v>0</v>
      </c>
      <c r="Q20" s="1229">
        <f>0</f>
        <v>0</v>
      </c>
    </row>
    <row r="21" spans="1:17">
      <c r="A21" s="1419" t="s">
        <v>308</v>
      </c>
      <c r="B21" s="1254">
        <f>291261.31</f>
        <v>291261.31</v>
      </c>
      <c r="C21" s="1239">
        <f>291261.31</f>
        <v>291261.31</v>
      </c>
      <c r="D21" s="1230">
        <f>1377.35</f>
        <v>1377.35</v>
      </c>
      <c r="E21" s="1230">
        <f>423.35</f>
        <v>423.35</v>
      </c>
      <c r="F21" s="1230">
        <f>0</f>
        <v>0</v>
      </c>
      <c r="G21" s="1230">
        <f>954</f>
        <v>954</v>
      </c>
      <c r="H21" s="1230">
        <f>0</f>
        <v>0</v>
      </c>
      <c r="I21" s="1230">
        <f>0</f>
        <v>0</v>
      </c>
      <c r="J21" s="1230">
        <f>12990</f>
        <v>12990</v>
      </c>
      <c r="K21" s="1230">
        <f>0</f>
        <v>0</v>
      </c>
      <c r="L21" s="1230">
        <f>10060</f>
        <v>10060</v>
      </c>
      <c r="M21" s="1230">
        <f>266833.96</f>
        <v>266833.96000000002</v>
      </c>
      <c r="N21" s="1248">
        <f>0</f>
        <v>0</v>
      </c>
      <c r="O21" s="1251">
        <f>0</f>
        <v>0</v>
      </c>
      <c r="P21" s="1230">
        <f>0</f>
        <v>0</v>
      </c>
      <c r="Q21" s="1231">
        <f>0</f>
        <v>0</v>
      </c>
    </row>
    <row r="22" spans="1:17">
      <c r="A22" s="1532"/>
      <c r="B22" s="1227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</row>
    <row r="23" spans="1:17">
      <c r="A23" s="1226"/>
      <c r="B23" s="1227"/>
      <c r="C23" s="1227"/>
      <c r="D23" s="1227"/>
      <c r="E23" s="1227"/>
      <c r="F23" s="1227"/>
      <c r="G23" s="1227"/>
      <c r="H23" s="1227"/>
      <c r="I23" s="1227"/>
      <c r="J23" s="1227"/>
      <c r="K23" s="1227"/>
      <c r="L23" s="1227"/>
      <c r="M23" s="1227"/>
      <c r="N23" s="1227"/>
      <c r="O23" s="1227"/>
      <c r="P23" s="1227"/>
      <c r="Q23" s="1227"/>
    </row>
    <row r="24" spans="1:17">
      <c r="A24" s="1749" t="s">
        <v>309</v>
      </c>
      <c r="B24" s="1749"/>
      <c r="C24" s="1749"/>
      <c r="D24" s="1749"/>
      <c r="E24" s="1749"/>
      <c r="F24" s="1749"/>
      <c r="G24" s="1749"/>
      <c r="H24" s="1749"/>
      <c r="I24" s="1749"/>
      <c r="J24" s="1749"/>
      <c r="K24" s="1749"/>
      <c r="L24" s="1749"/>
      <c r="M24" s="1749"/>
    </row>
    <row r="26" spans="1:17">
      <c r="A26" s="1751" t="s">
        <v>68</v>
      </c>
      <c r="B26" s="1754" t="s">
        <v>310</v>
      </c>
      <c r="C26" s="1755" t="s">
        <v>311</v>
      </c>
      <c r="D26" s="1755"/>
      <c r="E26" s="1755"/>
      <c r="F26" s="1755"/>
      <c r="G26" s="1755"/>
      <c r="H26" s="1755"/>
      <c r="I26" s="1755"/>
      <c r="J26" s="1755"/>
      <c r="K26" s="1755"/>
      <c r="L26" s="1755"/>
      <c r="M26" s="1755"/>
      <c r="N26" s="1756"/>
      <c r="O26" s="1757" t="s">
        <v>312</v>
      </c>
      <c r="P26" s="1755"/>
      <c r="Q26" s="1758"/>
    </row>
    <row r="27" spans="1:17">
      <c r="A27" s="1752"/>
      <c r="B27" s="1759"/>
      <c r="C27" s="1745" t="s">
        <v>313</v>
      </c>
      <c r="D27" s="1745" t="s">
        <v>314</v>
      </c>
      <c r="E27" s="1745" t="s">
        <v>315</v>
      </c>
      <c r="F27" s="1745" t="s">
        <v>316</v>
      </c>
      <c r="G27" s="1745" t="s">
        <v>317</v>
      </c>
      <c r="H27" s="1745" t="s">
        <v>290</v>
      </c>
      <c r="I27" s="1745" t="s">
        <v>318</v>
      </c>
      <c r="J27" s="1745" t="s">
        <v>292</v>
      </c>
      <c r="K27" s="1745" t="s">
        <v>293</v>
      </c>
      <c r="L27" s="1745" t="s">
        <v>294</v>
      </c>
      <c r="M27" s="1745" t="s">
        <v>295</v>
      </c>
      <c r="N27" s="1763" t="s">
        <v>296</v>
      </c>
      <c r="O27" s="1743" t="s">
        <v>297</v>
      </c>
      <c r="P27" s="1745" t="s">
        <v>298</v>
      </c>
      <c r="Q27" s="1747" t="s">
        <v>299</v>
      </c>
    </row>
    <row r="28" spans="1:17">
      <c r="A28" s="1752"/>
      <c r="B28" s="1759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63"/>
      <c r="O28" s="1743"/>
      <c r="P28" s="1745"/>
      <c r="Q28" s="1747"/>
    </row>
    <row r="29" spans="1:17">
      <c r="A29" s="1752"/>
      <c r="B29" s="1759"/>
      <c r="C29" s="1745"/>
      <c r="D29" s="1745"/>
      <c r="E29" s="1745"/>
      <c r="F29" s="1745"/>
      <c r="G29" s="1745"/>
      <c r="H29" s="1745"/>
      <c r="I29" s="1745"/>
      <c r="J29" s="1745"/>
      <c r="K29" s="1745"/>
      <c r="L29" s="1745"/>
      <c r="M29" s="1745"/>
      <c r="N29" s="1763"/>
      <c r="O29" s="1743"/>
      <c r="P29" s="1745"/>
      <c r="Q29" s="1747"/>
    </row>
    <row r="30" spans="1:17" ht="45" customHeight="1">
      <c r="A30" s="1752"/>
      <c r="B30" s="1765"/>
      <c r="C30" s="1766"/>
      <c r="D30" s="1766"/>
      <c r="E30" s="1766"/>
      <c r="F30" s="1766"/>
      <c r="G30" s="1766"/>
      <c r="H30" s="1766"/>
      <c r="I30" s="1766"/>
      <c r="J30" s="1766"/>
      <c r="K30" s="1766"/>
      <c r="L30" s="1766"/>
      <c r="M30" s="1766"/>
      <c r="N30" s="1955"/>
      <c r="O30" s="1744"/>
      <c r="P30" s="1746"/>
      <c r="Q30" s="1748"/>
    </row>
    <row r="31" spans="1:17">
      <c r="A31" s="1753"/>
      <c r="B31" s="1977" t="s">
        <v>4</v>
      </c>
      <c r="C31" s="1959"/>
      <c r="D31" s="1959"/>
      <c r="E31" s="1959"/>
      <c r="F31" s="1959"/>
      <c r="G31" s="1959"/>
      <c r="H31" s="1959"/>
      <c r="I31" s="1959"/>
      <c r="J31" s="1959"/>
      <c r="K31" s="1959"/>
      <c r="L31" s="1959"/>
      <c r="M31" s="1959"/>
      <c r="N31" s="1959"/>
      <c r="O31" s="1959"/>
      <c r="P31" s="1959"/>
      <c r="Q31" s="1960"/>
    </row>
    <row r="32" spans="1:17">
      <c r="A32" s="1267" t="s">
        <v>887</v>
      </c>
      <c r="B32" s="1287" t="s">
        <v>888</v>
      </c>
      <c r="C32" s="1262" t="s">
        <v>889</v>
      </c>
      <c r="D32" s="1263" t="s">
        <v>890</v>
      </c>
      <c r="E32" s="1263" t="s">
        <v>891</v>
      </c>
      <c r="F32" s="1263" t="s">
        <v>892</v>
      </c>
      <c r="G32" s="1263" t="s">
        <v>893</v>
      </c>
      <c r="H32" s="1263" t="s">
        <v>894</v>
      </c>
      <c r="I32" s="1263" t="s">
        <v>932</v>
      </c>
      <c r="J32" s="1263" t="s">
        <v>966</v>
      </c>
      <c r="K32" s="1263" t="s">
        <v>967</v>
      </c>
      <c r="L32" s="1263" t="s">
        <v>969</v>
      </c>
      <c r="M32" s="1263" t="s">
        <v>1070</v>
      </c>
      <c r="N32" s="1264" t="s">
        <v>1096</v>
      </c>
      <c r="O32" s="1380" t="s">
        <v>1097</v>
      </c>
      <c r="P32" s="1285" t="s">
        <v>1098</v>
      </c>
      <c r="Q32" s="1286" t="s">
        <v>1099</v>
      </c>
    </row>
    <row r="33" spans="1:17">
      <c r="A33" s="1381" t="s">
        <v>320</v>
      </c>
      <c r="B33" s="1276">
        <f>0</f>
        <v>0</v>
      </c>
      <c r="C33" s="1273">
        <f>0</f>
        <v>0</v>
      </c>
      <c r="D33" s="1255">
        <f>0</f>
        <v>0</v>
      </c>
      <c r="E33" s="1255">
        <f>0</f>
        <v>0</v>
      </c>
      <c r="F33" s="1255">
        <f>0</f>
        <v>0</v>
      </c>
      <c r="G33" s="1255">
        <f>0</f>
        <v>0</v>
      </c>
      <c r="H33" s="1255">
        <f>0</f>
        <v>0</v>
      </c>
      <c r="I33" s="1255">
        <f>0</f>
        <v>0</v>
      </c>
      <c r="J33" s="1255">
        <f>0</f>
        <v>0</v>
      </c>
      <c r="K33" s="1255">
        <f>0</f>
        <v>0</v>
      </c>
      <c r="L33" s="1255">
        <f>0</f>
        <v>0</v>
      </c>
      <c r="M33" s="1255">
        <f>0</f>
        <v>0</v>
      </c>
      <c r="N33" s="1279">
        <f>0</f>
        <v>0</v>
      </c>
      <c r="O33" s="1282">
        <f>0</f>
        <v>0</v>
      </c>
      <c r="P33" s="1255">
        <f>0</f>
        <v>0</v>
      </c>
      <c r="Q33" s="1256">
        <f>0</f>
        <v>0</v>
      </c>
    </row>
    <row r="34" spans="1:17">
      <c r="A34" s="1383" t="s">
        <v>709</v>
      </c>
      <c r="B34" s="1276">
        <f>0</f>
        <v>0</v>
      </c>
      <c r="C34" s="1273">
        <f>0</f>
        <v>0</v>
      </c>
      <c r="D34" s="1255">
        <f>0</f>
        <v>0</v>
      </c>
      <c r="E34" s="1255">
        <f>0</f>
        <v>0</v>
      </c>
      <c r="F34" s="1255">
        <f>0</f>
        <v>0</v>
      </c>
      <c r="G34" s="1255">
        <f>0</f>
        <v>0</v>
      </c>
      <c r="H34" s="1255">
        <f>0</f>
        <v>0</v>
      </c>
      <c r="I34" s="1255">
        <f>0</f>
        <v>0</v>
      </c>
      <c r="J34" s="1255">
        <f>0</f>
        <v>0</v>
      </c>
      <c r="K34" s="1255">
        <f>0</f>
        <v>0</v>
      </c>
      <c r="L34" s="1255">
        <f>0</f>
        <v>0</v>
      </c>
      <c r="M34" s="1255">
        <f>0</f>
        <v>0</v>
      </c>
      <c r="N34" s="1279">
        <f>0</f>
        <v>0</v>
      </c>
      <c r="O34" s="1282">
        <f>0</f>
        <v>0</v>
      </c>
      <c r="P34" s="1255">
        <f>0</f>
        <v>0</v>
      </c>
      <c r="Q34" s="1256">
        <f>0</f>
        <v>0</v>
      </c>
    </row>
    <row r="35" spans="1:17">
      <c r="A35" s="1383" t="s">
        <v>321</v>
      </c>
      <c r="B35" s="1276">
        <f>0</f>
        <v>0</v>
      </c>
      <c r="C35" s="1273">
        <f>0</f>
        <v>0</v>
      </c>
      <c r="D35" s="1255">
        <f>0</f>
        <v>0</v>
      </c>
      <c r="E35" s="1255">
        <f>0</f>
        <v>0</v>
      </c>
      <c r="F35" s="1255">
        <f>0</f>
        <v>0</v>
      </c>
      <c r="G35" s="1255">
        <f>0</f>
        <v>0</v>
      </c>
      <c r="H35" s="1255">
        <f>0</f>
        <v>0</v>
      </c>
      <c r="I35" s="1255">
        <f>0</f>
        <v>0</v>
      </c>
      <c r="J35" s="1255">
        <f>0</f>
        <v>0</v>
      </c>
      <c r="K35" s="1255">
        <f>0</f>
        <v>0</v>
      </c>
      <c r="L35" s="1255">
        <f>0</f>
        <v>0</v>
      </c>
      <c r="M35" s="1255">
        <f>0</f>
        <v>0</v>
      </c>
      <c r="N35" s="1279">
        <f>0</f>
        <v>0</v>
      </c>
      <c r="O35" s="1282">
        <f>0</f>
        <v>0</v>
      </c>
      <c r="P35" s="1255">
        <f>0</f>
        <v>0</v>
      </c>
      <c r="Q35" s="1256">
        <f>0</f>
        <v>0</v>
      </c>
    </row>
    <row r="36" spans="1:17">
      <c r="A36" s="1381" t="s">
        <v>322</v>
      </c>
      <c r="B36" s="1276">
        <f>367081191.61</f>
        <v>367081191.61000001</v>
      </c>
      <c r="C36" s="1273">
        <f>367081191.61</f>
        <v>367081191.61000001</v>
      </c>
      <c r="D36" s="1255">
        <f>318862403.39</f>
        <v>318862403.38999999</v>
      </c>
      <c r="E36" s="1255">
        <f>49190.05</f>
        <v>49190.05</v>
      </c>
      <c r="F36" s="1255">
        <f>12842.46</f>
        <v>12842.46</v>
      </c>
      <c r="G36" s="1255">
        <f>318800370.88</f>
        <v>318800370.88</v>
      </c>
      <c r="H36" s="1255">
        <f>0</f>
        <v>0</v>
      </c>
      <c r="I36" s="1255">
        <f>0</f>
        <v>0</v>
      </c>
      <c r="J36" s="1255">
        <f>0</f>
        <v>0</v>
      </c>
      <c r="K36" s="1255">
        <f>0</f>
        <v>0</v>
      </c>
      <c r="L36" s="1255">
        <f>44499534.49</f>
        <v>44499534.490000002</v>
      </c>
      <c r="M36" s="1255">
        <f>3477708.22</f>
        <v>3477708.22</v>
      </c>
      <c r="N36" s="1279">
        <f>241545.51</f>
        <v>241545.51</v>
      </c>
      <c r="O36" s="1282">
        <f>0</f>
        <v>0</v>
      </c>
      <c r="P36" s="1255">
        <f>0</f>
        <v>0</v>
      </c>
      <c r="Q36" s="1256">
        <f>0</f>
        <v>0</v>
      </c>
    </row>
    <row r="37" spans="1:17">
      <c r="A37" s="1383" t="s">
        <v>708</v>
      </c>
      <c r="B37" s="1276">
        <f>7466335.16</f>
        <v>7466335.1600000001</v>
      </c>
      <c r="C37" s="1273">
        <f>7466335.16</f>
        <v>7466335.1600000001</v>
      </c>
      <c r="D37" s="1255">
        <f>7383313.54</f>
        <v>7383313.54</v>
      </c>
      <c r="E37" s="1255">
        <f>0</f>
        <v>0</v>
      </c>
      <c r="F37" s="1255">
        <f>0</f>
        <v>0</v>
      </c>
      <c r="G37" s="1255">
        <f>7383313.54</f>
        <v>7383313.54</v>
      </c>
      <c r="H37" s="1255">
        <f>0</f>
        <v>0</v>
      </c>
      <c r="I37" s="1255">
        <f>0</f>
        <v>0</v>
      </c>
      <c r="J37" s="1255">
        <f>0</f>
        <v>0</v>
      </c>
      <c r="K37" s="1255">
        <f>0</f>
        <v>0</v>
      </c>
      <c r="L37" s="1255">
        <f>83021.62</f>
        <v>83021.62</v>
      </c>
      <c r="M37" s="1255">
        <f>0</f>
        <v>0</v>
      </c>
      <c r="N37" s="1279">
        <f>0</f>
        <v>0</v>
      </c>
      <c r="O37" s="1282">
        <f>0</f>
        <v>0</v>
      </c>
      <c r="P37" s="1255">
        <f>0</f>
        <v>0</v>
      </c>
      <c r="Q37" s="1256">
        <f>0</f>
        <v>0</v>
      </c>
    </row>
    <row r="38" spans="1:17">
      <c r="A38" s="1383" t="s">
        <v>323</v>
      </c>
      <c r="B38" s="1276">
        <f>359614856.45</f>
        <v>359614856.44999999</v>
      </c>
      <c r="C38" s="1273">
        <f>359614856.45</f>
        <v>359614856.44999999</v>
      </c>
      <c r="D38" s="1255">
        <f>311479089.85</f>
        <v>311479089.85000002</v>
      </c>
      <c r="E38" s="1255">
        <f>49190.05</f>
        <v>49190.05</v>
      </c>
      <c r="F38" s="1255">
        <f>12842.46</f>
        <v>12842.46</v>
      </c>
      <c r="G38" s="1255">
        <f>311417057.34</f>
        <v>311417057.33999997</v>
      </c>
      <c r="H38" s="1255">
        <f>0</f>
        <v>0</v>
      </c>
      <c r="I38" s="1255">
        <f>0</f>
        <v>0</v>
      </c>
      <c r="J38" s="1255">
        <f>0</f>
        <v>0</v>
      </c>
      <c r="K38" s="1255">
        <f>0</f>
        <v>0</v>
      </c>
      <c r="L38" s="1255">
        <f>44416512.87</f>
        <v>44416512.869999997</v>
      </c>
      <c r="M38" s="1255">
        <f>3477708.22</f>
        <v>3477708.22</v>
      </c>
      <c r="N38" s="1279">
        <f>241545.51</f>
        <v>241545.51</v>
      </c>
      <c r="O38" s="1282">
        <f>0</f>
        <v>0</v>
      </c>
      <c r="P38" s="1255">
        <f>0</f>
        <v>0</v>
      </c>
      <c r="Q38" s="1256">
        <f>0</f>
        <v>0</v>
      </c>
    </row>
    <row r="39" spans="1:17">
      <c r="A39" s="1381" t="s">
        <v>324</v>
      </c>
      <c r="B39" s="1276">
        <f>5352232661.8</f>
        <v>5352232661.8000002</v>
      </c>
      <c r="C39" s="1273">
        <f>5352052785.84</f>
        <v>5352052785.8400002</v>
      </c>
      <c r="D39" s="1255">
        <f>12595.02</f>
        <v>12595.02</v>
      </c>
      <c r="E39" s="1255">
        <f>960</f>
        <v>960</v>
      </c>
      <c r="F39" s="1255">
        <f>0</f>
        <v>0</v>
      </c>
      <c r="G39" s="1255">
        <f>11635.02</f>
        <v>11635.02</v>
      </c>
      <c r="H39" s="1255">
        <f>0</f>
        <v>0</v>
      </c>
      <c r="I39" s="1255">
        <f>0</f>
        <v>0</v>
      </c>
      <c r="J39" s="1255">
        <f>5351639639.05</f>
        <v>5351639639.0500002</v>
      </c>
      <c r="K39" s="1255">
        <f>0</f>
        <v>0</v>
      </c>
      <c r="L39" s="1255">
        <f>392088.14</f>
        <v>392088.14</v>
      </c>
      <c r="M39" s="1255">
        <f>8463.63</f>
        <v>8463.6299999999992</v>
      </c>
      <c r="N39" s="1279">
        <f>0</f>
        <v>0</v>
      </c>
      <c r="O39" s="1282">
        <f>179875.96</f>
        <v>179875.96</v>
      </c>
      <c r="P39" s="1255">
        <f>179875.96</f>
        <v>179875.96</v>
      </c>
      <c r="Q39" s="1256">
        <f>0</f>
        <v>0</v>
      </c>
    </row>
    <row r="40" spans="1:17">
      <c r="A40" s="1383" t="s">
        <v>325</v>
      </c>
      <c r="B40" s="1276">
        <f>11611.02</f>
        <v>11611.02</v>
      </c>
      <c r="C40" s="1273">
        <f>11611.02</f>
        <v>11611.02</v>
      </c>
      <c r="D40" s="1255">
        <f>11611.02</f>
        <v>11611.02</v>
      </c>
      <c r="E40" s="1255">
        <f>0</f>
        <v>0</v>
      </c>
      <c r="F40" s="1255">
        <f>0</f>
        <v>0</v>
      </c>
      <c r="G40" s="1255">
        <f>11611.02</f>
        <v>11611.02</v>
      </c>
      <c r="H40" s="1255">
        <f>0</f>
        <v>0</v>
      </c>
      <c r="I40" s="1255">
        <f>0</f>
        <v>0</v>
      </c>
      <c r="J40" s="1255">
        <f>0</f>
        <v>0</v>
      </c>
      <c r="K40" s="1255">
        <f>0</f>
        <v>0</v>
      </c>
      <c r="L40" s="1255">
        <f>0</f>
        <v>0</v>
      </c>
      <c r="M40" s="1255">
        <f>0</f>
        <v>0</v>
      </c>
      <c r="N40" s="1279">
        <f>0</f>
        <v>0</v>
      </c>
      <c r="O40" s="1282">
        <f>0</f>
        <v>0</v>
      </c>
      <c r="P40" s="1255">
        <f>0</f>
        <v>0</v>
      </c>
      <c r="Q40" s="1256">
        <f>0</f>
        <v>0</v>
      </c>
    </row>
    <row r="41" spans="1:17">
      <c r="A41" s="1383" t="s">
        <v>326</v>
      </c>
      <c r="B41" s="1276">
        <f>5196558660.01</f>
        <v>5196558660.0100002</v>
      </c>
      <c r="C41" s="1273">
        <f>5196558660.01</f>
        <v>5196558660.0100002</v>
      </c>
      <c r="D41" s="1255">
        <f>984</f>
        <v>984</v>
      </c>
      <c r="E41" s="1255">
        <f>960</f>
        <v>960</v>
      </c>
      <c r="F41" s="1255">
        <f>0</f>
        <v>0</v>
      </c>
      <c r="G41" s="1255">
        <f>24</f>
        <v>24</v>
      </c>
      <c r="H41" s="1255">
        <f>0</f>
        <v>0</v>
      </c>
      <c r="I41" s="1255">
        <f>0</f>
        <v>0</v>
      </c>
      <c r="J41" s="1255">
        <f>5196163426.48</f>
        <v>5196163426.4799995</v>
      </c>
      <c r="K41" s="1255">
        <f>0</f>
        <v>0</v>
      </c>
      <c r="L41" s="1255">
        <f>385785.9</f>
        <v>385785.9</v>
      </c>
      <c r="M41" s="1255">
        <f>8463.63</f>
        <v>8463.6299999999992</v>
      </c>
      <c r="N41" s="1279">
        <f>0</f>
        <v>0</v>
      </c>
      <c r="O41" s="1282">
        <f>0</f>
        <v>0</v>
      </c>
      <c r="P41" s="1255">
        <f>0</f>
        <v>0</v>
      </c>
      <c r="Q41" s="1256">
        <f>0</f>
        <v>0</v>
      </c>
    </row>
    <row r="42" spans="1:17">
      <c r="A42" s="1383" t="s">
        <v>327</v>
      </c>
      <c r="B42" s="1276">
        <f>155662390.77</f>
        <v>155662390.77000001</v>
      </c>
      <c r="C42" s="1273">
        <f>155482514.81</f>
        <v>155482514.81</v>
      </c>
      <c r="D42" s="1255">
        <f>0</f>
        <v>0</v>
      </c>
      <c r="E42" s="1255">
        <f>0</f>
        <v>0</v>
      </c>
      <c r="F42" s="1255">
        <f>0</f>
        <v>0</v>
      </c>
      <c r="G42" s="1255">
        <f>0</f>
        <v>0</v>
      </c>
      <c r="H42" s="1255">
        <f>0</f>
        <v>0</v>
      </c>
      <c r="I42" s="1255">
        <f>0</f>
        <v>0</v>
      </c>
      <c r="J42" s="1255">
        <f>155476212.57</f>
        <v>155476212.56999999</v>
      </c>
      <c r="K42" s="1255">
        <f>0</f>
        <v>0</v>
      </c>
      <c r="L42" s="1255">
        <f>6302.24</f>
        <v>6302.24</v>
      </c>
      <c r="M42" s="1255">
        <f>0</f>
        <v>0</v>
      </c>
      <c r="N42" s="1279">
        <f>0</f>
        <v>0</v>
      </c>
      <c r="O42" s="1282">
        <f>179875.96</f>
        <v>179875.96</v>
      </c>
      <c r="P42" s="1255">
        <f>179875.96</f>
        <v>179875.96</v>
      </c>
      <c r="Q42" s="1256">
        <f>0</f>
        <v>0</v>
      </c>
    </row>
    <row r="43" spans="1:17">
      <c r="A43" s="1381" t="s">
        <v>364</v>
      </c>
      <c r="B43" s="1276">
        <f>1876259822.45</f>
        <v>1876259822.45</v>
      </c>
      <c r="C43" s="1273">
        <f>1873804316.52</f>
        <v>1873804316.52</v>
      </c>
      <c r="D43" s="1255">
        <f>17910573.88</f>
        <v>17910573.879999999</v>
      </c>
      <c r="E43" s="1255">
        <f>22050.44</f>
        <v>22050.44</v>
      </c>
      <c r="F43" s="1255">
        <f>570708.89</f>
        <v>570708.89</v>
      </c>
      <c r="G43" s="1255">
        <f>17317814.55</f>
        <v>17317814.550000001</v>
      </c>
      <c r="H43" s="1255">
        <f>0</f>
        <v>0</v>
      </c>
      <c r="I43" s="1255">
        <f>0</f>
        <v>0</v>
      </c>
      <c r="J43" s="1255">
        <f>23565.91</f>
        <v>23565.91</v>
      </c>
      <c r="K43" s="1255">
        <f>17059523.14</f>
        <v>17059523.140000001</v>
      </c>
      <c r="L43" s="1255">
        <f>1541054172.09</f>
        <v>1541054172.0899999</v>
      </c>
      <c r="M43" s="1255">
        <f>283146981.27</f>
        <v>283146981.26999998</v>
      </c>
      <c r="N43" s="1279">
        <f>14609500.23</f>
        <v>14609500.23</v>
      </c>
      <c r="O43" s="1282">
        <f>2455505.93</f>
        <v>2455505.9300000002</v>
      </c>
      <c r="P43" s="1255">
        <f>1811878.01</f>
        <v>1811878.01</v>
      </c>
      <c r="Q43" s="1256">
        <f>643627.92</f>
        <v>643627.92000000004</v>
      </c>
    </row>
    <row r="44" spans="1:17">
      <c r="A44" s="1383" t="s">
        <v>328</v>
      </c>
      <c r="B44" s="1276">
        <f>50123765.21</f>
        <v>50123765.210000001</v>
      </c>
      <c r="C44" s="1273">
        <f>50116457.59</f>
        <v>50116457.590000004</v>
      </c>
      <c r="D44" s="1255">
        <f>134721.38</f>
        <v>134721.38</v>
      </c>
      <c r="E44" s="1255">
        <f>141.35</f>
        <v>141.35</v>
      </c>
      <c r="F44" s="1255">
        <f>632.57</f>
        <v>632.57000000000005</v>
      </c>
      <c r="G44" s="1255">
        <f>133947.46</f>
        <v>133947.46</v>
      </c>
      <c r="H44" s="1255">
        <f>0</f>
        <v>0</v>
      </c>
      <c r="I44" s="1255">
        <f>0</f>
        <v>0</v>
      </c>
      <c r="J44" s="1255">
        <f>0</f>
        <v>0</v>
      </c>
      <c r="K44" s="1255">
        <f>2986.66</f>
        <v>2986.66</v>
      </c>
      <c r="L44" s="1255">
        <f>42373953.95</f>
        <v>42373953.950000003</v>
      </c>
      <c r="M44" s="1255">
        <f>6996718.38</f>
        <v>6996718.3799999999</v>
      </c>
      <c r="N44" s="1279">
        <f>608077.22</f>
        <v>608077.22</v>
      </c>
      <c r="O44" s="1282">
        <f>7307.62</f>
        <v>7307.62</v>
      </c>
      <c r="P44" s="1255">
        <f>7307.62</f>
        <v>7307.62</v>
      </c>
      <c r="Q44" s="1256">
        <f>0</f>
        <v>0</v>
      </c>
    </row>
    <row r="45" spans="1:17">
      <c r="A45" s="1383" t="s">
        <v>329</v>
      </c>
      <c r="B45" s="1276">
        <f>1826136057.24</f>
        <v>1826136057.24</v>
      </c>
      <c r="C45" s="1273">
        <f>1823687858.93</f>
        <v>1823687858.9300001</v>
      </c>
      <c r="D45" s="1255">
        <f>17775852.5</f>
        <v>17775852.5</v>
      </c>
      <c r="E45" s="1255">
        <f>21909.09</f>
        <v>21909.09</v>
      </c>
      <c r="F45" s="1255">
        <f>570076.32</f>
        <v>570076.31999999995</v>
      </c>
      <c r="G45" s="1255">
        <f>17183867.09</f>
        <v>17183867.09</v>
      </c>
      <c r="H45" s="1255">
        <f>0</f>
        <v>0</v>
      </c>
      <c r="I45" s="1255">
        <f>0</f>
        <v>0</v>
      </c>
      <c r="J45" s="1255">
        <f>23565.91</f>
        <v>23565.91</v>
      </c>
      <c r="K45" s="1255">
        <f>17056536.48</f>
        <v>17056536.48</v>
      </c>
      <c r="L45" s="1255">
        <f>1498680218.14</f>
        <v>1498680218.1400001</v>
      </c>
      <c r="M45" s="1255">
        <f>276150262.89</f>
        <v>276150262.88999999</v>
      </c>
      <c r="N45" s="1279">
        <f>14001423.01</f>
        <v>14001423.01</v>
      </c>
      <c r="O45" s="1282">
        <f>2448198.31</f>
        <v>2448198.31</v>
      </c>
      <c r="P45" s="1255">
        <f>1804570.39</f>
        <v>1804570.39</v>
      </c>
      <c r="Q45" s="1256">
        <f>643627.92</f>
        <v>643627.92000000004</v>
      </c>
    </row>
    <row r="46" spans="1:17">
      <c r="A46" s="1381" t="s">
        <v>330</v>
      </c>
      <c r="B46" s="1276">
        <f>944959809.94</f>
        <v>944959809.94000006</v>
      </c>
      <c r="C46" s="1273">
        <f>944957707.55</f>
        <v>944957707.54999995</v>
      </c>
      <c r="D46" s="1255">
        <f>155865028.32</f>
        <v>155865028.31999999</v>
      </c>
      <c r="E46" s="1255">
        <f>56524428.77</f>
        <v>56524428.770000003</v>
      </c>
      <c r="F46" s="1255">
        <f>1234328.08</f>
        <v>1234328.08</v>
      </c>
      <c r="G46" s="1255">
        <f>98017386.1</f>
        <v>98017386.099999994</v>
      </c>
      <c r="H46" s="1255">
        <f>88885.37</f>
        <v>88885.37</v>
      </c>
      <c r="I46" s="1255">
        <f>0</f>
        <v>0</v>
      </c>
      <c r="J46" s="1255">
        <f>131638.29</f>
        <v>131638.29</v>
      </c>
      <c r="K46" s="1255">
        <f>499179.19</f>
        <v>499179.19</v>
      </c>
      <c r="L46" s="1255">
        <f>623363371.14</f>
        <v>623363371.13999999</v>
      </c>
      <c r="M46" s="1255">
        <f>136906178.59</f>
        <v>136906178.59</v>
      </c>
      <c r="N46" s="1279">
        <f>28192312.02</f>
        <v>28192312.02</v>
      </c>
      <c r="O46" s="1282">
        <f>2102.39</f>
        <v>2102.39</v>
      </c>
      <c r="P46" s="1255">
        <f>2102.39</f>
        <v>2102.39</v>
      </c>
      <c r="Q46" s="1256">
        <f>0</f>
        <v>0</v>
      </c>
    </row>
    <row r="47" spans="1:17">
      <c r="A47" s="1383" t="s">
        <v>331</v>
      </c>
      <c r="B47" s="1276">
        <f>45223204.33</f>
        <v>45223204.329999998</v>
      </c>
      <c r="C47" s="1273">
        <f>45222948.74</f>
        <v>45222948.740000002</v>
      </c>
      <c r="D47" s="1255">
        <f>10365299.9</f>
        <v>10365299.9</v>
      </c>
      <c r="E47" s="1255">
        <f>4089668.51</f>
        <v>4089668.51</v>
      </c>
      <c r="F47" s="1255">
        <f>156295.95</f>
        <v>156295.95000000001</v>
      </c>
      <c r="G47" s="1255">
        <f>6119335.44</f>
        <v>6119335.4400000004</v>
      </c>
      <c r="H47" s="1255">
        <f>0</f>
        <v>0</v>
      </c>
      <c r="I47" s="1255">
        <f>0</f>
        <v>0</v>
      </c>
      <c r="J47" s="1255">
        <f>1244.15</f>
        <v>1244.1500000000001</v>
      </c>
      <c r="K47" s="1255">
        <f>340557.62</f>
        <v>340557.62</v>
      </c>
      <c r="L47" s="1255">
        <f>29881421.44</f>
        <v>29881421.440000001</v>
      </c>
      <c r="M47" s="1255">
        <f>4526646.33</f>
        <v>4526646.33</v>
      </c>
      <c r="N47" s="1279">
        <f>107779.3</f>
        <v>107779.3</v>
      </c>
      <c r="O47" s="1282">
        <f>255.59</f>
        <v>255.59</v>
      </c>
      <c r="P47" s="1255">
        <f>255.59</f>
        <v>255.59</v>
      </c>
      <c r="Q47" s="1256">
        <f>0</f>
        <v>0</v>
      </c>
    </row>
    <row r="48" spans="1:17" ht="27">
      <c r="A48" s="1383" t="s">
        <v>332</v>
      </c>
      <c r="B48" s="1276">
        <f>12215730.61</f>
        <v>12215730.609999999</v>
      </c>
      <c r="C48" s="1273">
        <f>12215730.61</f>
        <v>12215730.609999999</v>
      </c>
      <c r="D48" s="1255">
        <f>12215730.61</f>
        <v>12215730.609999999</v>
      </c>
      <c r="E48" s="1255">
        <f>12214563.19</f>
        <v>12214563.189999999</v>
      </c>
      <c r="F48" s="1255">
        <f>0</f>
        <v>0</v>
      </c>
      <c r="G48" s="1255">
        <f>1045</f>
        <v>1045</v>
      </c>
      <c r="H48" s="1255">
        <f>122.42</f>
        <v>122.42</v>
      </c>
      <c r="I48" s="1255">
        <f>0</f>
        <v>0</v>
      </c>
      <c r="J48" s="1255">
        <f>0</f>
        <v>0</v>
      </c>
      <c r="K48" s="1255">
        <f>0</f>
        <v>0</v>
      </c>
      <c r="L48" s="1255">
        <f>0</f>
        <v>0</v>
      </c>
      <c r="M48" s="1255">
        <f>0</f>
        <v>0</v>
      </c>
      <c r="N48" s="1279">
        <f>0</f>
        <v>0</v>
      </c>
      <c r="O48" s="1282">
        <f>0</f>
        <v>0</v>
      </c>
      <c r="P48" s="1255">
        <f>0</f>
        <v>0</v>
      </c>
      <c r="Q48" s="1256">
        <f>0</f>
        <v>0</v>
      </c>
    </row>
    <row r="49" spans="1:17">
      <c r="A49" s="1384" t="s">
        <v>333</v>
      </c>
      <c r="B49" s="1277">
        <f>887520875</f>
        <v>887520875</v>
      </c>
      <c r="C49" s="1274">
        <f>887519028.2</f>
        <v>887519028.20000005</v>
      </c>
      <c r="D49" s="1257">
        <f>133283997.81</f>
        <v>133283997.81</v>
      </c>
      <c r="E49" s="1257">
        <f>40220197.07</f>
        <v>40220197.07</v>
      </c>
      <c r="F49" s="1257">
        <f>1078032.13</f>
        <v>1078032.1299999999</v>
      </c>
      <c r="G49" s="1257">
        <f>91897005.66</f>
        <v>91897005.659999996</v>
      </c>
      <c r="H49" s="1257">
        <f>88762.95</f>
        <v>88762.95</v>
      </c>
      <c r="I49" s="1257">
        <f>0</f>
        <v>0</v>
      </c>
      <c r="J49" s="1257">
        <f>130394.14</f>
        <v>130394.14</v>
      </c>
      <c r="K49" s="1257">
        <f>158621.57</f>
        <v>158621.57</v>
      </c>
      <c r="L49" s="1257">
        <f>593481949.7</f>
        <v>593481949.70000005</v>
      </c>
      <c r="M49" s="1257">
        <f>132379532.26</f>
        <v>132379532.26000001</v>
      </c>
      <c r="N49" s="1280">
        <f>28084532.72</f>
        <v>28084532.719999999</v>
      </c>
      <c r="O49" s="1283">
        <f>1846.8</f>
        <v>1846.8</v>
      </c>
      <c r="P49" s="1257">
        <f>1846.8</f>
        <v>1846.8</v>
      </c>
      <c r="Q49" s="1258">
        <f>0</f>
        <v>0</v>
      </c>
    </row>
    <row r="50" spans="1:17">
      <c r="A50" s="1522"/>
      <c r="B50" s="1521"/>
      <c r="C50" s="1521"/>
      <c r="D50" s="1521"/>
      <c r="E50" s="1521"/>
      <c r="F50" s="1521"/>
      <c r="G50" s="1521"/>
      <c r="H50" s="1521"/>
      <c r="I50" s="1521"/>
      <c r="J50" s="1521"/>
      <c r="K50" s="1521"/>
      <c r="L50" s="1521"/>
      <c r="M50" s="1521"/>
      <c r="N50" s="1521"/>
      <c r="O50" s="1521"/>
      <c r="P50" s="1521"/>
      <c r="Q50" s="1521"/>
    </row>
    <row r="51" spans="1:17">
      <c r="A51" s="1522"/>
      <c r="B51" s="1521"/>
      <c r="C51" s="1521"/>
      <c r="D51" s="1521"/>
      <c r="E51" s="1521"/>
      <c r="F51" s="1521"/>
      <c r="G51" s="1521"/>
      <c r="H51" s="1521"/>
      <c r="I51" s="1521"/>
      <c r="J51" s="1521"/>
      <c r="K51" s="1521"/>
      <c r="L51" s="1521"/>
      <c r="M51" s="1521"/>
      <c r="N51" s="1521"/>
      <c r="O51" s="1521"/>
      <c r="P51" s="1521"/>
      <c r="Q51" s="1521"/>
    </row>
    <row r="52" spans="1:17">
      <c r="A52" s="1522"/>
      <c r="B52" s="1521"/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</row>
    <row r="53" spans="1:17">
      <c r="A53" s="1522"/>
      <c r="B53" s="1521"/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</row>
    <row r="54" spans="1:17">
      <c r="A54" s="1522"/>
      <c r="B54" s="1521"/>
      <c r="C54" s="1521"/>
      <c r="D54" s="1521"/>
      <c r="E54" s="1521"/>
      <c r="F54" s="1521"/>
      <c r="G54" s="1521"/>
      <c r="H54" s="1521"/>
      <c r="I54" s="1521"/>
      <c r="J54" s="1521"/>
      <c r="K54" s="1521"/>
      <c r="L54" s="1521"/>
      <c r="M54" s="1521"/>
      <c r="N54" s="1521"/>
      <c r="O54" s="1521"/>
      <c r="P54" s="1521"/>
      <c r="Q54" s="1521"/>
    </row>
    <row r="55" spans="1:17">
      <c r="A55" s="1522"/>
      <c r="B55" s="1521"/>
      <c r="C55" s="1521"/>
      <c r="D55" s="1521"/>
      <c r="E55" s="1521"/>
      <c r="F55" s="1521"/>
      <c r="G55" s="1521"/>
      <c r="H55" s="1521"/>
      <c r="I55" s="1521"/>
      <c r="J55" s="1521"/>
      <c r="K55" s="1521"/>
      <c r="L55" s="1521"/>
      <c r="M55" s="1521"/>
      <c r="N55" s="1521"/>
      <c r="O55" s="1521"/>
      <c r="P55" s="1521"/>
      <c r="Q55" s="1521"/>
    </row>
    <row r="56" spans="1:17">
      <c r="A56" s="1522"/>
      <c r="B56" s="1521"/>
      <c r="C56" s="1521"/>
      <c r="D56" s="1521"/>
      <c r="E56" s="1521"/>
      <c r="F56" s="1521"/>
      <c r="G56" s="1521"/>
      <c r="H56" s="1521"/>
      <c r="I56" s="1521"/>
      <c r="J56" s="1521"/>
      <c r="K56" s="1521"/>
      <c r="L56" s="1521"/>
      <c r="M56" s="1521"/>
      <c r="N56" s="1521"/>
      <c r="O56" s="1521"/>
      <c r="P56" s="1521"/>
      <c r="Q56" s="1521"/>
    </row>
    <row r="57" spans="1:17">
      <c r="A57" s="1522"/>
      <c r="B57" s="1521"/>
      <c r="C57" s="1521"/>
      <c r="D57" s="1521"/>
      <c r="E57" s="1521"/>
      <c r="F57" s="1521"/>
      <c r="G57" s="1521"/>
      <c r="H57" s="1521"/>
      <c r="I57" s="1521"/>
      <c r="J57" s="1521"/>
      <c r="K57" s="1521"/>
      <c r="L57" s="1521"/>
      <c r="M57" s="1521"/>
      <c r="N57" s="1521"/>
      <c r="O57" s="1521"/>
      <c r="P57" s="1521"/>
      <c r="Q57" s="1521"/>
    </row>
    <row r="58" spans="1:17">
      <c r="A58" s="1522"/>
      <c r="B58" s="1521"/>
      <c r="C58" s="1521"/>
      <c r="D58" s="1521"/>
      <c r="E58" s="1521"/>
      <c r="F58" s="1521"/>
      <c r="G58" s="1521"/>
      <c r="H58" s="1521"/>
      <c r="I58" s="1521"/>
      <c r="J58" s="1521"/>
      <c r="K58" s="1521"/>
      <c r="L58" s="1521"/>
      <c r="M58" s="1521"/>
      <c r="N58" s="1521"/>
      <c r="O58" s="1521"/>
      <c r="P58" s="1521"/>
      <c r="Q58" s="1521"/>
    </row>
    <row r="60" spans="1:17">
      <c r="A60" s="1749" t="s">
        <v>334</v>
      </c>
      <c r="B60" s="1749"/>
      <c r="C60" s="1749"/>
      <c r="D60" s="1749"/>
      <c r="E60" s="1749"/>
      <c r="F60" s="1749"/>
      <c r="G60" s="1749"/>
      <c r="H60" s="1749"/>
      <c r="I60" s="1749"/>
      <c r="J60" s="1749"/>
      <c r="K60" s="1749"/>
      <c r="L60" s="1749"/>
    </row>
    <row r="62" spans="1:17">
      <c r="A62" s="1781" t="s">
        <v>68</v>
      </c>
      <c r="B62" s="1782"/>
      <c r="C62" s="1782"/>
      <c r="D62" s="1783"/>
      <c r="E62" s="1754" t="s">
        <v>335</v>
      </c>
      <c r="F62" s="1755" t="s">
        <v>336</v>
      </c>
      <c r="G62" s="1755"/>
      <c r="H62" s="1755"/>
      <c r="I62" s="1755"/>
      <c r="J62" s="1755"/>
      <c r="K62" s="1758"/>
    </row>
    <row r="63" spans="1:17">
      <c r="A63" s="1784"/>
      <c r="B63" s="1785"/>
      <c r="C63" s="1785"/>
      <c r="D63" s="1786"/>
      <c r="E63" s="1759"/>
      <c r="F63" s="1745" t="s">
        <v>337</v>
      </c>
      <c r="G63" s="1745" t="s">
        <v>287</v>
      </c>
      <c r="H63" s="1745" t="s">
        <v>288</v>
      </c>
      <c r="I63" s="1745" t="s">
        <v>317</v>
      </c>
      <c r="J63" s="1745" t="s">
        <v>338</v>
      </c>
      <c r="K63" s="1767" t="s">
        <v>339</v>
      </c>
    </row>
    <row r="64" spans="1:17">
      <c r="A64" s="1784"/>
      <c r="B64" s="1785"/>
      <c r="C64" s="1785"/>
      <c r="D64" s="1786"/>
      <c r="E64" s="1759"/>
      <c r="F64" s="1745"/>
      <c r="G64" s="1745"/>
      <c r="H64" s="1745"/>
      <c r="I64" s="1745"/>
      <c r="J64" s="1745"/>
      <c r="K64" s="1767"/>
    </row>
    <row r="65" spans="1:11">
      <c r="A65" s="1784"/>
      <c r="B65" s="1785"/>
      <c r="C65" s="1785"/>
      <c r="D65" s="1786"/>
      <c r="E65" s="1759"/>
      <c r="F65" s="1745"/>
      <c r="G65" s="1745"/>
      <c r="H65" s="1745"/>
      <c r="I65" s="1745"/>
      <c r="J65" s="1745"/>
      <c r="K65" s="1767"/>
    </row>
    <row r="66" spans="1:11" ht="29.45" customHeight="1">
      <c r="A66" s="1784"/>
      <c r="B66" s="1785"/>
      <c r="C66" s="1785"/>
      <c r="D66" s="1786"/>
      <c r="E66" s="1765"/>
      <c r="F66" s="1766"/>
      <c r="G66" s="1766"/>
      <c r="H66" s="1766"/>
      <c r="I66" s="1766"/>
      <c r="J66" s="1766"/>
      <c r="K66" s="1768"/>
    </row>
    <row r="67" spans="1:11">
      <c r="A67" s="1787"/>
      <c r="B67" s="1788"/>
      <c r="C67" s="1788"/>
      <c r="D67" s="1789"/>
      <c r="E67" s="1977" t="s">
        <v>4</v>
      </c>
      <c r="F67" s="1953"/>
      <c r="G67" s="1953"/>
      <c r="H67" s="1953"/>
      <c r="I67" s="1953"/>
      <c r="J67" s="1953"/>
      <c r="K67" s="1954"/>
    </row>
    <row r="68" spans="1:11">
      <c r="A68" s="2341" t="s">
        <v>887</v>
      </c>
      <c r="B68" s="2342"/>
      <c r="C68" s="2342"/>
      <c r="D68" s="2343"/>
      <c r="E68" s="1262" t="s">
        <v>888</v>
      </c>
      <c r="F68" s="1263" t="s">
        <v>889</v>
      </c>
      <c r="G68" s="1263" t="s">
        <v>890</v>
      </c>
      <c r="H68" s="1263" t="s">
        <v>891</v>
      </c>
      <c r="I68" s="1263" t="s">
        <v>892</v>
      </c>
      <c r="J68" s="1263" t="s">
        <v>893</v>
      </c>
      <c r="K68" s="1266" t="s">
        <v>894</v>
      </c>
    </row>
    <row r="69" spans="1:11" ht="30.6" customHeight="1">
      <c r="A69" s="1793" t="s">
        <v>340</v>
      </c>
      <c r="B69" s="1794"/>
      <c r="C69" s="1794"/>
      <c r="D69" s="1795"/>
      <c r="E69" s="1237">
        <f>1312472163.22</f>
        <v>1312472163.22</v>
      </c>
      <c r="F69" s="1232">
        <f>194921441.46</f>
        <v>194921441.46000001</v>
      </c>
      <c r="G69" s="1232">
        <f>0</f>
        <v>0</v>
      </c>
      <c r="H69" s="1232">
        <f>2208095.68</f>
        <v>2208095.6800000002</v>
      </c>
      <c r="I69" s="1232">
        <f>192713345.78</f>
        <v>192713345.78</v>
      </c>
      <c r="J69" s="1232">
        <f>0</f>
        <v>0</v>
      </c>
      <c r="K69" s="1233">
        <f>1117550721.76</f>
        <v>1117550721.76</v>
      </c>
    </row>
    <row r="70" spans="1:11" ht="25.9" customHeight="1">
      <c r="A70" s="1769" t="s">
        <v>341</v>
      </c>
      <c r="B70" s="1770"/>
      <c r="C70" s="1770"/>
      <c r="D70" s="1771"/>
      <c r="E70" s="1238">
        <f>0</f>
        <v>0</v>
      </c>
      <c r="F70" s="1228">
        <f>0</f>
        <v>0</v>
      </c>
      <c r="G70" s="1228">
        <f>0</f>
        <v>0</v>
      </c>
      <c r="H70" s="1228">
        <f>0</f>
        <v>0</v>
      </c>
      <c r="I70" s="1228">
        <f>0</f>
        <v>0</v>
      </c>
      <c r="J70" s="1228">
        <f>0</f>
        <v>0</v>
      </c>
      <c r="K70" s="1229">
        <f>0</f>
        <v>0</v>
      </c>
    </row>
    <row r="71" spans="1:11">
      <c r="A71" s="1769" t="s">
        <v>342</v>
      </c>
      <c r="B71" s="1770"/>
      <c r="C71" s="1770"/>
      <c r="D71" s="1771"/>
      <c r="E71" s="1238">
        <f>86356000</f>
        <v>86356000</v>
      </c>
      <c r="F71" s="1228">
        <f>20000000</f>
        <v>20000000</v>
      </c>
      <c r="G71" s="1228">
        <f>0</f>
        <v>0</v>
      </c>
      <c r="H71" s="1228">
        <f>0</f>
        <v>0</v>
      </c>
      <c r="I71" s="1228">
        <f>20000000</f>
        <v>20000000</v>
      </c>
      <c r="J71" s="1228">
        <f>0</f>
        <v>0</v>
      </c>
      <c r="K71" s="1229">
        <f>66356000</f>
        <v>66356000</v>
      </c>
    </row>
    <row r="72" spans="1:11">
      <c r="A72" s="1769" t="s">
        <v>343</v>
      </c>
      <c r="B72" s="1770"/>
      <c r="C72" s="1770"/>
      <c r="D72" s="1771"/>
      <c r="E72" s="1238">
        <f>26012827.23</f>
        <v>26012827.23</v>
      </c>
      <c r="F72" s="1228">
        <f>21724446.21</f>
        <v>21724446.210000001</v>
      </c>
      <c r="G72" s="1228">
        <f>0</f>
        <v>0</v>
      </c>
      <c r="H72" s="1228">
        <f>0</f>
        <v>0</v>
      </c>
      <c r="I72" s="1228">
        <f>21724446.21</f>
        <v>21724446.210000001</v>
      </c>
      <c r="J72" s="1228">
        <f>0</f>
        <v>0</v>
      </c>
      <c r="K72" s="1229">
        <f>4288381.02</f>
        <v>4288381.0199999996</v>
      </c>
    </row>
    <row r="73" spans="1:11">
      <c r="A73" s="1769" t="s">
        <v>344</v>
      </c>
      <c r="B73" s="1770"/>
      <c r="C73" s="1770"/>
      <c r="D73" s="1771"/>
      <c r="E73" s="1238">
        <f>2091946.1</f>
        <v>2091946.1</v>
      </c>
      <c r="F73" s="1228">
        <f>2007978.99</f>
        <v>2007978.99</v>
      </c>
      <c r="G73" s="1228">
        <f>0</f>
        <v>0</v>
      </c>
      <c r="H73" s="1228">
        <f>0</f>
        <v>0</v>
      </c>
      <c r="I73" s="1228">
        <f>2007978.99</f>
        <v>2007978.99</v>
      </c>
      <c r="J73" s="1228">
        <f>0</f>
        <v>0</v>
      </c>
      <c r="K73" s="1229">
        <f>83967.11</f>
        <v>83967.11</v>
      </c>
    </row>
    <row r="74" spans="1:11" ht="25.9" customHeight="1">
      <c r="A74" s="1769" t="s">
        <v>345</v>
      </c>
      <c r="B74" s="1770"/>
      <c r="C74" s="1770"/>
      <c r="D74" s="1771"/>
      <c r="E74" s="1238">
        <f>14636280.6</f>
        <v>14636280.6</v>
      </c>
      <c r="F74" s="1228">
        <f>11969614</f>
        <v>11969614</v>
      </c>
      <c r="G74" s="1228">
        <f>0</f>
        <v>0</v>
      </c>
      <c r="H74" s="1228">
        <f>0</f>
        <v>0</v>
      </c>
      <c r="I74" s="1228">
        <f>11969614</f>
        <v>11969614</v>
      </c>
      <c r="J74" s="1228">
        <f>0</f>
        <v>0</v>
      </c>
      <c r="K74" s="1229">
        <f>2666666.6</f>
        <v>2666666.6</v>
      </c>
    </row>
    <row r="75" spans="1:11" ht="30" customHeight="1">
      <c r="A75" s="1772" t="s">
        <v>346</v>
      </c>
      <c r="B75" s="1773"/>
      <c r="C75" s="1773"/>
      <c r="D75" s="1774"/>
      <c r="E75" s="1239">
        <f>0</f>
        <v>0</v>
      </c>
      <c r="F75" s="1230">
        <f>0</f>
        <v>0</v>
      </c>
      <c r="G75" s="1230">
        <f>0</f>
        <v>0</v>
      </c>
      <c r="H75" s="1230">
        <f>0</f>
        <v>0</v>
      </c>
      <c r="I75" s="1230">
        <f>0</f>
        <v>0</v>
      </c>
      <c r="J75" s="1230">
        <f>0</f>
        <v>0</v>
      </c>
      <c r="K75" s="1231">
        <f>0</f>
        <v>0</v>
      </c>
    </row>
  </sheetData>
  <mergeCells count="62">
    <mergeCell ref="A71:D71"/>
    <mergeCell ref="A72:D72"/>
    <mergeCell ref="A73:D73"/>
    <mergeCell ref="A74:D74"/>
    <mergeCell ref="A75:D75"/>
    <mergeCell ref="A69:D69"/>
    <mergeCell ref="A70:D70"/>
    <mergeCell ref="Q27:Q30"/>
    <mergeCell ref="A60:L60"/>
    <mergeCell ref="E62:E66"/>
    <mergeCell ref="F62:K62"/>
    <mergeCell ref="F63:F66"/>
    <mergeCell ref="G63:G66"/>
    <mergeCell ref="H63:H66"/>
    <mergeCell ref="I63:I66"/>
    <mergeCell ref="J63:J66"/>
    <mergeCell ref="K63:K66"/>
    <mergeCell ref="B31:Q31"/>
    <mergeCell ref="A26:A31"/>
    <mergeCell ref="A62:D67"/>
    <mergeCell ref="M27:M30"/>
    <mergeCell ref="A68:D68"/>
    <mergeCell ref="P5:P8"/>
    <mergeCell ref="L5:L8"/>
    <mergeCell ref="M5:M8"/>
    <mergeCell ref="N5:N8"/>
    <mergeCell ref="O5:O8"/>
    <mergeCell ref="E67:K67"/>
    <mergeCell ref="A24:M24"/>
    <mergeCell ref="B26:B30"/>
    <mergeCell ref="C26:N26"/>
    <mergeCell ref="O26:Q26"/>
    <mergeCell ref="C27:C30"/>
    <mergeCell ref="D27:D30"/>
    <mergeCell ref="E27:E30"/>
    <mergeCell ref="F27:F30"/>
    <mergeCell ref="G27:G30"/>
    <mergeCell ref="H27:H30"/>
    <mergeCell ref="A2:M2"/>
    <mergeCell ref="C3:M3"/>
    <mergeCell ref="B4:B8"/>
    <mergeCell ref="C4:N4"/>
    <mergeCell ref="A4:A9"/>
    <mergeCell ref="B9:Q9"/>
    <mergeCell ref="O4:Q4"/>
    <mergeCell ref="C5:C8"/>
    <mergeCell ref="D5:D8"/>
    <mergeCell ref="E5:E8"/>
    <mergeCell ref="F5:F8"/>
    <mergeCell ref="G5:G8"/>
    <mergeCell ref="K5:K8"/>
    <mergeCell ref="H5:H8"/>
    <mergeCell ref="I5:I8"/>
    <mergeCell ref="J5:J8"/>
    <mergeCell ref="Q5:Q8"/>
    <mergeCell ref="I27:I30"/>
    <mergeCell ref="J27:J30"/>
    <mergeCell ref="K27:K30"/>
    <mergeCell ref="L27:L30"/>
    <mergeCell ref="N27:N30"/>
    <mergeCell ref="O27:O30"/>
    <mergeCell ref="P27:P30"/>
  </mergeCells>
  <printOptions horizontalCentered="1"/>
  <pageMargins left="0.27559055118110237" right="0.27559055118110237" top="0.59055118110236227" bottom="0.59055118110236227" header="0.31496062992125984" footer="0.59055118110236227"/>
  <pageSetup paperSize="9" scale="61" firstPageNumber="5" orientation="landscape" useFirstPageNumber="1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showGridLines="0" zoomScaleNormal="100" workbookViewId="0">
      <selection activeCell="L4" sqref="L4"/>
    </sheetView>
  </sheetViews>
  <sheetFormatPr defaultRowHeight="12.75"/>
  <cols>
    <col min="1" max="1" width="5.140625" customWidth="1"/>
    <col min="2" max="2" width="16.42578125" customWidth="1"/>
    <col min="3" max="3" width="10" customWidth="1"/>
    <col min="7" max="7" width="10.5703125" customWidth="1"/>
  </cols>
  <sheetData>
    <row r="1" spans="1:7">
      <c r="A1" s="2344" t="s">
        <v>965</v>
      </c>
      <c r="B1" s="2344"/>
      <c r="C1" s="2344"/>
      <c r="D1" s="2344"/>
      <c r="E1" s="2344"/>
      <c r="F1" s="2344"/>
      <c r="G1" s="2344"/>
    </row>
    <row r="3" spans="1:7" ht="13.5" customHeight="1">
      <c r="A3" s="1798" t="s">
        <v>41</v>
      </c>
      <c r="B3" s="1801" t="s">
        <v>68</v>
      </c>
      <c r="C3" s="1808" t="s">
        <v>959</v>
      </c>
      <c r="D3" s="248" t="s">
        <v>960</v>
      </c>
      <c r="E3" s="229" t="s">
        <v>348</v>
      </c>
      <c r="F3" s="229" t="s">
        <v>349</v>
      </c>
      <c r="G3" s="230" t="s">
        <v>371</v>
      </c>
    </row>
    <row r="4" spans="1:7" ht="14.25" customHeight="1">
      <c r="A4" s="1799"/>
      <c r="B4" s="1802"/>
      <c r="C4" s="1809"/>
      <c r="D4" s="2173" t="s">
        <v>961</v>
      </c>
      <c r="E4" s="2173"/>
      <c r="F4" s="2173"/>
      <c r="G4" s="2174"/>
    </row>
    <row r="5" spans="1:7" ht="13.5">
      <c r="A5" s="1872"/>
      <c r="B5" s="1873"/>
      <c r="C5" s="1809"/>
      <c r="D5" s="2113" t="s">
        <v>4</v>
      </c>
      <c r="E5" s="2113"/>
      <c r="F5" s="2113"/>
      <c r="G5" s="2114"/>
    </row>
    <row r="6" spans="1:7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1" t="s">
        <v>892</v>
      </c>
      <c r="G6" s="242" t="s">
        <v>893</v>
      </c>
    </row>
    <row r="7" spans="1:7" ht="25.5" customHeight="1">
      <c r="A7" s="231"/>
      <c r="B7" s="1563" t="s">
        <v>933</v>
      </c>
      <c r="C7" s="250">
        <v>38265013</v>
      </c>
      <c r="D7" s="111">
        <v>596.54</v>
      </c>
      <c r="E7" s="173">
        <v>543.63</v>
      </c>
      <c r="F7" s="173">
        <v>52.91</v>
      </c>
      <c r="G7" s="232">
        <v>148.6</v>
      </c>
    </row>
    <row r="8" spans="1:7" ht="20.100000000000001" customHeight="1">
      <c r="A8" s="233" t="s">
        <v>6</v>
      </c>
      <c r="B8" s="246" t="s">
        <v>26</v>
      </c>
      <c r="C8" s="251">
        <v>2891321</v>
      </c>
      <c r="D8" s="112">
        <v>553.92999999999995</v>
      </c>
      <c r="E8" s="174">
        <v>456.57</v>
      </c>
      <c r="F8" s="174">
        <v>97.36</v>
      </c>
      <c r="G8" s="234">
        <v>92.84</v>
      </c>
    </row>
    <row r="9" spans="1:7" ht="20.100000000000001" customHeight="1">
      <c r="A9" s="233" t="s">
        <v>7</v>
      </c>
      <c r="B9" s="246" t="s">
        <v>42</v>
      </c>
      <c r="C9" s="251">
        <v>2061942</v>
      </c>
      <c r="D9" s="112">
        <v>639.95000000000005</v>
      </c>
      <c r="E9" s="174">
        <v>589.47</v>
      </c>
      <c r="F9" s="174">
        <v>50.47</v>
      </c>
      <c r="G9" s="234">
        <v>117.7</v>
      </c>
    </row>
    <row r="10" spans="1:7" ht="20.100000000000001" customHeight="1">
      <c r="A10" s="233" t="s">
        <v>8</v>
      </c>
      <c r="B10" s="246" t="s">
        <v>27</v>
      </c>
      <c r="C10" s="251">
        <v>2095258</v>
      </c>
      <c r="D10" s="112">
        <v>651.36</v>
      </c>
      <c r="E10" s="174">
        <v>564.03</v>
      </c>
      <c r="F10" s="174">
        <v>87.33</v>
      </c>
      <c r="G10" s="234">
        <v>288.89999999999998</v>
      </c>
    </row>
    <row r="11" spans="1:7" ht="20.100000000000001" customHeight="1">
      <c r="A11" s="233" t="s">
        <v>9</v>
      </c>
      <c r="B11" s="246" t="s">
        <v>28</v>
      </c>
      <c r="C11" s="251">
        <v>1007145</v>
      </c>
      <c r="D11" s="112">
        <v>613.79</v>
      </c>
      <c r="E11" s="174">
        <v>544.54999999999995</v>
      </c>
      <c r="F11" s="174">
        <v>69.25</v>
      </c>
      <c r="G11" s="234">
        <v>206.75</v>
      </c>
    </row>
    <row r="12" spans="1:7" ht="20.100000000000001" customHeight="1">
      <c r="A12" s="233" t="s">
        <v>1</v>
      </c>
      <c r="B12" s="246" t="s">
        <v>29</v>
      </c>
      <c r="C12" s="251">
        <v>2437970</v>
      </c>
      <c r="D12" s="112">
        <v>510.66</v>
      </c>
      <c r="E12" s="174">
        <v>437.57</v>
      </c>
      <c r="F12" s="174">
        <v>73.08</v>
      </c>
      <c r="G12" s="234">
        <v>199.05</v>
      </c>
    </row>
    <row r="13" spans="1:7" ht="20.100000000000001" customHeight="1">
      <c r="A13" s="233" t="s">
        <v>2</v>
      </c>
      <c r="B13" s="246" t="s">
        <v>30</v>
      </c>
      <c r="C13" s="251">
        <v>3410441</v>
      </c>
      <c r="D13" s="112">
        <v>589.99</v>
      </c>
      <c r="E13" s="174">
        <v>571.73</v>
      </c>
      <c r="F13" s="174">
        <v>18.260000000000002</v>
      </c>
      <c r="G13" s="234">
        <v>144.91999999999999</v>
      </c>
    </row>
    <row r="14" spans="1:7" ht="20.100000000000001" customHeight="1">
      <c r="A14" s="233" t="s">
        <v>10</v>
      </c>
      <c r="B14" s="246" t="s">
        <v>31</v>
      </c>
      <c r="C14" s="251">
        <v>5425028</v>
      </c>
      <c r="D14" s="112">
        <v>727.29</v>
      </c>
      <c r="E14" s="174">
        <v>693.17</v>
      </c>
      <c r="F14" s="174">
        <v>34.119999999999997</v>
      </c>
      <c r="G14" s="234">
        <v>171.56</v>
      </c>
    </row>
    <row r="15" spans="1:7" ht="20.100000000000001" customHeight="1">
      <c r="A15" s="233" t="s">
        <v>11</v>
      </c>
      <c r="B15" s="246" t="s">
        <v>32</v>
      </c>
      <c r="C15" s="251">
        <v>976774</v>
      </c>
      <c r="D15" s="112">
        <v>643.44000000000005</v>
      </c>
      <c r="E15" s="174">
        <v>554.17999999999995</v>
      </c>
      <c r="F15" s="174">
        <v>89.27</v>
      </c>
      <c r="G15" s="234">
        <v>62.6</v>
      </c>
    </row>
    <row r="16" spans="1:7" ht="20.100000000000001" customHeight="1">
      <c r="A16" s="233" t="s">
        <v>12</v>
      </c>
      <c r="B16" s="246" t="s">
        <v>33</v>
      </c>
      <c r="C16" s="251">
        <v>2121229</v>
      </c>
      <c r="D16" s="112">
        <v>632.24</v>
      </c>
      <c r="E16" s="174">
        <v>501.42</v>
      </c>
      <c r="F16" s="174">
        <v>130.82</v>
      </c>
      <c r="G16" s="234">
        <v>111.84</v>
      </c>
    </row>
    <row r="17" spans="1:7" ht="20.100000000000001" customHeight="1">
      <c r="A17" s="233" t="s">
        <v>13</v>
      </c>
      <c r="B17" s="246" t="s">
        <v>34</v>
      </c>
      <c r="C17" s="251">
        <v>1173286</v>
      </c>
      <c r="D17" s="112">
        <v>593.59</v>
      </c>
      <c r="E17" s="174">
        <v>593.27</v>
      </c>
      <c r="F17" s="174">
        <v>0.31</v>
      </c>
      <c r="G17" s="234">
        <v>238.65</v>
      </c>
    </row>
    <row r="18" spans="1:7" ht="20.100000000000001" customHeight="1">
      <c r="A18" s="233" t="s">
        <v>14</v>
      </c>
      <c r="B18" s="246" t="s">
        <v>35</v>
      </c>
      <c r="C18" s="251">
        <v>2346671</v>
      </c>
      <c r="D18" s="112">
        <v>532.71</v>
      </c>
      <c r="E18" s="174">
        <v>493.69</v>
      </c>
      <c r="F18" s="174">
        <v>39.020000000000003</v>
      </c>
      <c r="G18" s="234">
        <v>124.28</v>
      </c>
    </row>
    <row r="19" spans="1:7" ht="20.100000000000001" customHeight="1">
      <c r="A19" s="233" t="s">
        <v>15</v>
      </c>
      <c r="B19" s="246" t="s">
        <v>36</v>
      </c>
      <c r="C19" s="251">
        <v>4492330</v>
      </c>
      <c r="D19" s="112">
        <v>487.96</v>
      </c>
      <c r="E19" s="174">
        <v>450.36</v>
      </c>
      <c r="F19" s="174">
        <v>37.6</v>
      </c>
      <c r="G19" s="234">
        <v>86.67</v>
      </c>
    </row>
    <row r="20" spans="1:7" ht="20.100000000000001" customHeight="1">
      <c r="A20" s="233" t="s">
        <v>16</v>
      </c>
      <c r="B20" s="246" t="s">
        <v>37</v>
      </c>
      <c r="C20" s="251">
        <v>1224626</v>
      </c>
      <c r="D20" s="112">
        <v>516.45000000000005</v>
      </c>
      <c r="E20" s="174">
        <v>453.62</v>
      </c>
      <c r="F20" s="174">
        <v>62.83</v>
      </c>
      <c r="G20" s="234">
        <v>84.04</v>
      </c>
    </row>
    <row r="21" spans="1:7" ht="20.100000000000001" customHeight="1">
      <c r="A21" s="233" t="s">
        <v>17</v>
      </c>
      <c r="B21" s="246" t="s">
        <v>43</v>
      </c>
      <c r="C21" s="251">
        <v>1416495</v>
      </c>
      <c r="D21" s="112">
        <v>636.19000000000005</v>
      </c>
      <c r="E21" s="174">
        <v>603.91999999999996</v>
      </c>
      <c r="F21" s="174">
        <v>32.26</v>
      </c>
      <c r="G21" s="234">
        <v>233.68</v>
      </c>
    </row>
    <row r="22" spans="1:7" ht="20.100000000000001" customHeight="1">
      <c r="A22" s="233" t="s">
        <v>18</v>
      </c>
      <c r="B22" s="246" t="s">
        <v>38</v>
      </c>
      <c r="C22" s="251">
        <v>3496450</v>
      </c>
      <c r="D22" s="112">
        <v>552.75</v>
      </c>
      <c r="E22" s="174">
        <v>502.63</v>
      </c>
      <c r="F22" s="174">
        <v>50.12</v>
      </c>
      <c r="G22" s="234">
        <v>104.3</v>
      </c>
    </row>
    <row r="23" spans="1:7" ht="20.100000000000001" customHeight="1">
      <c r="A23" s="235" t="s">
        <v>19</v>
      </c>
      <c r="B23" s="247" t="s">
        <v>39</v>
      </c>
      <c r="C23" s="252">
        <v>1688047</v>
      </c>
      <c r="D23" s="236">
        <v>678.48</v>
      </c>
      <c r="E23" s="237">
        <v>656.43</v>
      </c>
      <c r="F23" s="237">
        <v>22.05</v>
      </c>
      <c r="G23" s="238">
        <v>233.11</v>
      </c>
    </row>
    <row r="25" spans="1:7" ht="13.5">
      <c r="A25" s="171" t="s">
        <v>934</v>
      </c>
      <c r="B25" s="172" t="s">
        <v>935</v>
      </c>
      <c r="C25" s="171"/>
      <c r="D25" s="171"/>
      <c r="E25" s="171"/>
      <c r="F25" s="171"/>
      <c r="G25" s="171"/>
    </row>
    <row r="26" spans="1:7" ht="13.5">
      <c r="A26" s="171"/>
      <c r="B26" s="172" t="s">
        <v>936</v>
      </c>
      <c r="C26" s="171"/>
      <c r="D26" s="171"/>
      <c r="E26" s="171"/>
      <c r="F26" s="171"/>
      <c r="G26" s="171"/>
    </row>
  </sheetData>
  <mergeCells count="6">
    <mergeCell ref="A1:G1"/>
    <mergeCell ref="A3:A5"/>
    <mergeCell ref="B3:B5"/>
    <mergeCell ref="D4:G4"/>
    <mergeCell ref="D5:G5"/>
    <mergeCell ref="C3:C5"/>
  </mergeCells>
  <pageMargins left="0.75" right="0.75" top="1" bottom="1" header="0.5" footer="0.5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showGridLines="0" zoomScaleNormal="100" workbookViewId="0">
      <selection activeCell="O14" sqref="O14"/>
    </sheetView>
  </sheetViews>
  <sheetFormatPr defaultColWidth="9.140625" defaultRowHeight="12.75"/>
  <cols>
    <col min="1" max="1" width="4.5703125" style="30" customWidth="1"/>
    <col min="2" max="2" width="14.28515625" style="30" bestFit="1" customWidth="1"/>
    <col min="3" max="4" width="12.42578125" style="30" bestFit="1" customWidth="1"/>
    <col min="5" max="5" width="9.7109375" style="30" customWidth="1"/>
    <col min="6" max="7" width="12.42578125" style="30" bestFit="1" customWidth="1"/>
    <col min="8" max="8" width="9.140625" style="30"/>
    <col min="9" max="10" width="11.7109375" style="30" bestFit="1" customWidth="1"/>
    <col min="11" max="11" width="11.42578125" style="30" customWidth="1"/>
    <col min="12" max="16384" width="9.140625" style="30"/>
  </cols>
  <sheetData>
    <row r="1" spans="1:11" ht="12.75" customHeight="1">
      <c r="A1" s="2274" t="s">
        <v>972</v>
      </c>
      <c r="B1" s="2274"/>
      <c r="C1" s="2274"/>
      <c r="D1" s="2274"/>
      <c r="E1" s="2274"/>
      <c r="F1" s="2274"/>
      <c r="G1" s="2274"/>
      <c r="H1" s="2274"/>
      <c r="I1" s="2274"/>
      <c r="J1" s="2274"/>
      <c r="K1" s="2274"/>
    </row>
    <row r="2" spans="1:11" ht="21" customHeight="1"/>
    <row r="3" spans="1:11" ht="15" customHeight="1">
      <c r="A3" s="2202" t="s">
        <v>41</v>
      </c>
      <c r="B3" s="2280" t="s">
        <v>971</v>
      </c>
      <c r="C3" s="2013" t="s">
        <v>372</v>
      </c>
      <c r="D3" s="2014"/>
      <c r="E3" s="2015" t="s">
        <v>687</v>
      </c>
      <c r="F3" s="2017" t="s">
        <v>0</v>
      </c>
      <c r="G3" s="2014"/>
      <c r="H3" s="2026" t="s">
        <v>686</v>
      </c>
      <c r="I3" s="2195" t="s">
        <v>685</v>
      </c>
      <c r="J3" s="2197" t="s">
        <v>371</v>
      </c>
      <c r="K3" s="2015" t="s">
        <v>370</v>
      </c>
    </row>
    <row r="4" spans="1:11" ht="42" customHeight="1">
      <c r="A4" s="2203"/>
      <c r="B4" s="2281"/>
      <c r="C4" s="506" t="s">
        <v>70</v>
      </c>
      <c r="D4" s="503" t="s">
        <v>71</v>
      </c>
      <c r="E4" s="2016"/>
      <c r="F4" s="505" t="s">
        <v>70</v>
      </c>
      <c r="G4" s="503" t="s">
        <v>71</v>
      </c>
      <c r="H4" s="2027"/>
      <c r="I4" s="2196"/>
      <c r="J4" s="2345"/>
      <c r="K4" s="2346"/>
    </row>
    <row r="5" spans="1:11" ht="13.5">
      <c r="A5" s="2204"/>
      <c r="B5" s="2282"/>
      <c r="C5" s="2022" t="s">
        <v>885</v>
      </c>
      <c r="D5" s="2023"/>
      <c r="E5" s="507" t="s">
        <v>5</v>
      </c>
      <c r="F5" s="2024" t="s">
        <v>885</v>
      </c>
      <c r="G5" s="2023"/>
      <c r="H5" s="504" t="s">
        <v>5</v>
      </c>
      <c r="I5" s="2347" t="s">
        <v>885</v>
      </c>
      <c r="J5" s="2348"/>
      <c r="K5" s="698" t="s">
        <v>5</v>
      </c>
    </row>
    <row r="6" spans="1:11">
      <c r="A6" s="508" t="s">
        <v>887</v>
      </c>
      <c r="B6" s="502" t="s">
        <v>888</v>
      </c>
      <c r="C6" s="508" t="s">
        <v>889</v>
      </c>
      <c r="D6" s="501" t="s">
        <v>890</v>
      </c>
      <c r="E6" s="509" t="s">
        <v>891</v>
      </c>
      <c r="F6" s="500" t="s">
        <v>892</v>
      </c>
      <c r="G6" s="501" t="s">
        <v>893</v>
      </c>
      <c r="H6" s="502" t="s">
        <v>894</v>
      </c>
      <c r="I6" s="649" t="s">
        <v>932</v>
      </c>
      <c r="J6" s="500" t="s">
        <v>966</v>
      </c>
      <c r="K6" s="509" t="s">
        <v>967</v>
      </c>
    </row>
    <row r="7" spans="1:11" ht="19.899999999999999" customHeight="1">
      <c r="A7" s="1673"/>
      <c r="B7" s="1674" t="s">
        <v>933</v>
      </c>
      <c r="C7" s="1675">
        <v>21843643459.889999</v>
      </c>
      <c r="D7" s="1676">
        <v>22826558202.360001</v>
      </c>
      <c r="E7" s="1677">
        <v>104.49977470230579</v>
      </c>
      <c r="F7" s="1678">
        <v>22963188906.029999</v>
      </c>
      <c r="G7" s="1676">
        <v>20802073580.949997</v>
      </c>
      <c r="H7" s="1679">
        <v>90.588783927512324</v>
      </c>
      <c r="I7" s="1680">
        <v>2024484621.4099998</v>
      </c>
      <c r="J7" s="677">
        <v>5686343205.7799988</v>
      </c>
      <c r="K7" s="676">
        <v>24.911084515545127</v>
      </c>
    </row>
    <row r="8" spans="1:11" s="39" customFormat="1" ht="19.899999999999999" customHeight="1">
      <c r="A8" s="629">
        <v>2</v>
      </c>
      <c r="B8" s="672" t="s">
        <v>51</v>
      </c>
      <c r="C8" s="510">
        <v>1479729989</v>
      </c>
      <c r="D8" s="178">
        <v>1601576666.0599999</v>
      </c>
      <c r="E8" s="511">
        <v>108.2</v>
      </c>
      <c r="F8" s="163">
        <v>1355485495</v>
      </c>
      <c r="G8" s="178">
        <v>1320080954.8299999</v>
      </c>
      <c r="H8" s="126">
        <v>97.4</v>
      </c>
      <c r="I8" s="1672">
        <v>281495711.23000002</v>
      </c>
      <c r="J8" s="176">
        <v>268436075.11000001</v>
      </c>
      <c r="K8" s="513">
        <v>16.8</v>
      </c>
    </row>
    <row r="9" spans="1:11" s="39" customFormat="1" ht="19.899999999999999" customHeight="1">
      <c r="A9" s="629">
        <v>4</v>
      </c>
      <c r="B9" s="672" t="s">
        <v>52</v>
      </c>
      <c r="C9" s="510">
        <v>1407521837.1099999</v>
      </c>
      <c r="D9" s="178">
        <v>1319534072.8499999</v>
      </c>
      <c r="E9" s="511">
        <v>93.7</v>
      </c>
      <c r="F9" s="163">
        <v>1421810199.1099999</v>
      </c>
      <c r="G9" s="178">
        <v>1215459522.6500001</v>
      </c>
      <c r="H9" s="126">
        <v>85.5</v>
      </c>
      <c r="I9" s="651">
        <v>104074550.19999981</v>
      </c>
      <c r="J9" s="176">
        <v>242683975.77000001</v>
      </c>
      <c r="K9" s="513">
        <v>18.399999999999999</v>
      </c>
    </row>
    <row r="10" spans="1:11" s="39" customFormat="1" ht="19.899999999999999" customHeight="1">
      <c r="A10" s="629">
        <v>6</v>
      </c>
      <c r="B10" s="672" t="s">
        <v>53</v>
      </c>
      <c r="C10" s="510">
        <v>1241599509.24</v>
      </c>
      <c r="D10" s="178">
        <v>1364764031.97</v>
      </c>
      <c r="E10" s="511">
        <v>109.9</v>
      </c>
      <c r="F10" s="163">
        <v>1295139161.3800001</v>
      </c>
      <c r="G10" s="178">
        <v>1181793360.8399999</v>
      </c>
      <c r="H10" s="126">
        <v>91.2</v>
      </c>
      <c r="I10" s="651">
        <v>182970671.13000011</v>
      </c>
      <c r="J10" s="176">
        <v>605326951.72000003</v>
      </c>
      <c r="K10" s="513">
        <v>44.4</v>
      </c>
    </row>
    <row r="11" spans="1:11" s="39" customFormat="1" ht="19.899999999999999" customHeight="1">
      <c r="A11" s="629">
        <v>8</v>
      </c>
      <c r="B11" s="672" t="s">
        <v>54</v>
      </c>
      <c r="C11" s="510">
        <v>528888197.49000001</v>
      </c>
      <c r="D11" s="178">
        <v>618176624.50999999</v>
      </c>
      <c r="E11" s="511">
        <v>116.9</v>
      </c>
      <c r="F11" s="163">
        <v>573766997.49000001</v>
      </c>
      <c r="G11" s="178">
        <v>548435800.13999999</v>
      </c>
      <c r="H11" s="126">
        <v>95.6</v>
      </c>
      <c r="I11" s="651">
        <v>69740824.370000005</v>
      </c>
      <c r="J11" s="176">
        <v>208227775.66</v>
      </c>
      <c r="K11" s="513">
        <v>33.700000000000003</v>
      </c>
    </row>
    <row r="12" spans="1:11" s="39" customFormat="1" ht="19.899999999999999" customHeight="1">
      <c r="A12" s="629">
        <v>10</v>
      </c>
      <c r="B12" s="672" t="s">
        <v>55</v>
      </c>
      <c r="C12" s="510">
        <v>1174242044</v>
      </c>
      <c r="D12" s="178">
        <v>1244966220.25</v>
      </c>
      <c r="E12" s="511">
        <v>106</v>
      </c>
      <c r="F12" s="163">
        <v>1169420446</v>
      </c>
      <c r="G12" s="178">
        <v>1066790872.97</v>
      </c>
      <c r="H12" s="126">
        <v>91.2</v>
      </c>
      <c r="I12" s="651">
        <v>178175347.27999997</v>
      </c>
      <c r="J12" s="176">
        <v>485268850</v>
      </c>
      <c r="K12" s="513">
        <v>39</v>
      </c>
    </row>
    <row r="13" spans="1:11" s="39" customFormat="1" ht="19.899999999999999" customHeight="1">
      <c r="A13" s="629">
        <v>12</v>
      </c>
      <c r="B13" s="672" t="s">
        <v>56</v>
      </c>
      <c r="C13" s="510">
        <v>1930967506.8</v>
      </c>
      <c r="D13" s="178">
        <v>2012137514.3099999</v>
      </c>
      <c r="E13" s="511">
        <v>104.2</v>
      </c>
      <c r="F13" s="163">
        <v>2072380821.8</v>
      </c>
      <c r="G13" s="178">
        <v>1949855117.1099999</v>
      </c>
      <c r="H13" s="126">
        <v>94.1</v>
      </c>
      <c r="I13" s="651">
        <v>62282397.200000048</v>
      </c>
      <c r="J13" s="176">
        <v>494240558.77999997</v>
      </c>
      <c r="K13" s="513">
        <v>24.6</v>
      </c>
    </row>
    <row r="14" spans="1:11" s="39" customFormat="1" ht="19.899999999999999" customHeight="1">
      <c r="A14" s="629">
        <v>14</v>
      </c>
      <c r="B14" s="672" t="s">
        <v>57</v>
      </c>
      <c r="C14" s="510">
        <v>3966131310</v>
      </c>
      <c r="D14" s="178">
        <v>3945568544.3699999</v>
      </c>
      <c r="E14" s="511">
        <v>99.5</v>
      </c>
      <c r="F14" s="163">
        <v>4077890717</v>
      </c>
      <c r="G14" s="178">
        <v>3760455312.6599998</v>
      </c>
      <c r="H14" s="126">
        <v>92.2</v>
      </c>
      <c r="I14" s="651">
        <v>185113231.71000004</v>
      </c>
      <c r="J14" s="176">
        <v>930702279.99000001</v>
      </c>
      <c r="K14" s="513">
        <v>23.6</v>
      </c>
    </row>
    <row r="15" spans="1:11" s="39" customFormat="1" ht="19.899999999999999" customHeight="1">
      <c r="A15" s="629">
        <v>16</v>
      </c>
      <c r="B15" s="672" t="s">
        <v>58</v>
      </c>
      <c r="C15" s="510">
        <v>563163778</v>
      </c>
      <c r="D15" s="178">
        <v>628499786.65999997</v>
      </c>
      <c r="E15" s="511">
        <v>111.6</v>
      </c>
      <c r="F15" s="163">
        <v>567937878</v>
      </c>
      <c r="G15" s="178">
        <v>541305245.14999998</v>
      </c>
      <c r="H15" s="126">
        <v>95.3</v>
      </c>
      <c r="I15" s="651">
        <v>87194541.50999999</v>
      </c>
      <c r="J15" s="176">
        <v>61150000</v>
      </c>
      <c r="K15" s="513">
        <v>9.6999999999999993</v>
      </c>
    </row>
    <row r="16" spans="1:11" s="39" customFormat="1" ht="19.899999999999999" customHeight="1">
      <c r="A16" s="629">
        <v>18</v>
      </c>
      <c r="B16" s="672" t="s">
        <v>59</v>
      </c>
      <c r="C16" s="510">
        <v>1256442691</v>
      </c>
      <c r="D16" s="178">
        <v>1341124503.2</v>
      </c>
      <c r="E16" s="511">
        <v>106.7</v>
      </c>
      <c r="F16" s="163">
        <v>1320540199</v>
      </c>
      <c r="G16" s="178">
        <v>1063625836.25</v>
      </c>
      <c r="H16" s="126">
        <v>80.5</v>
      </c>
      <c r="I16" s="651">
        <v>277498666.95000005</v>
      </c>
      <c r="J16" s="176">
        <v>237240001.59999999</v>
      </c>
      <c r="K16" s="513">
        <v>17.7</v>
      </c>
    </row>
    <row r="17" spans="1:11" s="39" customFormat="1" ht="19.899999999999999" customHeight="1">
      <c r="A17" s="629">
        <v>20</v>
      </c>
      <c r="B17" s="672" t="s">
        <v>60</v>
      </c>
      <c r="C17" s="510">
        <v>702086302</v>
      </c>
      <c r="D17" s="178">
        <v>696446528.12</v>
      </c>
      <c r="E17" s="511">
        <v>99.2</v>
      </c>
      <c r="F17" s="163">
        <v>842494271</v>
      </c>
      <c r="G17" s="178">
        <v>696080317.34000003</v>
      </c>
      <c r="H17" s="126">
        <v>82.6</v>
      </c>
      <c r="I17" s="651">
        <v>366210.77999997139</v>
      </c>
      <c r="J17" s="176">
        <v>280000265</v>
      </c>
      <c r="K17" s="513">
        <v>40.200000000000003</v>
      </c>
    </row>
    <row r="18" spans="1:11" s="39" customFormat="1" ht="19.899999999999999" customHeight="1">
      <c r="A18" s="629">
        <v>22</v>
      </c>
      <c r="B18" s="672" t="s">
        <v>61</v>
      </c>
      <c r="C18" s="510">
        <v>1181175952</v>
      </c>
      <c r="D18" s="178">
        <v>1250090540.6800001</v>
      </c>
      <c r="E18" s="511">
        <v>105.8</v>
      </c>
      <c r="F18" s="163">
        <v>1279912239</v>
      </c>
      <c r="G18" s="178">
        <v>1158531905.24</v>
      </c>
      <c r="H18" s="126">
        <v>90.5</v>
      </c>
      <c r="I18" s="651">
        <v>91558635.440000057</v>
      </c>
      <c r="J18" s="176">
        <v>291645639.18000001</v>
      </c>
      <c r="K18" s="513">
        <v>23.3</v>
      </c>
    </row>
    <row r="19" spans="1:11" s="39" customFormat="1" ht="19.899999999999999" customHeight="1">
      <c r="A19" s="629">
        <v>24</v>
      </c>
      <c r="B19" s="672" t="s">
        <v>62</v>
      </c>
      <c r="C19" s="510">
        <v>1924514449</v>
      </c>
      <c r="D19" s="178">
        <v>2192084985.9000001</v>
      </c>
      <c r="E19" s="511">
        <v>113.9</v>
      </c>
      <c r="F19" s="163">
        <v>2210797861</v>
      </c>
      <c r="G19" s="178">
        <v>2023185408.71</v>
      </c>
      <c r="H19" s="126">
        <v>91.5</v>
      </c>
      <c r="I19" s="651">
        <v>168899577.19000006</v>
      </c>
      <c r="J19" s="176">
        <v>389331165.98000002</v>
      </c>
      <c r="K19" s="513">
        <v>17.8</v>
      </c>
    </row>
    <row r="20" spans="1:11" s="39" customFormat="1" ht="19.899999999999999" customHeight="1">
      <c r="A20" s="629">
        <v>26</v>
      </c>
      <c r="B20" s="672" t="s">
        <v>63</v>
      </c>
      <c r="C20" s="510">
        <v>622145798.36000001</v>
      </c>
      <c r="D20" s="178">
        <v>632462400.91999996</v>
      </c>
      <c r="E20" s="511">
        <v>101.7</v>
      </c>
      <c r="F20" s="163">
        <v>684742023.36000001</v>
      </c>
      <c r="G20" s="178">
        <v>555518682.74000001</v>
      </c>
      <c r="H20" s="126">
        <v>81.099999999999994</v>
      </c>
      <c r="I20" s="651">
        <v>76943718.179999948</v>
      </c>
      <c r="J20" s="176">
        <v>102916666.68000001</v>
      </c>
      <c r="K20" s="513">
        <v>16.3</v>
      </c>
    </row>
    <row r="21" spans="1:11" s="39" customFormat="1" ht="19.899999999999999" customHeight="1">
      <c r="A21" s="629">
        <v>28</v>
      </c>
      <c r="B21" s="672" t="s">
        <v>64</v>
      </c>
      <c r="C21" s="510">
        <v>885940390</v>
      </c>
      <c r="D21" s="178">
        <v>901153017.09000003</v>
      </c>
      <c r="E21" s="511">
        <v>101.7</v>
      </c>
      <c r="F21" s="163">
        <v>927389232</v>
      </c>
      <c r="G21" s="178">
        <v>855450936.72000003</v>
      </c>
      <c r="H21" s="126">
        <v>92.2</v>
      </c>
      <c r="I21" s="651">
        <v>45702080.370000005</v>
      </c>
      <c r="J21" s="176">
        <v>331000150</v>
      </c>
      <c r="K21" s="513">
        <v>36.700000000000003</v>
      </c>
    </row>
    <row r="22" spans="1:11" s="39" customFormat="1" ht="19.899999999999999" customHeight="1">
      <c r="A22" s="629">
        <v>30</v>
      </c>
      <c r="B22" s="672" t="s">
        <v>65</v>
      </c>
      <c r="C22" s="510">
        <v>1862390322.8900001</v>
      </c>
      <c r="D22" s="178">
        <v>1932661524.0699999</v>
      </c>
      <c r="E22" s="511">
        <v>103.8</v>
      </c>
      <c r="F22" s="163">
        <v>1889676566.8900001</v>
      </c>
      <c r="G22" s="178">
        <v>1757411931.4400001</v>
      </c>
      <c r="H22" s="126">
        <v>93</v>
      </c>
      <c r="I22" s="651">
        <v>175249592.62999988</v>
      </c>
      <c r="J22" s="176">
        <v>364670200.02999997</v>
      </c>
      <c r="K22" s="513">
        <v>18.899999999999999</v>
      </c>
    </row>
    <row r="23" spans="1:11" s="39" customFormat="1" ht="19.899999999999999" customHeight="1">
      <c r="A23" s="630">
        <v>32</v>
      </c>
      <c r="B23" s="673" t="s">
        <v>66</v>
      </c>
      <c r="C23" s="674">
        <v>1116703383</v>
      </c>
      <c r="D23" s="632">
        <v>1145311241.4000001</v>
      </c>
      <c r="E23" s="675">
        <v>102.6</v>
      </c>
      <c r="F23" s="633">
        <v>1273804798</v>
      </c>
      <c r="G23" s="632">
        <v>1108092376.1600001</v>
      </c>
      <c r="H23" s="671">
        <v>87</v>
      </c>
      <c r="I23" s="652">
        <v>37218865.24000001</v>
      </c>
      <c r="J23" s="497">
        <v>393502650.27999997</v>
      </c>
      <c r="K23" s="515">
        <v>34.4</v>
      </c>
    </row>
    <row r="24" spans="1:11" s="39" customFormat="1" ht="15.6" customHeight="1"/>
    <row r="25" spans="1:11" ht="13.5">
      <c r="A25" s="127" t="s">
        <v>1161</v>
      </c>
    </row>
  </sheetData>
  <mergeCells count="13">
    <mergeCell ref="A1:K1"/>
    <mergeCell ref="A3:A5"/>
    <mergeCell ref="B3:B5"/>
    <mergeCell ref="C3:D3"/>
    <mergeCell ref="E3:E4"/>
    <mergeCell ref="H3:H4"/>
    <mergeCell ref="F5:G5"/>
    <mergeCell ref="I3:I4"/>
    <mergeCell ref="J3:J4"/>
    <mergeCell ref="K3:K4"/>
    <mergeCell ref="C5:D5"/>
    <mergeCell ref="I5:J5"/>
    <mergeCell ref="F3:G3"/>
  </mergeCells>
  <printOptions horizontalCentered="1"/>
  <pageMargins left="0.46" right="0.46" top="0.59055118110236227" bottom="0.6692913385826772" header="0.31496062992125984" footer="0.59055118110236227"/>
  <pageSetup paperSize="9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showGridLines="0" zoomScaleNormal="100" workbookViewId="0">
      <selection activeCell="L4" sqref="L4"/>
    </sheetView>
  </sheetViews>
  <sheetFormatPr defaultColWidth="9.140625" defaultRowHeight="13.5"/>
  <cols>
    <col min="1" max="1" width="36.85546875" style="225" customWidth="1"/>
    <col min="2" max="2" width="15.5703125" style="225" customWidth="1"/>
    <col min="3" max="3" width="16" style="225" customWidth="1"/>
    <col min="4" max="4" width="16.85546875" style="225" customWidth="1"/>
    <col min="5" max="7" width="9.28515625" style="225" customWidth="1"/>
    <col min="8" max="16384" width="9.140625" style="225"/>
  </cols>
  <sheetData>
    <row r="1" spans="1:7">
      <c r="A1" s="2275" t="s">
        <v>98</v>
      </c>
      <c r="B1" s="2275"/>
      <c r="C1" s="2275"/>
      <c r="D1" s="2275"/>
      <c r="E1" s="2275"/>
      <c r="F1" s="2276"/>
      <c r="G1" s="2277"/>
    </row>
    <row r="3" spans="1:7" ht="24" customHeight="1">
      <c r="A3" s="1814" t="s">
        <v>68</v>
      </c>
      <c r="B3" s="2349" t="s">
        <v>1152</v>
      </c>
      <c r="C3" s="2352" t="s">
        <v>1153</v>
      </c>
      <c r="D3" s="2355" t="s">
        <v>1037</v>
      </c>
      <c r="E3" s="2358" t="s">
        <v>1034</v>
      </c>
      <c r="F3" s="2361" t="s">
        <v>22</v>
      </c>
      <c r="G3" s="2364" t="s">
        <v>1025</v>
      </c>
    </row>
    <row r="4" spans="1:7">
      <c r="A4" s="1815"/>
      <c r="B4" s="2350"/>
      <c r="C4" s="2353"/>
      <c r="D4" s="2356"/>
      <c r="E4" s="2359"/>
      <c r="F4" s="2362"/>
      <c r="G4" s="2365"/>
    </row>
    <row r="5" spans="1:7">
      <c r="A5" s="1815"/>
      <c r="B5" s="2351"/>
      <c r="C5" s="2354"/>
      <c r="D5" s="2357"/>
      <c r="E5" s="2360"/>
      <c r="F5" s="2363"/>
      <c r="G5" s="2366"/>
    </row>
    <row r="6" spans="1:7">
      <c r="A6" s="1816"/>
      <c r="B6" s="2367" t="s">
        <v>4</v>
      </c>
      <c r="C6" s="2368"/>
      <c r="D6" s="2369"/>
      <c r="E6" s="2370" t="s">
        <v>72</v>
      </c>
      <c r="F6" s="2371"/>
      <c r="G6" s="2372"/>
    </row>
    <row r="7" spans="1:7">
      <c r="A7" s="275" t="s">
        <v>887</v>
      </c>
      <c r="B7" s="702" t="s">
        <v>888</v>
      </c>
      <c r="C7" s="701" t="s">
        <v>889</v>
      </c>
      <c r="D7" s="703" t="s">
        <v>890</v>
      </c>
      <c r="E7" s="704" t="s">
        <v>891</v>
      </c>
      <c r="F7" s="699" t="s">
        <v>892</v>
      </c>
      <c r="G7" s="700" t="s">
        <v>893</v>
      </c>
    </row>
    <row r="8" spans="1:7" ht="27">
      <c r="A8" s="270" t="s">
        <v>1146</v>
      </c>
      <c r="B8" s="622">
        <v>20956585879.830002</v>
      </c>
      <c r="C8" s="266">
        <v>21843643459.889999</v>
      </c>
      <c r="D8" s="280">
        <v>22826558202.360001</v>
      </c>
      <c r="E8" s="620">
        <v>104.49977470230579</v>
      </c>
      <c r="F8" s="618">
        <v>100</v>
      </c>
      <c r="G8" s="619">
        <v>108.9230771331402</v>
      </c>
    </row>
    <row r="9" spans="1:7" ht="27">
      <c r="A9" s="271" t="s">
        <v>1147</v>
      </c>
      <c r="B9" s="553">
        <v>10669207739.850002</v>
      </c>
      <c r="C9" s="267">
        <v>11124906979.439999</v>
      </c>
      <c r="D9" s="281">
        <v>12698763482.710001</v>
      </c>
      <c r="E9" s="535">
        <v>114.14714303839713</v>
      </c>
      <c r="F9" s="526">
        <v>55.631529598698314</v>
      </c>
      <c r="G9" s="527">
        <v>119.02255342990004</v>
      </c>
    </row>
    <row r="10" spans="1:7" ht="20.100000000000001" customHeight="1">
      <c r="A10" s="272" t="s">
        <v>78</v>
      </c>
      <c r="B10" s="554">
        <v>7291727831.4700003</v>
      </c>
      <c r="C10" s="268">
        <v>7933705922</v>
      </c>
      <c r="D10" s="282">
        <v>9239933501.0200005</v>
      </c>
      <c r="E10" s="536">
        <v>116.46428027282761</v>
      </c>
      <c r="F10" s="528">
        <v>40.478872982544949</v>
      </c>
      <c r="G10" s="529">
        <v>126.71802506316594</v>
      </c>
    </row>
    <row r="11" spans="1:7" ht="20.100000000000001" customHeight="1">
      <c r="A11" s="272" t="s">
        <v>79</v>
      </c>
      <c r="B11" s="554">
        <v>1762132061</v>
      </c>
      <c r="C11" s="268">
        <v>1836041095</v>
      </c>
      <c r="D11" s="282">
        <v>1983431946</v>
      </c>
      <c r="E11" s="536">
        <v>108.02764444659665</v>
      </c>
      <c r="F11" s="528">
        <v>8.6891415184744591</v>
      </c>
      <c r="G11" s="529">
        <v>112.55864358284325</v>
      </c>
    </row>
    <row r="12" spans="1:7" ht="20.100000000000001" customHeight="1">
      <c r="A12" s="272" t="s">
        <v>90</v>
      </c>
      <c r="B12" s="554">
        <v>244422987.06</v>
      </c>
      <c r="C12" s="268">
        <v>250481673.83000001</v>
      </c>
      <c r="D12" s="533">
        <v>287024482.99000001</v>
      </c>
      <c r="E12" s="536">
        <v>114.58901507692786</v>
      </c>
      <c r="F12" s="528">
        <v>1.2574146327514457</v>
      </c>
      <c r="G12" s="529">
        <v>117.42941465629923</v>
      </c>
    </row>
    <row r="13" spans="1:7" ht="20.100000000000001" customHeight="1">
      <c r="A13" s="272" t="s">
        <v>91</v>
      </c>
      <c r="B13" s="554">
        <v>1370924860.3200021</v>
      </c>
      <c r="C13" s="268">
        <v>1104678288.6099987</v>
      </c>
      <c r="D13" s="282">
        <v>1188373552.7000005</v>
      </c>
      <c r="E13" s="536">
        <v>107.57643786005013</v>
      </c>
      <c r="F13" s="528">
        <v>5.2061004649274567</v>
      </c>
      <c r="G13" s="529">
        <v>86.684076355768298</v>
      </c>
    </row>
    <row r="14" spans="1:7" ht="27">
      <c r="A14" s="271" t="s">
        <v>1145</v>
      </c>
      <c r="B14" s="553">
        <v>7078326596.9799995</v>
      </c>
      <c r="C14" s="267">
        <v>7061736761.4499998</v>
      </c>
      <c r="D14" s="281">
        <v>6453699667.6499996</v>
      </c>
      <c r="E14" s="535">
        <v>91.389694711940081</v>
      </c>
      <c r="F14" s="526">
        <v>28.272767232086537</v>
      </c>
      <c r="G14" s="527">
        <v>91.175500017242783</v>
      </c>
    </row>
    <row r="15" spans="1:7" ht="20.100000000000001" customHeight="1">
      <c r="A15" s="272" t="s">
        <v>92</v>
      </c>
      <c r="B15" s="554">
        <v>949928577.63</v>
      </c>
      <c r="C15" s="268">
        <v>1599074639.3299999</v>
      </c>
      <c r="D15" s="282">
        <v>1450970984.6800001</v>
      </c>
      <c r="E15" s="536">
        <v>90.73816499822334</v>
      </c>
      <c r="F15" s="528">
        <v>6.3565035596561668</v>
      </c>
      <c r="G15" s="529">
        <v>152.7452714708366</v>
      </c>
    </row>
    <row r="16" spans="1:7" s="228" customFormat="1" ht="54">
      <c r="A16" s="273" t="s">
        <v>93</v>
      </c>
      <c r="B16" s="553">
        <v>6128398019.3499994</v>
      </c>
      <c r="C16" s="621">
        <v>5462662122.1199999</v>
      </c>
      <c r="D16" s="283">
        <v>5002728682.9700003</v>
      </c>
      <c r="E16" s="536">
        <v>91.580415759422735</v>
      </c>
      <c r="F16" s="528">
        <v>21.916263672430372</v>
      </c>
      <c r="G16" s="529">
        <v>81.631915341892366</v>
      </c>
    </row>
    <row r="17" spans="1:7" ht="20.100000000000001" customHeight="1">
      <c r="A17" s="662" t="s">
        <v>94</v>
      </c>
      <c r="B17" s="555">
        <v>3209051543</v>
      </c>
      <c r="C17" s="269">
        <v>3656999719</v>
      </c>
      <c r="D17" s="284">
        <v>3674095052</v>
      </c>
      <c r="E17" s="537">
        <v>100.46746880813745</v>
      </c>
      <c r="F17" s="530">
        <v>16.095703169215152</v>
      </c>
      <c r="G17" s="531">
        <v>114.49161855983314</v>
      </c>
    </row>
    <row r="19" spans="1:7">
      <c r="A19" s="164" t="s">
        <v>1035</v>
      </c>
    </row>
    <row r="20" spans="1:7">
      <c r="D20" s="226"/>
    </row>
    <row r="29" spans="1:7">
      <c r="E29" s="226" t="s">
        <v>3</v>
      </c>
      <c r="F29" s="226" t="s">
        <v>3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8" orientation="landscape" r:id="rId1"/>
  <headerFooter alignWithMargins="0"/>
  <colBreaks count="1" manualBreakCount="1">
    <brk id="7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8"/>
  <sheetViews>
    <sheetView showGridLines="0" zoomScaleNormal="100" workbookViewId="0">
      <selection activeCell="L4" sqref="L4"/>
    </sheetView>
  </sheetViews>
  <sheetFormatPr defaultRowHeight="12.75"/>
  <cols>
    <col min="1" max="1" width="6" customWidth="1"/>
    <col min="2" max="2" width="25.7109375" customWidth="1"/>
    <col min="3" max="5" width="12.42578125" bestFit="1" customWidth="1"/>
    <col min="6" max="7" width="7.140625" bestFit="1" customWidth="1"/>
    <col min="8" max="8" width="7.42578125" bestFit="1" customWidth="1"/>
  </cols>
  <sheetData>
    <row r="1" spans="1:8">
      <c r="A1" s="1797" t="s">
        <v>705</v>
      </c>
      <c r="B1" s="1797"/>
      <c r="C1" s="1797"/>
      <c r="D1" s="1797"/>
      <c r="E1" s="1797"/>
      <c r="F1" s="1797"/>
      <c r="G1" s="1797"/>
      <c r="H1" s="1797"/>
    </row>
    <row r="3" spans="1:8" ht="13.5">
      <c r="A3" s="2041" t="s">
        <v>881</v>
      </c>
      <c r="B3" s="2044" t="s">
        <v>68</v>
      </c>
      <c r="C3" s="565" t="s">
        <v>71</v>
      </c>
      <c r="D3" s="563" t="s">
        <v>70</v>
      </c>
      <c r="E3" s="561" t="s">
        <v>71</v>
      </c>
      <c r="F3" s="346" t="s">
        <v>265</v>
      </c>
      <c r="G3" s="2050" t="s">
        <v>22</v>
      </c>
      <c r="H3" s="558" t="s">
        <v>882</v>
      </c>
    </row>
    <row r="4" spans="1:8" ht="13.5">
      <c r="A4" s="2042"/>
      <c r="B4" s="2045"/>
      <c r="C4" s="566">
        <v>2020</v>
      </c>
      <c r="D4" s="564">
        <v>2021</v>
      </c>
      <c r="E4" s="562">
        <v>2021</v>
      </c>
      <c r="F4" s="347" t="s">
        <v>883</v>
      </c>
      <c r="G4" s="2051"/>
      <c r="H4" s="559" t="s">
        <v>884</v>
      </c>
    </row>
    <row r="5" spans="1:8" ht="13.5">
      <c r="A5" s="2042"/>
      <c r="B5" s="2045"/>
      <c r="C5" s="2047" t="s">
        <v>885</v>
      </c>
      <c r="D5" s="2048"/>
      <c r="E5" s="2049"/>
      <c r="F5" s="2047" t="s">
        <v>886</v>
      </c>
      <c r="G5" s="2048"/>
      <c r="H5" s="2049"/>
    </row>
    <row r="6" spans="1:8">
      <c r="A6" s="239" t="s">
        <v>887</v>
      </c>
      <c r="B6" s="244" t="s">
        <v>888</v>
      </c>
      <c r="C6" s="249" t="s">
        <v>889</v>
      </c>
      <c r="D6" s="240" t="s">
        <v>890</v>
      </c>
      <c r="E6" s="242" t="s">
        <v>891</v>
      </c>
      <c r="F6" s="239" t="s">
        <v>892</v>
      </c>
      <c r="G6" s="241" t="s">
        <v>893</v>
      </c>
      <c r="H6" s="242" t="s">
        <v>894</v>
      </c>
    </row>
    <row r="7" spans="1:8" ht="19.899999999999999" customHeight="1">
      <c r="A7" s="348"/>
      <c r="B7" s="1563" t="s">
        <v>933</v>
      </c>
      <c r="C7" s="567">
        <v>20956585879.830002</v>
      </c>
      <c r="D7" s="159">
        <v>21843643459.889999</v>
      </c>
      <c r="E7" s="332">
        <v>22826558202.360001</v>
      </c>
      <c r="F7" s="560">
        <v>104.5</v>
      </c>
      <c r="G7" s="150">
        <v>100</v>
      </c>
      <c r="H7" s="343">
        <v>108.9</v>
      </c>
    </row>
    <row r="8" spans="1:8" ht="19.899999999999999" customHeight="1">
      <c r="A8" s="233" t="s">
        <v>895</v>
      </c>
      <c r="B8" s="63" t="s">
        <v>99</v>
      </c>
      <c r="C8" s="568">
        <v>355121565.87</v>
      </c>
      <c r="D8" s="160">
        <v>347717272.41000003</v>
      </c>
      <c r="E8" s="334">
        <v>374935421.82999998</v>
      </c>
      <c r="F8" s="369">
        <v>107.8</v>
      </c>
      <c r="G8" s="157">
        <v>1.6</v>
      </c>
      <c r="H8" s="344">
        <v>105.6</v>
      </c>
    </row>
    <row r="9" spans="1:8" ht="19.899999999999999" customHeight="1">
      <c r="A9" s="233" t="s">
        <v>896</v>
      </c>
      <c r="B9" s="63" t="s">
        <v>100</v>
      </c>
      <c r="C9" s="568">
        <v>5897.57</v>
      </c>
      <c r="D9" s="160">
        <v>4350</v>
      </c>
      <c r="E9" s="334">
        <v>5506.7</v>
      </c>
      <c r="F9" s="369">
        <v>126.6</v>
      </c>
      <c r="G9" s="157">
        <v>0</v>
      </c>
      <c r="H9" s="344">
        <v>93.4</v>
      </c>
    </row>
    <row r="10" spans="1:8" ht="19.899999999999999" customHeight="1">
      <c r="A10" s="233" t="s">
        <v>897</v>
      </c>
      <c r="B10" s="63" t="s">
        <v>101</v>
      </c>
      <c r="C10" s="568">
        <v>7157580.8600000003</v>
      </c>
      <c r="D10" s="160">
        <v>6438586.7300000004</v>
      </c>
      <c r="E10" s="334">
        <v>5974661.8200000003</v>
      </c>
      <c r="F10" s="369">
        <v>92.8</v>
      </c>
      <c r="G10" s="157">
        <v>0</v>
      </c>
      <c r="H10" s="344">
        <v>83.5</v>
      </c>
    </row>
    <row r="11" spans="1:8" ht="19.899999999999999" customHeight="1">
      <c r="A11" s="233" t="s">
        <v>898</v>
      </c>
      <c r="B11" s="63" t="s">
        <v>126</v>
      </c>
      <c r="C11" s="568">
        <v>1206165.95</v>
      </c>
      <c r="D11" s="160">
        <v>844403</v>
      </c>
      <c r="E11" s="334">
        <v>932594.9</v>
      </c>
      <c r="F11" s="369">
        <v>110.4</v>
      </c>
      <c r="G11" s="157">
        <v>0</v>
      </c>
      <c r="H11" s="344">
        <v>77.3</v>
      </c>
    </row>
    <row r="12" spans="1:8" ht="19.899999999999999" customHeight="1">
      <c r="A12" s="233" t="s">
        <v>899</v>
      </c>
      <c r="B12" s="63" t="s">
        <v>102</v>
      </c>
      <c r="C12" s="568">
        <v>17939932.59</v>
      </c>
      <c r="D12" s="160">
        <v>21646835.41</v>
      </c>
      <c r="E12" s="334">
        <v>22524340.34</v>
      </c>
      <c r="F12" s="369">
        <v>104.1</v>
      </c>
      <c r="G12" s="157">
        <v>0.1</v>
      </c>
      <c r="H12" s="344">
        <v>125.6</v>
      </c>
    </row>
    <row r="13" spans="1:8" ht="27">
      <c r="A13" s="233" t="s">
        <v>900</v>
      </c>
      <c r="B13" s="63" t="s">
        <v>103</v>
      </c>
      <c r="C13" s="568">
        <v>82955.399999999994</v>
      </c>
      <c r="D13" s="160">
        <v>0</v>
      </c>
      <c r="E13" s="334">
        <v>0</v>
      </c>
      <c r="F13" s="626" t="s">
        <v>913</v>
      </c>
      <c r="G13" s="157">
        <v>0</v>
      </c>
      <c r="H13" s="344">
        <v>0</v>
      </c>
    </row>
    <row r="14" spans="1:8" ht="19.899999999999999" customHeight="1">
      <c r="A14" s="233" t="s">
        <v>901</v>
      </c>
      <c r="B14" s="63" t="s">
        <v>216</v>
      </c>
      <c r="C14" s="568">
        <v>14140</v>
      </c>
      <c r="D14" s="160">
        <v>0</v>
      </c>
      <c r="E14" s="334">
        <v>0</v>
      </c>
      <c r="F14" s="626" t="s">
        <v>913</v>
      </c>
      <c r="G14" s="157">
        <v>0</v>
      </c>
      <c r="H14" s="344">
        <v>0</v>
      </c>
    </row>
    <row r="15" spans="1:8" ht="19.899999999999999" customHeight="1">
      <c r="A15" s="233" t="s">
        <v>903</v>
      </c>
      <c r="B15" s="63" t="s">
        <v>104</v>
      </c>
      <c r="C15" s="568">
        <v>1402360226.4300001</v>
      </c>
      <c r="D15" s="160">
        <v>1629449499.8099999</v>
      </c>
      <c r="E15" s="334">
        <v>1508127386.95</v>
      </c>
      <c r="F15" s="369">
        <v>92.6</v>
      </c>
      <c r="G15" s="157">
        <v>6.6</v>
      </c>
      <c r="H15" s="344">
        <v>107.5</v>
      </c>
    </row>
    <row r="16" spans="1:8" ht="19.899999999999999" customHeight="1">
      <c r="A16" s="233" t="s">
        <v>904</v>
      </c>
      <c r="B16" s="63" t="s">
        <v>105</v>
      </c>
      <c r="C16" s="568">
        <v>10030334.24</v>
      </c>
      <c r="D16" s="160">
        <v>11772722.109999999</v>
      </c>
      <c r="E16" s="334">
        <v>9889486.1899999995</v>
      </c>
      <c r="F16" s="369">
        <v>84</v>
      </c>
      <c r="G16" s="157">
        <v>0.1</v>
      </c>
      <c r="H16" s="344">
        <v>98.6</v>
      </c>
    </row>
    <row r="17" spans="1:8" ht="19.899999999999999" customHeight="1">
      <c r="A17" s="233" t="s">
        <v>905</v>
      </c>
      <c r="B17" s="63" t="s">
        <v>106</v>
      </c>
      <c r="C17" s="568">
        <v>115108264.13</v>
      </c>
      <c r="D17" s="160">
        <v>115349336.52</v>
      </c>
      <c r="E17" s="334">
        <v>123612893.86</v>
      </c>
      <c r="F17" s="369">
        <v>107.2</v>
      </c>
      <c r="G17" s="157">
        <v>0.5</v>
      </c>
      <c r="H17" s="344">
        <v>107.4</v>
      </c>
    </row>
    <row r="18" spans="1:8" ht="19.899999999999999" customHeight="1">
      <c r="A18" s="233" t="s">
        <v>906</v>
      </c>
      <c r="B18" s="63" t="s">
        <v>107</v>
      </c>
      <c r="C18" s="568">
        <v>64099819.32</v>
      </c>
      <c r="D18" s="160">
        <v>60973220</v>
      </c>
      <c r="E18" s="334">
        <v>59247893.93</v>
      </c>
      <c r="F18" s="369">
        <v>97.2</v>
      </c>
      <c r="G18" s="157">
        <v>0.3</v>
      </c>
      <c r="H18" s="344">
        <v>92.4</v>
      </c>
    </row>
    <row r="19" spans="1:8" ht="19.899999999999999" customHeight="1">
      <c r="A19" s="233" t="s">
        <v>907</v>
      </c>
      <c r="B19" s="63" t="s">
        <v>108</v>
      </c>
      <c r="C19" s="568">
        <v>4563858.33</v>
      </c>
      <c r="D19" s="160">
        <v>9839985</v>
      </c>
      <c r="E19" s="334">
        <v>12963391.800000001</v>
      </c>
      <c r="F19" s="369">
        <v>131.69999999999999</v>
      </c>
      <c r="G19" s="157">
        <v>0.1</v>
      </c>
      <c r="H19" s="344">
        <v>284</v>
      </c>
    </row>
    <row r="20" spans="1:8" ht="19.899999999999999" customHeight="1">
      <c r="A20" s="233" t="s">
        <v>908</v>
      </c>
      <c r="B20" s="63" t="s">
        <v>217</v>
      </c>
      <c r="C20" s="568">
        <v>711304.94</v>
      </c>
      <c r="D20" s="160">
        <v>898134</v>
      </c>
      <c r="E20" s="334">
        <v>772772.47</v>
      </c>
      <c r="F20" s="369">
        <v>86</v>
      </c>
      <c r="G20" s="157">
        <v>0</v>
      </c>
      <c r="H20" s="344">
        <v>108.6</v>
      </c>
    </row>
    <row r="21" spans="1:8" ht="19.899999999999999" customHeight="1">
      <c r="A21" s="233" t="s">
        <v>909</v>
      </c>
      <c r="B21" s="63" t="s">
        <v>109</v>
      </c>
      <c r="C21" s="568">
        <v>78212557.239999995</v>
      </c>
      <c r="D21" s="160">
        <v>81533438.900000006</v>
      </c>
      <c r="E21" s="334">
        <v>107455863.06999999</v>
      </c>
      <c r="F21" s="369">
        <v>131.80000000000001</v>
      </c>
      <c r="G21" s="157">
        <v>0.5</v>
      </c>
      <c r="H21" s="344">
        <v>137.4</v>
      </c>
    </row>
    <row r="22" spans="1:8" ht="19.899999999999999" customHeight="1">
      <c r="A22" s="233" t="s">
        <v>911</v>
      </c>
      <c r="B22" s="63" t="s">
        <v>111</v>
      </c>
      <c r="C22" s="568">
        <v>8200</v>
      </c>
      <c r="D22" s="160">
        <v>57000</v>
      </c>
      <c r="E22" s="334">
        <v>36120.660000000003</v>
      </c>
      <c r="F22" s="369">
        <v>63.4</v>
      </c>
      <c r="G22" s="157">
        <v>0</v>
      </c>
      <c r="H22" s="344">
        <v>440.5</v>
      </c>
    </row>
    <row r="23" spans="1:8" ht="27">
      <c r="A23" s="233" t="s">
        <v>914</v>
      </c>
      <c r="B23" s="63" t="s">
        <v>112</v>
      </c>
      <c r="C23" s="568">
        <v>339064.25</v>
      </c>
      <c r="D23" s="160">
        <v>42342</v>
      </c>
      <c r="E23" s="334">
        <v>113230.23</v>
      </c>
      <c r="F23" s="369">
        <v>267.39999999999998</v>
      </c>
      <c r="G23" s="157">
        <v>0</v>
      </c>
      <c r="H23" s="344">
        <v>33.4</v>
      </c>
    </row>
    <row r="24" spans="1:8" ht="54">
      <c r="A24" s="233" t="s">
        <v>916</v>
      </c>
      <c r="B24" s="63" t="s">
        <v>356</v>
      </c>
      <c r="C24" s="568">
        <v>9173935292.2099991</v>
      </c>
      <c r="D24" s="160">
        <v>9855870314</v>
      </c>
      <c r="E24" s="334">
        <v>11315932394.790001</v>
      </c>
      <c r="F24" s="369">
        <v>114.8</v>
      </c>
      <c r="G24" s="157">
        <v>49.6</v>
      </c>
      <c r="H24" s="344">
        <v>123.3</v>
      </c>
    </row>
    <row r="25" spans="1:8" ht="19.899999999999999" customHeight="1">
      <c r="A25" s="233" t="s">
        <v>917</v>
      </c>
      <c r="B25" s="63" t="s">
        <v>357</v>
      </c>
      <c r="C25" s="568">
        <v>2421544.3199999998</v>
      </c>
      <c r="D25" s="160">
        <v>0</v>
      </c>
      <c r="E25" s="334">
        <v>659880.21</v>
      </c>
      <c r="F25" s="626" t="s">
        <v>913</v>
      </c>
      <c r="G25" s="157">
        <v>0</v>
      </c>
      <c r="H25" s="344">
        <v>27.3</v>
      </c>
    </row>
    <row r="26" spans="1:8" ht="19.899999999999999" customHeight="1">
      <c r="A26" s="233" t="s">
        <v>918</v>
      </c>
      <c r="B26" s="63" t="s">
        <v>114</v>
      </c>
      <c r="C26" s="568">
        <v>8683858452.8799992</v>
      </c>
      <c r="D26" s="160">
        <v>8677520400.8799992</v>
      </c>
      <c r="E26" s="334">
        <v>8275005258.5799999</v>
      </c>
      <c r="F26" s="369">
        <v>95.4</v>
      </c>
      <c r="G26" s="157">
        <v>36.299999999999997</v>
      </c>
      <c r="H26" s="344">
        <v>95.3</v>
      </c>
    </row>
    <row r="27" spans="1:8" ht="19.899999999999999" customHeight="1">
      <c r="A27" s="233" t="s">
        <v>919</v>
      </c>
      <c r="B27" s="63" t="s">
        <v>115</v>
      </c>
      <c r="C27" s="568">
        <v>42904414.310000002</v>
      </c>
      <c r="D27" s="160">
        <v>56645550.07</v>
      </c>
      <c r="E27" s="334">
        <v>55382001.140000001</v>
      </c>
      <c r="F27" s="369">
        <v>97.8</v>
      </c>
      <c r="G27" s="157">
        <v>0.2</v>
      </c>
      <c r="H27" s="344">
        <v>129.1</v>
      </c>
    </row>
    <row r="28" spans="1:8" ht="19.899999999999999" customHeight="1">
      <c r="A28" s="233" t="s">
        <v>921</v>
      </c>
      <c r="B28" s="63" t="s">
        <v>116</v>
      </c>
      <c r="C28" s="568">
        <v>243919188</v>
      </c>
      <c r="D28" s="160">
        <v>502482024.29000002</v>
      </c>
      <c r="E28" s="334">
        <v>482701778.55000001</v>
      </c>
      <c r="F28" s="369">
        <v>96.1</v>
      </c>
      <c r="G28" s="157">
        <v>2.1</v>
      </c>
      <c r="H28" s="344">
        <v>197.9</v>
      </c>
    </row>
    <row r="29" spans="1:8" ht="19.899999999999999" customHeight="1">
      <c r="A29" s="233" t="s">
        <v>922</v>
      </c>
      <c r="B29" s="63" t="s">
        <v>117</v>
      </c>
      <c r="C29" s="568">
        <v>176534930.71000001</v>
      </c>
      <c r="D29" s="160">
        <v>33449178.899999999</v>
      </c>
      <c r="E29" s="334">
        <v>28983584.609999999</v>
      </c>
      <c r="F29" s="369">
        <v>86.6</v>
      </c>
      <c r="G29" s="157">
        <v>0.1</v>
      </c>
      <c r="H29" s="344">
        <v>16.399999999999999</v>
      </c>
    </row>
    <row r="30" spans="1:8" ht="27">
      <c r="A30" s="233" t="s">
        <v>923</v>
      </c>
      <c r="B30" s="63" t="s">
        <v>118</v>
      </c>
      <c r="C30" s="568">
        <v>347991659.64999998</v>
      </c>
      <c r="D30" s="160">
        <v>186325374.36000001</v>
      </c>
      <c r="E30" s="334">
        <v>168764628.80000001</v>
      </c>
      <c r="F30" s="369">
        <v>90.6</v>
      </c>
      <c r="G30" s="157">
        <v>0.7</v>
      </c>
      <c r="H30" s="344">
        <v>48.5</v>
      </c>
    </row>
    <row r="31" spans="1:8" ht="19.899999999999999" customHeight="1">
      <c r="A31" s="233" t="s">
        <v>924</v>
      </c>
      <c r="B31" s="63" t="s">
        <v>119</v>
      </c>
      <c r="C31" s="568">
        <v>9116540.0700000003</v>
      </c>
      <c r="D31" s="160">
        <v>8278973</v>
      </c>
      <c r="E31" s="334">
        <v>11790564.4</v>
      </c>
      <c r="F31" s="369">
        <v>142.4</v>
      </c>
      <c r="G31" s="157">
        <v>0.1</v>
      </c>
      <c r="H31" s="344">
        <v>129.30000000000001</v>
      </c>
    </row>
    <row r="32" spans="1:8" ht="19.899999999999999" customHeight="1">
      <c r="A32" s="233" t="s">
        <v>925</v>
      </c>
      <c r="B32" s="63" t="s">
        <v>120</v>
      </c>
      <c r="C32" s="568">
        <v>66142840.469999999</v>
      </c>
      <c r="D32" s="160">
        <v>70213548</v>
      </c>
      <c r="E32" s="334">
        <v>69918827.590000004</v>
      </c>
      <c r="F32" s="369">
        <v>99.6</v>
      </c>
      <c r="G32" s="157">
        <v>0.3</v>
      </c>
      <c r="H32" s="344">
        <v>105.7</v>
      </c>
    </row>
    <row r="33" spans="1:8" ht="27">
      <c r="A33" s="233" t="s">
        <v>926</v>
      </c>
      <c r="B33" s="63" t="s">
        <v>121</v>
      </c>
      <c r="C33" s="568">
        <v>56011742.109999999</v>
      </c>
      <c r="D33" s="160">
        <v>31457103.5</v>
      </c>
      <c r="E33" s="334">
        <v>41756232.899999999</v>
      </c>
      <c r="F33" s="369">
        <v>132.69999999999999</v>
      </c>
      <c r="G33" s="157">
        <v>0.2</v>
      </c>
      <c r="H33" s="344">
        <v>74.5</v>
      </c>
    </row>
    <row r="34" spans="1:8" ht="27">
      <c r="A34" s="233" t="s">
        <v>927</v>
      </c>
      <c r="B34" s="63" t="s">
        <v>122</v>
      </c>
      <c r="C34" s="568">
        <v>60751953.649999999</v>
      </c>
      <c r="D34" s="160">
        <v>87306438</v>
      </c>
      <c r="E34" s="334">
        <v>97875276.349999994</v>
      </c>
      <c r="F34" s="369">
        <v>112.1</v>
      </c>
      <c r="G34" s="157">
        <v>0.4</v>
      </c>
      <c r="H34" s="344">
        <v>161.1</v>
      </c>
    </row>
    <row r="35" spans="1:8" ht="40.5">
      <c r="A35" s="233" t="s">
        <v>928</v>
      </c>
      <c r="B35" s="63" t="s">
        <v>123</v>
      </c>
      <c r="C35" s="568">
        <v>34322410.450000003</v>
      </c>
      <c r="D35" s="160">
        <v>45096388</v>
      </c>
      <c r="E35" s="334">
        <v>47806775.020000003</v>
      </c>
      <c r="F35" s="369">
        <v>106</v>
      </c>
      <c r="G35" s="157">
        <v>0.2</v>
      </c>
      <c r="H35" s="344">
        <v>139.30000000000001</v>
      </c>
    </row>
    <row r="36" spans="1:8" ht="19.899999999999999" customHeight="1">
      <c r="A36" s="235" t="s">
        <v>929</v>
      </c>
      <c r="B36" s="295" t="s">
        <v>124</v>
      </c>
      <c r="C36" s="569">
        <v>1713043.88</v>
      </c>
      <c r="D36" s="151">
        <v>2431041</v>
      </c>
      <c r="E36" s="336">
        <v>3389434.67</v>
      </c>
      <c r="F36" s="371">
        <v>139.4</v>
      </c>
      <c r="G36" s="130">
        <v>0</v>
      </c>
      <c r="H36" s="345">
        <v>197.9</v>
      </c>
    </row>
    <row r="37" spans="1:8">
      <c r="G37" s="628" t="s">
        <v>3</v>
      </c>
    </row>
    <row r="38" spans="1:8" ht="13.5">
      <c r="A38" s="60" t="s">
        <v>930</v>
      </c>
      <c r="B38" s="59"/>
      <c r="C38" s="59"/>
      <c r="D38" s="59"/>
      <c r="E38" s="59"/>
      <c r="F38" s="59"/>
      <c r="G38" s="59"/>
      <c r="H38" s="59"/>
    </row>
  </sheetData>
  <mergeCells count="6">
    <mergeCell ref="A1:H1"/>
    <mergeCell ref="A3:A5"/>
    <mergeCell ref="B3:B5"/>
    <mergeCell ref="C5:E5"/>
    <mergeCell ref="F5:H5"/>
    <mergeCell ref="G3:G4"/>
  </mergeCells>
  <pageMargins left="0.7" right="0.7" top="0.75" bottom="0.75" header="0.3" footer="0.3"/>
  <pageSetup paperSize="9" scale="90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7"/>
  <sheetViews>
    <sheetView showGridLines="0" workbookViewId="0">
      <selection activeCell="L4" sqref="L4"/>
    </sheetView>
  </sheetViews>
  <sheetFormatPr defaultColWidth="8.85546875" defaultRowHeight="13.5"/>
  <cols>
    <col min="1" max="1" width="4.85546875" style="68" customWidth="1"/>
    <col min="2" max="2" width="18.42578125" style="68" customWidth="1"/>
    <col min="3" max="3" width="12.42578125" style="68" bestFit="1" customWidth="1"/>
    <col min="4" max="4" width="15.42578125" style="68" customWidth="1"/>
    <col min="5" max="5" width="11.5703125" style="68" bestFit="1" customWidth="1"/>
    <col min="6" max="6" width="12.28515625" style="68" customWidth="1"/>
    <col min="7" max="7" width="20.28515625" style="68" customWidth="1"/>
    <col min="8" max="8" width="9" style="68" bestFit="1" customWidth="1"/>
    <col min="9" max="16384" width="8.85546875" style="68"/>
  </cols>
  <sheetData>
    <row r="1" spans="1:8" ht="39" customHeight="1">
      <c r="A1" s="2288" t="s">
        <v>1063</v>
      </c>
      <c r="B1" s="2288"/>
      <c r="C1" s="2288"/>
      <c r="D1" s="2288"/>
      <c r="E1" s="2288"/>
      <c r="F1" s="2288"/>
      <c r="G1" s="2288"/>
      <c r="H1" s="2288"/>
    </row>
    <row r="2" spans="1:8">
      <c r="A2" s="2212" t="s">
        <v>41</v>
      </c>
      <c r="B2" s="2218" t="s">
        <v>768</v>
      </c>
      <c r="C2" s="2221" t="s">
        <v>1038</v>
      </c>
      <c r="D2" s="2063"/>
      <c r="E2" s="2063"/>
      <c r="F2" s="2063"/>
      <c r="G2" s="2063"/>
      <c r="H2" s="2064"/>
    </row>
    <row r="3" spans="1:8" ht="12.75" customHeight="1">
      <c r="A3" s="2213"/>
      <c r="B3" s="2219"/>
      <c r="C3" s="2377" t="s">
        <v>733</v>
      </c>
      <c r="D3" s="925" t="s">
        <v>734</v>
      </c>
      <c r="E3" s="2067" t="s">
        <v>375</v>
      </c>
      <c r="F3" s="2068"/>
      <c r="G3" s="2224" t="s">
        <v>760</v>
      </c>
      <c r="H3" s="2379" t="s">
        <v>931</v>
      </c>
    </row>
    <row r="4" spans="1:8" ht="12.75" customHeight="1">
      <c r="A4" s="2213"/>
      <c r="B4" s="2219"/>
      <c r="C4" s="2232"/>
      <c r="D4" s="2230" t="s">
        <v>761</v>
      </c>
      <c r="E4" s="2232" t="s">
        <v>25</v>
      </c>
      <c r="F4" s="2234" t="s">
        <v>737</v>
      </c>
      <c r="G4" s="2225"/>
      <c r="H4" s="2380"/>
    </row>
    <row r="5" spans="1:8" ht="69.599999999999994" customHeight="1">
      <c r="A5" s="2213"/>
      <c r="B5" s="2219"/>
      <c r="C5" s="2378"/>
      <c r="D5" s="2231"/>
      <c r="E5" s="2233"/>
      <c r="F5" s="2235"/>
      <c r="G5" s="2226"/>
      <c r="H5" s="2381"/>
    </row>
    <row r="6" spans="1:8">
      <c r="A6" s="2289"/>
      <c r="B6" s="2376"/>
      <c r="C6" s="2236" t="s">
        <v>4</v>
      </c>
      <c r="D6" s="2074"/>
      <c r="E6" s="2074"/>
      <c r="F6" s="2074"/>
      <c r="G6" s="2075"/>
      <c r="H6" s="1009" t="s">
        <v>5</v>
      </c>
    </row>
    <row r="7" spans="1:8">
      <c r="A7" s="919" t="s">
        <v>887</v>
      </c>
      <c r="B7" s="921" t="s">
        <v>888</v>
      </c>
      <c r="C7" s="919" t="s">
        <v>889</v>
      </c>
      <c r="D7" s="926" t="s">
        <v>890</v>
      </c>
      <c r="E7" s="922" t="s">
        <v>891</v>
      </c>
      <c r="F7" s="931" t="s">
        <v>892</v>
      </c>
      <c r="G7" s="937" t="s">
        <v>893</v>
      </c>
      <c r="H7" s="934" t="s">
        <v>894</v>
      </c>
    </row>
    <row r="8" spans="1:8" s="896" customFormat="1" ht="16.899999999999999" customHeight="1">
      <c r="A8" s="959">
        <v>2</v>
      </c>
      <c r="B8" s="908" t="s">
        <v>51</v>
      </c>
      <c r="C8" s="927">
        <v>63575485</v>
      </c>
      <c r="D8" s="928">
        <v>26376</v>
      </c>
      <c r="E8" s="923">
        <v>2217614.38</v>
      </c>
      <c r="F8" s="932">
        <v>0</v>
      </c>
      <c r="G8" s="938">
        <v>65793099.380000003</v>
      </c>
      <c r="H8" s="964">
        <f>D8/C8*100</f>
        <v>4.1487689791119955E-2</v>
      </c>
    </row>
    <row r="9" spans="1:8" s="896" customFormat="1" ht="16.899999999999999" customHeight="1">
      <c r="A9" s="957">
        <v>4</v>
      </c>
      <c r="B9" s="909" t="s">
        <v>52</v>
      </c>
      <c r="C9" s="929">
        <v>64470004</v>
      </c>
      <c r="D9" s="930">
        <v>97610</v>
      </c>
      <c r="E9" s="924">
        <v>793934.82</v>
      </c>
      <c r="F9" s="933">
        <v>0</v>
      </c>
      <c r="G9" s="939">
        <v>65263938.82</v>
      </c>
      <c r="H9" s="965">
        <f>D9/C9*100</f>
        <v>0.15140374429013528</v>
      </c>
    </row>
    <row r="10" spans="1:8" s="896" customFormat="1" ht="16.899999999999999" customHeight="1">
      <c r="A10" s="957">
        <v>6</v>
      </c>
      <c r="B10" s="909" t="s">
        <v>53</v>
      </c>
      <c r="C10" s="929">
        <v>39173025</v>
      </c>
      <c r="D10" s="930">
        <v>0</v>
      </c>
      <c r="E10" s="924">
        <v>3123373.41</v>
      </c>
      <c r="F10" s="933">
        <v>0</v>
      </c>
      <c r="G10" s="939">
        <v>42296398.409999996</v>
      </c>
      <c r="H10" s="965">
        <f t="shared" ref="H10:H22" si="0">D10/C10*100</f>
        <v>0</v>
      </c>
    </row>
    <row r="11" spans="1:8" s="896" customFormat="1" ht="16.899999999999999" customHeight="1">
      <c r="A11" s="957">
        <v>8</v>
      </c>
      <c r="B11" s="909" t="s">
        <v>54</v>
      </c>
      <c r="C11" s="929">
        <v>18185764</v>
      </c>
      <c r="D11" s="930">
        <v>0</v>
      </c>
      <c r="E11" s="924">
        <v>1592381.55</v>
      </c>
      <c r="F11" s="933">
        <v>0</v>
      </c>
      <c r="G11" s="939">
        <v>19778145.550000001</v>
      </c>
      <c r="H11" s="965">
        <f t="shared" si="0"/>
        <v>0</v>
      </c>
    </row>
    <row r="12" spans="1:8" s="896" customFormat="1" ht="16.899999999999999" customHeight="1">
      <c r="A12" s="957">
        <v>10</v>
      </c>
      <c r="B12" s="909" t="s">
        <v>55</v>
      </c>
      <c r="C12" s="929">
        <v>28763953</v>
      </c>
      <c r="D12" s="930">
        <v>0</v>
      </c>
      <c r="E12" s="924">
        <v>1079957.4099999999</v>
      </c>
      <c r="F12" s="933">
        <v>0</v>
      </c>
      <c r="G12" s="939">
        <v>29843910.41</v>
      </c>
      <c r="H12" s="965">
        <f t="shared" si="0"/>
        <v>0</v>
      </c>
    </row>
    <row r="13" spans="1:8" s="896" customFormat="1" ht="16.899999999999999" customHeight="1">
      <c r="A13" s="957">
        <v>12</v>
      </c>
      <c r="B13" s="909" t="s">
        <v>56</v>
      </c>
      <c r="C13" s="929">
        <v>57644795</v>
      </c>
      <c r="D13" s="930">
        <v>0</v>
      </c>
      <c r="E13" s="924">
        <v>1639731.75</v>
      </c>
      <c r="F13" s="933">
        <v>0</v>
      </c>
      <c r="G13" s="939">
        <v>59284526.75</v>
      </c>
      <c r="H13" s="965">
        <f t="shared" si="0"/>
        <v>0</v>
      </c>
    </row>
    <row r="14" spans="1:8" s="896" customFormat="1" ht="16.899999999999999" customHeight="1">
      <c r="A14" s="957">
        <v>14</v>
      </c>
      <c r="B14" s="909" t="s">
        <v>57</v>
      </c>
      <c r="C14" s="929">
        <v>103175927</v>
      </c>
      <c r="D14" s="930">
        <v>132346</v>
      </c>
      <c r="E14" s="924">
        <v>2197490.8199999998</v>
      </c>
      <c r="F14" s="933">
        <v>0</v>
      </c>
      <c r="G14" s="939">
        <v>105373417.81999999</v>
      </c>
      <c r="H14" s="965">
        <f t="shared" si="0"/>
        <v>0.12827216953427517</v>
      </c>
    </row>
    <row r="15" spans="1:8" s="896" customFormat="1" ht="16.899999999999999" customHeight="1">
      <c r="A15" s="957">
        <v>16</v>
      </c>
      <c r="B15" s="909" t="s">
        <v>58</v>
      </c>
      <c r="C15" s="929">
        <v>13211430</v>
      </c>
      <c r="D15" s="930">
        <v>0</v>
      </c>
      <c r="E15" s="924">
        <v>382037.98</v>
      </c>
      <c r="F15" s="933">
        <v>0</v>
      </c>
      <c r="G15" s="939">
        <v>13593467.98</v>
      </c>
      <c r="H15" s="965">
        <f t="shared" si="0"/>
        <v>0</v>
      </c>
    </row>
    <row r="16" spans="1:8" s="896" customFormat="1" ht="16.899999999999999" customHeight="1">
      <c r="A16" s="957">
        <v>18</v>
      </c>
      <c r="B16" s="909" t="s">
        <v>59</v>
      </c>
      <c r="C16" s="929">
        <v>34549694</v>
      </c>
      <c r="D16" s="930">
        <v>0</v>
      </c>
      <c r="E16" s="924">
        <v>1134550.51</v>
      </c>
      <c r="F16" s="933">
        <v>0</v>
      </c>
      <c r="G16" s="939">
        <v>35684244.509999998</v>
      </c>
      <c r="H16" s="965">
        <f t="shared" si="0"/>
        <v>0</v>
      </c>
    </row>
    <row r="17" spans="1:8" s="896" customFormat="1" ht="16.899999999999999" customHeight="1">
      <c r="A17" s="957">
        <v>20</v>
      </c>
      <c r="B17" s="909" t="s">
        <v>60</v>
      </c>
      <c r="C17" s="929">
        <v>13134484</v>
      </c>
      <c r="D17" s="930">
        <v>0</v>
      </c>
      <c r="E17" s="924">
        <v>890518.44</v>
      </c>
      <c r="F17" s="933">
        <v>0</v>
      </c>
      <c r="G17" s="939">
        <v>14025002.439999999</v>
      </c>
      <c r="H17" s="965">
        <f t="shared" si="0"/>
        <v>0</v>
      </c>
    </row>
    <row r="18" spans="1:8" s="896" customFormat="1" ht="16.899999999999999" customHeight="1">
      <c r="A18" s="957">
        <v>22</v>
      </c>
      <c r="B18" s="909" t="s">
        <v>61</v>
      </c>
      <c r="C18" s="929">
        <v>34334289</v>
      </c>
      <c r="D18" s="930">
        <v>27126</v>
      </c>
      <c r="E18" s="924">
        <v>621019.48</v>
      </c>
      <c r="F18" s="933">
        <v>0</v>
      </c>
      <c r="G18" s="939">
        <v>34955308.479999997</v>
      </c>
      <c r="H18" s="965">
        <f t="shared" si="0"/>
        <v>7.90055678741447E-2</v>
      </c>
    </row>
    <row r="19" spans="1:8" s="896" customFormat="1" ht="16.899999999999999" customHeight="1">
      <c r="A19" s="957">
        <v>24</v>
      </c>
      <c r="B19" s="909" t="s">
        <v>62</v>
      </c>
      <c r="C19" s="929">
        <v>90021962</v>
      </c>
      <c r="D19" s="930">
        <v>0</v>
      </c>
      <c r="E19" s="924">
        <v>2245000.2200000002</v>
      </c>
      <c r="F19" s="933">
        <v>0</v>
      </c>
      <c r="G19" s="939">
        <v>92266962.219999999</v>
      </c>
      <c r="H19" s="965">
        <f t="shared" si="0"/>
        <v>0</v>
      </c>
    </row>
    <row r="20" spans="1:8" s="896" customFormat="1" ht="16.899999999999999" customHeight="1">
      <c r="A20" s="957">
        <v>26</v>
      </c>
      <c r="B20" s="909" t="s">
        <v>63</v>
      </c>
      <c r="C20" s="929">
        <v>11963229</v>
      </c>
      <c r="D20" s="930">
        <v>0</v>
      </c>
      <c r="E20" s="924">
        <v>592945.11</v>
      </c>
      <c r="F20" s="933">
        <v>0</v>
      </c>
      <c r="G20" s="939">
        <v>12556174.109999999</v>
      </c>
      <c r="H20" s="965">
        <f t="shared" si="0"/>
        <v>0</v>
      </c>
    </row>
    <row r="21" spans="1:8" s="896" customFormat="1" ht="16.899999999999999" customHeight="1">
      <c r="A21" s="957">
        <v>28</v>
      </c>
      <c r="B21" s="909" t="s">
        <v>64</v>
      </c>
      <c r="C21" s="929">
        <v>20460563</v>
      </c>
      <c r="D21" s="930">
        <v>0</v>
      </c>
      <c r="E21" s="924">
        <v>869140.84</v>
      </c>
      <c r="F21" s="933">
        <v>0</v>
      </c>
      <c r="G21" s="939">
        <v>21329703.84</v>
      </c>
      <c r="H21" s="965">
        <f t="shared" si="0"/>
        <v>0</v>
      </c>
    </row>
    <row r="22" spans="1:8" s="896" customFormat="1" ht="16.899999999999999" customHeight="1">
      <c r="A22" s="957">
        <v>30</v>
      </c>
      <c r="B22" s="909" t="s">
        <v>65</v>
      </c>
      <c r="C22" s="929">
        <v>49931858</v>
      </c>
      <c r="D22" s="930">
        <v>0</v>
      </c>
      <c r="E22" s="924">
        <v>3497613.18</v>
      </c>
      <c r="F22" s="933">
        <v>0</v>
      </c>
      <c r="G22" s="939">
        <v>53429471.18</v>
      </c>
      <c r="H22" s="965">
        <f t="shared" si="0"/>
        <v>0</v>
      </c>
    </row>
    <row r="23" spans="1:8" s="896" customFormat="1" ht="16.899999999999999" customHeight="1">
      <c r="A23" s="958">
        <v>32</v>
      </c>
      <c r="B23" s="943" t="s">
        <v>66</v>
      </c>
      <c r="C23" s="944">
        <v>18454555</v>
      </c>
      <c r="D23" s="945">
        <v>0</v>
      </c>
      <c r="E23" s="946">
        <v>998717.48</v>
      </c>
      <c r="F23" s="947">
        <v>0</v>
      </c>
      <c r="G23" s="948">
        <v>19453272.48</v>
      </c>
      <c r="H23" s="966">
        <f>D23/C23*100</f>
        <v>0</v>
      </c>
    </row>
    <row r="24" spans="1:8" s="956" customFormat="1" ht="22.15" customHeight="1">
      <c r="A24" s="2373" t="s">
        <v>44</v>
      </c>
      <c r="B24" s="2374"/>
      <c r="C24" s="961">
        <f>SUM(C8:C23)</f>
        <v>661051017</v>
      </c>
      <c r="D24" s="962">
        <f t="shared" ref="D24:G24" si="1">SUM(D8:D23)</f>
        <v>283458</v>
      </c>
      <c r="E24" s="960">
        <f t="shared" si="1"/>
        <v>23876027.379999999</v>
      </c>
      <c r="F24" s="963">
        <f t="shared" si="1"/>
        <v>0</v>
      </c>
      <c r="G24" s="968">
        <f t="shared" si="1"/>
        <v>684927044.38000011</v>
      </c>
      <c r="H24" s="967">
        <f>D24/C24*100</f>
        <v>4.2879897725049562E-2</v>
      </c>
    </row>
    <row r="25" spans="1:8">
      <c r="A25" s="914"/>
      <c r="B25" s="915"/>
      <c r="C25" s="916"/>
      <c r="D25" s="917"/>
      <c r="E25" s="916"/>
      <c r="F25" s="916"/>
      <c r="G25" s="916"/>
      <c r="H25" s="916"/>
    </row>
    <row r="26" spans="1:8">
      <c r="A26" s="2375" t="s">
        <v>1061</v>
      </c>
      <c r="B26" s="2375"/>
      <c r="C26" s="2375"/>
      <c r="D26" s="2375"/>
      <c r="E26" s="2375"/>
      <c r="F26" s="2375"/>
      <c r="G26" s="2375"/>
      <c r="H26" s="916"/>
    </row>
    <row r="27" spans="1:8" ht="28.15" customHeight="1">
      <c r="A27" s="914"/>
      <c r="B27" s="2286" t="s">
        <v>1062</v>
      </c>
      <c r="C27" s="2286"/>
      <c r="D27" s="2286"/>
      <c r="E27" s="2286"/>
      <c r="F27" s="2286"/>
      <c r="G27" s="2286"/>
      <c r="H27" s="2286"/>
    </row>
  </sheetData>
  <mergeCells count="15">
    <mergeCell ref="A24:B24"/>
    <mergeCell ref="A26:G26"/>
    <mergeCell ref="B27:H27"/>
    <mergeCell ref="A1:H1"/>
    <mergeCell ref="A2:A6"/>
    <mergeCell ref="B2:B6"/>
    <mergeCell ref="C2:H2"/>
    <mergeCell ref="C3:C5"/>
    <mergeCell ref="E3:F3"/>
    <mergeCell ref="G3:G5"/>
    <mergeCell ref="H3:H5"/>
    <mergeCell ref="D4:D5"/>
    <mergeCell ref="E4:E5"/>
    <mergeCell ref="F4:F5"/>
    <mergeCell ref="C6:G6"/>
  </mergeCells>
  <pageMargins left="0.7" right="0.7" top="0.75" bottom="0.75" header="0.3" footer="0.3"/>
  <pageSetup paperSize="9" scale="96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6"/>
  <sheetViews>
    <sheetView showGridLines="0" workbookViewId="0">
      <selection activeCell="L10" sqref="L10"/>
    </sheetView>
  </sheetViews>
  <sheetFormatPr defaultColWidth="8.85546875" defaultRowHeight="13.5"/>
  <cols>
    <col min="1" max="1" width="3.28515625" style="1569" bestFit="1" customWidth="1"/>
    <col min="2" max="2" width="17.85546875" style="1569" customWidth="1"/>
    <col min="3" max="4" width="13.7109375" style="1569" bestFit="1" customWidth="1"/>
    <col min="5" max="5" width="12.28515625" style="1569" bestFit="1" customWidth="1"/>
    <col min="6" max="7" width="9" style="1569" bestFit="1" customWidth="1"/>
    <col min="8" max="16384" width="8.85546875" style="1569"/>
  </cols>
  <sheetData>
    <row r="1" spans="1:7" ht="36" customHeight="1">
      <c r="A1" s="2055" t="s">
        <v>1176</v>
      </c>
      <c r="B1" s="2055"/>
      <c r="C1" s="2055"/>
      <c r="D1" s="2055"/>
      <c r="E1" s="2055"/>
      <c r="F1" s="2055"/>
      <c r="G1" s="2055"/>
    </row>
    <row r="2" spans="1:7">
      <c r="A2" s="2239" t="s">
        <v>41</v>
      </c>
      <c r="B2" s="2239" t="s">
        <v>768</v>
      </c>
      <c r="C2" s="2240" t="s">
        <v>1038</v>
      </c>
      <c r="D2" s="2240"/>
      <c r="E2" s="2240"/>
      <c r="F2" s="2240"/>
      <c r="G2" s="2240"/>
    </row>
    <row r="3" spans="1:7" ht="21" customHeight="1">
      <c r="A3" s="2239"/>
      <c r="B3" s="2239"/>
      <c r="C3" s="2084" t="s">
        <v>1170</v>
      </c>
      <c r="D3" s="2241" t="s">
        <v>21</v>
      </c>
      <c r="E3" s="2241"/>
      <c r="F3" s="2383" t="s">
        <v>931</v>
      </c>
      <c r="G3" s="2383" t="s">
        <v>884</v>
      </c>
    </row>
    <row r="4" spans="1:7" ht="12.75" customHeight="1">
      <c r="A4" s="2239"/>
      <c r="B4" s="2239"/>
      <c r="C4" s="2084"/>
      <c r="D4" s="2084" t="s">
        <v>739</v>
      </c>
      <c r="E4" s="2084" t="s">
        <v>740</v>
      </c>
      <c r="F4" s="2383"/>
      <c r="G4" s="2383"/>
    </row>
    <row r="5" spans="1:7" ht="39.75" customHeight="1">
      <c r="A5" s="2239"/>
      <c r="B5" s="2239"/>
      <c r="C5" s="2084"/>
      <c r="D5" s="2084"/>
      <c r="E5" s="2084"/>
      <c r="F5" s="2383"/>
      <c r="G5" s="2383"/>
    </row>
    <row r="6" spans="1:7">
      <c r="A6" s="2239"/>
      <c r="B6" s="2239"/>
      <c r="C6" s="2084" t="s">
        <v>4</v>
      </c>
      <c r="D6" s="2084"/>
      <c r="E6" s="2084"/>
      <c r="F6" s="2383" t="s">
        <v>5</v>
      </c>
      <c r="G6" s="2383"/>
    </row>
    <row r="7" spans="1:7">
      <c r="A7" s="937" t="s">
        <v>887</v>
      </c>
      <c r="B7" s="937" t="s">
        <v>888</v>
      </c>
      <c r="C7" s="937" t="s">
        <v>889</v>
      </c>
      <c r="D7" s="937" t="s">
        <v>890</v>
      </c>
      <c r="E7" s="937" t="s">
        <v>891</v>
      </c>
      <c r="F7" s="937" t="s">
        <v>892</v>
      </c>
      <c r="G7" s="937" t="s">
        <v>893</v>
      </c>
    </row>
    <row r="8" spans="1:7" ht="20.100000000000001" customHeight="1">
      <c r="A8" s="937"/>
      <c r="B8" s="1668" t="s">
        <v>933</v>
      </c>
      <c r="C8" s="1647">
        <f>SUM(C9:C24)</f>
        <v>1417289536.0399997</v>
      </c>
      <c r="D8" s="1647">
        <f t="shared" ref="D8:E8" si="0">SUM(D9:D24)</f>
        <v>1235769364.3599999</v>
      </c>
      <c r="E8" s="1647">
        <f t="shared" si="0"/>
        <v>181520171.68000001</v>
      </c>
      <c r="F8" s="1648">
        <f>D8/C8*100</f>
        <v>87.192442541615094</v>
      </c>
      <c r="G8" s="1648">
        <f>E8/C8*100</f>
        <v>12.807557458384919</v>
      </c>
    </row>
    <row r="9" spans="1:7" s="1572" customFormat="1" ht="20.100000000000001" customHeight="1">
      <c r="A9" s="1669">
        <v>2</v>
      </c>
      <c r="B9" s="1650" t="s">
        <v>51</v>
      </c>
      <c r="C9" s="1666">
        <v>94473509.489999995</v>
      </c>
      <c r="D9" s="1666">
        <v>94365282.599999994</v>
      </c>
      <c r="E9" s="1666">
        <v>108226.89</v>
      </c>
      <c r="F9" s="1652">
        <f>D9/C9*100</f>
        <v>99.885442077271975</v>
      </c>
      <c r="G9" s="1652">
        <f>E9/C9*100</f>
        <v>0.114557922728017</v>
      </c>
    </row>
    <row r="10" spans="1:7" s="1572" customFormat="1" ht="20.100000000000001" customHeight="1">
      <c r="A10" s="1669">
        <v>4</v>
      </c>
      <c r="B10" s="1650" t="s">
        <v>52</v>
      </c>
      <c r="C10" s="1666">
        <v>116978513.42</v>
      </c>
      <c r="D10" s="1666">
        <v>103211364.48</v>
      </c>
      <c r="E10" s="1666">
        <v>13767148.939999999</v>
      </c>
      <c r="F10" s="1652">
        <f>D10/C10*100</f>
        <v>88.231044712826545</v>
      </c>
      <c r="G10" s="1652">
        <f>E10/C10*100</f>
        <v>11.768955287173455</v>
      </c>
    </row>
    <row r="11" spans="1:7" s="1572" customFormat="1" ht="20.100000000000001" customHeight="1">
      <c r="A11" s="1669">
        <v>6</v>
      </c>
      <c r="B11" s="1650" t="s">
        <v>53</v>
      </c>
      <c r="C11" s="1666">
        <v>60142161.07</v>
      </c>
      <c r="D11" s="1666">
        <v>56474576.469999999</v>
      </c>
      <c r="E11" s="1666">
        <v>3667584.6</v>
      </c>
      <c r="F11" s="1652">
        <f t="shared" ref="F11:F24" si="1">D11/C11*100</f>
        <v>93.901807758901001</v>
      </c>
      <c r="G11" s="1652">
        <f t="shared" ref="G11:G23" si="2">E11/C11*100</f>
        <v>6.0981922410989942</v>
      </c>
    </row>
    <row r="12" spans="1:7" s="1572" customFormat="1" ht="20.100000000000001" customHeight="1">
      <c r="A12" s="1669">
        <v>8</v>
      </c>
      <c r="B12" s="1650" t="s">
        <v>54</v>
      </c>
      <c r="C12" s="1666">
        <v>28473172.75</v>
      </c>
      <c r="D12" s="1666">
        <v>28254266.84</v>
      </c>
      <c r="E12" s="1666">
        <v>218905.91</v>
      </c>
      <c r="F12" s="1652">
        <f t="shared" si="1"/>
        <v>99.231185397138432</v>
      </c>
      <c r="G12" s="1652">
        <f t="shared" si="2"/>
        <v>0.76881460286156555</v>
      </c>
    </row>
    <row r="13" spans="1:7" s="1572" customFormat="1" ht="20.100000000000001" customHeight="1">
      <c r="A13" s="1669">
        <v>10</v>
      </c>
      <c r="B13" s="1650" t="s">
        <v>55</v>
      </c>
      <c r="C13" s="1666">
        <v>56176217.289999999</v>
      </c>
      <c r="D13" s="1666">
        <v>55112682.920000002</v>
      </c>
      <c r="E13" s="1666">
        <v>1063534.3700000001</v>
      </c>
      <c r="F13" s="1652">
        <f t="shared" si="1"/>
        <v>98.106788920105302</v>
      </c>
      <c r="G13" s="1652">
        <f t="shared" si="2"/>
        <v>1.8932110798946962</v>
      </c>
    </row>
    <row r="14" spans="1:7" s="1572" customFormat="1" ht="20.100000000000001" customHeight="1">
      <c r="A14" s="1669">
        <v>12</v>
      </c>
      <c r="B14" s="1650" t="s">
        <v>56</v>
      </c>
      <c r="C14" s="1666">
        <v>106636482.73999999</v>
      </c>
      <c r="D14" s="1666">
        <v>99978343.989999995</v>
      </c>
      <c r="E14" s="1666">
        <v>6658138.75</v>
      </c>
      <c r="F14" s="1652">
        <f t="shared" si="1"/>
        <v>93.756228094812727</v>
      </c>
      <c r="G14" s="1652">
        <f t="shared" si="2"/>
        <v>6.2437719051872769</v>
      </c>
    </row>
    <row r="15" spans="1:7" s="1572" customFormat="1" ht="20.100000000000001" customHeight="1">
      <c r="A15" s="1669">
        <v>14</v>
      </c>
      <c r="B15" s="1650" t="s">
        <v>57</v>
      </c>
      <c r="C15" s="1666">
        <v>287409879.17000002</v>
      </c>
      <c r="D15" s="1666">
        <v>238751337.25</v>
      </c>
      <c r="E15" s="1666">
        <v>48658541.920000002</v>
      </c>
      <c r="F15" s="1652">
        <f t="shared" si="1"/>
        <v>83.069982820173351</v>
      </c>
      <c r="G15" s="1652">
        <f t="shared" si="2"/>
        <v>16.930017179826645</v>
      </c>
    </row>
    <row r="16" spans="1:7" s="1572" customFormat="1" ht="20.100000000000001" customHeight="1">
      <c r="A16" s="1669">
        <v>16</v>
      </c>
      <c r="B16" s="1650" t="s">
        <v>58</v>
      </c>
      <c r="C16" s="1666">
        <v>63560795.799999997</v>
      </c>
      <c r="D16" s="1666">
        <v>62383928.25</v>
      </c>
      <c r="E16" s="1666">
        <v>1176867.55</v>
      </c>
      <c r="F16" s="1652">
        <f t="shared" si="1"/>
        <v>98.148437987304121</v>
      </c>
      <c r="G16" s="1652">
        <f t="shared" si="2"/>
        <v>1.8515620126958829</v>
      </c>
    </row>
    <row r="17" spans="1:7" s="1572" customFormat="1" ht="20.100000000000001" customHeight="1">
      <c r="A17" s="1669">
        <v>18</v>
      </c>
      <c r="B17" s="1650" t="s">
        <v>59</v>
      </c>
      <c r="C17" s="1666">
        <v>59303974.890000001</v>
      </c>
      <c r="D17" s="1666">
        <v>59068444.670000002</v>
      </c>
      <c r="E17" s="1666">
        <v>235530.22</v>
      </c>
      <c r="F17" s="1652">
        <f t="shared" si="1"/>
        <v>99.602842439420172</v>
      </c>
      <c r="G17" s="1652">
        <f t="shared" si="2"/>
        <v>0.39715756057983181</v>
      </c>
    </row>
    <row r="18" spans="1:7" s="1572" customFormat="1" ht="20.100000000000001" customHeight="1">
      <c r="A18" s="1669">
        <v>20</v>
      </c>
      <c r="B18" s="1650" t="s">
        <v>60</v>
      </c>
      <c r="C18" s="1666">
        <v>27828166.309999999</v>
      </c>
      <c r="D18" s="1666">
        <v>25200406.309999999</v>
      </c>
      <c r="E18" s="1666">
        <v>2627760</v>
      </c>
      <c r="F18" s="1652">
        <f t="shared" si="1"/>
        <v>90.557193130415783</v>
      </c>
      <c r="G18" s="1652">
        <f t="shared" si="2"/>
        <v>9.4428068695842153</v>
      </c>
    </row>
    <row r="19" spans="1:7" s="1572" customFormat="1" ht="20.100000000000001" customHeight="1">
      <c r="A19" s="1669">
        <v>22</v>
      </c>
      <c r="B19" s="1650" t="s">
        <v>61</v>
      </c>
      <c r="C19" s="1666">
        <v>49592703.170000002</v>
      </c>
      <c r="D19" s="1666">
        <v>48032524.049999997</v>
      </c>
      <c r="E19" s="1666">
        <v>1560179.12</v>
      </c>
      <c r="F19" s="1652">
        <f t="shared" si="1"/>
        <v>96.854014763720713</v>
      </c>
      <c r="G19" s="1652">
        <f t="shared" si="2"/>
        <v>3.1459852362792669</v>
      </c>
    </row>
    <row r="20" spans="1:7" s="1572" customFormat="1" ht="20.100000000000001" customHeight="1">
      <c r="A20" s="1669">
        <v>24</v>
      </c>
      <c r="B20" s="1650" t="s">
        <v>62</v>
      </c>
      <c r="C20" s="1666">
        <v>225698678.59999999</v>
      </c>
      <c r="D20" s="1666">
        <v>155487706.52000001</v>
      </c>
      <c r="E20" s="1666">
        <v>70210972.079999998</v>
      </c>
      <c r="F20" s="1652">
        <f t="shared" si="1"/>
        <v>68.8917221334587</v>
      </c>
      <c r="G20" s="1652">
        <f t="shared" si="2"/>
        <v>31.108277866541307</v>
      </c>
    </row>
    <row r="21" spans="1:7" s="1572" customFormat="1" ht="20.100000000000001" customHeight="1">
      <c r="A21" s="1669">
        <v>26</v>
      </c>
      <c r="B21" s="1650" t="s">
        <v>63</v>
      </c>
      <c r="C21" s="1666">
        <v>30811747.059999999</v>
      </c>
      <c r="D21" s="1666">
        <v>30046623.32</v>
      </c>
      <c r="E21" s="1666">
        <v>765123.74</v>
      </c>
      <c r="F21" s="1652">
        <f t="shared" si="1"/>
        <v>97.516779108597547</v>
      </c>
      <c r="G21" s="1652">
        <f t="shared" si="2"/>
        <v>2.4832208914024498</v>
      </c>
    </row>
    <row r="22" spans="1:7" s="1572" customFormat="1" ht="20.100000000000001" customHeight="1">
      <c r="A22" s="1669">
        <v>28</v>
      </c>
      <c r="B22" s="1650" t="s">
        <v>64</v>
      </c>
      <c r="C22" s="1666">
        <v>36361149.539999999</v>
      </c>
      <c r="D22" s="1666">
        <v>36228198.039999999</v>
      </c>
      <c r="E22" s="1666">
        <v>132951.5</v>
      </c>
      <c r="F22" s="1652">
        <f t="shared" si="1"/>
        <v>99.63435836962816</v>
      </c>
      <c r="G22" s="1652">
        <f t="shared" si="2"/>
        <v>0.36564163037184333</v>
      </c>
    </row>
    <row r="23" spans="1:7" s="1572" customFormat="1" ht="20.100000000000001" customHeight="1">
      <c r="A23" s="1669">
        <v>30</v>
      </c>
      <c r="B23" s="1650" t="s">
        <v>65</v>
      </c>
      <c r="C23" s="1666">
        <v>149640786.66</v>
      </c>
      <c r="D23" s="1666">
        <v>119426076.95</v>
      </c>
      <c r="E23" s="1666">
        <v>30214709.710000001</v>
      </c>
      <c r="F23" s="1652">
        <f t="shared" si="1"/>
        <v>79.808506501204732</v>
      </c>
      <c r="G23" s="1652">
        <f t="shared" si="2"/>
        <v>20.191493498795271</v>
      </c>
    </row>
    <row r="24" spans="1:7" s="1572" customFormat="1" ht="20.100000000000001" customHeight="1">
      <c r="A24" s="1669">
        <v>32</v>
      </c>
      <c r="B24" s="1650" t="s">
        <v>66</v>
      </c>
      <c r="C24" s="1666">
        <v>24201598.079999998</v>
      </c>
      <c r="D24" s="1666">
        <v>23747601.699999999</v>
      </c>
      <c r="E24" s="1666">
        <v>453996.38</v>
      </c>
      <c r="F24" s="1652">
        <f t="shared" si="1"/>
        <v>98.12410577805943</v>
      </c>
      <c r="G24" s="1652">
        <f>E24/C24*100</f>
        <v>1.8758942219405705</v>
      </c>
    </row>
    <row r="25" spans="1:7" ht="19.899999999999999" customHeight="1">
      <c r="A25" s="1574"/>
      <c r="B25" s="1574"/>
      <c r="C25" s="1574"/>
      <c r="D25" s="1574"/>
      <c r="E25" s="1574"/>
      <c r="F25" s="1574"/>
      <c r="G25" s="1574"/>
    </row>
    <row r="26" spans="1:7" ht="13.9" customHeight="1">
      <c r="A26" s="2382" t="s">
        <v>1061</v>
      </c>
      <c r="B26" s="2382"/>
      <c r="C26" s="2382"/>
      <c r="D26" s="2382"/>
      <c r="E26" s="2382"/>
      <c r="F26" s="2382"/>
      <c r="G26" s="2382"/>
    </row>
  </sheetData>
  <mergeCells count="13">
    <mergeCell ref="A26:G26"/>
    <mergeCell ref="A1:G1"/>
    <mergeCell ref="A2:A6"/>
    <mergeCell ref="B2:B6"/>
    <mergeCell ref="C2:G2"/>
    <mergeCell ref="C3:C5"/>
    <mergeCell ref="D3:E3"/>
    <mergeCell ref="F3:F5"/>
    <mergeCell ref="G3:G5"/>
    <mergeCell ref="D4:D5"/>
    <mergeCell ref="E4:E5"/>
    <mergeCell ref="C6:E6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H19"/>
  <sheetViews>
    <sheetView showGridLines="0" workbookViewId="0">
      <selection activeCell="O3" sqref="O3"/>
    </sheetView>
  </sheetViews>
  <sheetFormatPr defaultColWidth="8.85546875" defaultRowHeight="14.25"/>
  <cols>
    <col min="1" max="1" width="50.5703125" style="41" customWidth="1"/>
    <col min="2" max="5" width="12.42578125" style="41" bestFit="1" customWidth="1"/>
    <col min="6" max="6" width="6.5703125" style="41" customWidth="1"/>
    <col min="7" max="7" width="7.42578125" style="41" bestFit="1" customWidth="1"/>
    <col min="8" max="16384" width="8.85546875" style="41"/>
  </cols>
  <sheetData>
    <row r="1" spans="1:242">
      <c r="A1" s="1871" t="s">
        <v>943</v>
      </c>
      <c r="B1" s="1871"/>
      <c r="C1" s="1871"/>
      <c r="D1" s="1871"/>
      <c r="E1" s="1871"/>
      <c r="F1" s="1871"/>
      <c r="G1" s="1871"/>
    </row>
    <row r="2" spans="1:242">
      <c r="A2" s="1017"/>
      <c r="B2" s="1016"/>
      <c r="C2" s="1016"/>
      <c r="D2" s="1016"/>
      <c r="E2" s="1016"/>
      <c r="F2" s="1016"/>
      <c r="G2" s="1016"/>
    </row>
    <row r="3" spans="1:242" ht="15">
      <c r="A3" s="1866" t="s">
        <v>68</v>
      </c>
      <c r="B3" s="1043" t="s">
        <v>71</v>
      </c>
      <c r="C3" s="1030" t="s">
        <v>71</v>
      </c>
      <c r="D3" s="1864" t="s">
        <v>21</v>
      </c>
      <c r="E3" s="1865"/>
      <c r="F3" s="1024" t="s">
        <v>938</v>
      </c>
      <c r="G3" s="1027" t="s">
        <v>882</v>
      </c>
    </row>
    <row r="4" spans="1:242" ht="15">
      <c r="A4" s="1867"/>
      <c r="B4" s="1044">
        <v>2020</v>
      </c>
      <c r="C4" s="1014">
        <v>2021</v>
      </c>
      <c r="D4" s="1049" t="s">
        <v>739</v>
      </c>
      <c r="E4" s="1050" t="s">
        <v>740</v>
      </c>
      <c r="F4" s="1048" t="s">
        <v>944</v>
      </c>
      <c r="G4" s="1042" t="s">
        <v>944</v>
      </c>
    </row>
    <row r="5" spans="1:242">
      <c r="A5" s="1867"/>
      <c r="B5" s="1868" t="s">
        <v>885</v>
      </c>
      <c r="C5" s="1869"/>
      <c r="D5" s="1869"/>
      <c r="E5" s="1870"/>
      <c r="F5" s="1862" t="s">
        <v>886</v>
      </c>
      <c r="G5" s="1863"/>
    </row>
    <row r="6" spans="1:242">
      <c r="A6" s="596" t="s">
        <v>887</v>
      </c>
      <c r="B6" s="596" t="s">
        <v>888</v>
      </c>
      <c r="C6" s="303" t="s">
        <v>889</v>
      </c>
      <c r="D6" s="305" t="s">
        <v>890</v>
      </c>
      <c r="E6" s="306" t="s">
        <v>891</v>
      </c>
      <c r="F6" s="307" t="s">
        <v>892</v>
      </c>
      <c r="G6" s="306" t="s">
        <v>893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</row>
    <row r="7" spans="1:242">
      <c r="A7" s="1564" t="s">
        <v>1154</v>
      </c>
      <c r="B7" s="1045">
        <v>91544208075.440018</v>
      </c>
      <c r="C7" s="1054">
        <v>92471065707.950012</v>
      </c>
      <c r="D7" s="1026">
        <v>75395280215.26001</v>
      </c>
      <c r="E7" s="1055">
        <v>17075785492.689997</v>
      </c>
      <c r="F7" s="1051">
        <v>81.5</v>
      </c>
      <c r="G7" s="1019">
        <v>101</v>
      </c>
    </row>
    <row r="8" spans="1:242" ht="40.5">
      <c r="A8" s="1025" t="s">
        <v>945</v>
      </c>
      <c r="B8" s="1046">
        <v>18466183410.110001</v>
      </c>
      <c r="C8" s="1056">
        <v>14776147617.780001</v>
      </c>
      <c r="D8" s="1022">
        <v>3889743217.9099998</v>
      </c>
      <c r="E8" s="300">
        <v>10886404399.870001</v>
      </c>
      <c r="F8" s="1052">
        <v>26.3</v>
      </c>
      <c r="G8" s="1020">
        <v>80</v>
      </c>
    </row>
    <row r="9" spans="1:242">
      <c r="A9" s="1025" t="s">
        <v>946</v>
      </c>
      <c r="B9" s="1046">
        <v>63582263264.010002</v>
      </c>
      <c r="C9" s="1056">
        <v>63086584137.209999</v>
      </c>
      <c r="D9" s="1022">
        <v>62944890075.690002</v>
      </c>
      <c r="E9" s="300">
        <v>141694061.51999664</v>
      </c>
      <c r="F9" s="1052">
        <v>99.8</v>
      </c>
      <c r="G9" s="1020">
        <v>99.2</v>
      </c>
    </row>
    <row r="10" spans="1:242">
      <c r="A10" s="1025" t="s">
        <v>947</v>
      </c>
      <c r="B10" s="1046">
        <v>6152377903.5699997</v>
      </c>
      <c r="C10" s="1056">
        <v>6129211521.7700005</v>
      </c>
      <c r="D10" s="1022">
        <v>5580353777.8299999</v>
      </c>
      <c r="E10" s="300">
        <v>548857743.94000053</v>
      </c>
      <c r="F10" s="1052">
        <v>91</v>
      </c>
      <c r="G10" s="1020">
        <v>99.6</v>
      </c>
    </row>
    <row r="11" spans="1:242" ht="27">
      <c r="A11" s="1028" t="s">
        <v>948</v>
      </c>
      <c r="B11" s="1046">
        <v>11188079.07</v>
      </c>
      <c r="C11" s="1056">
        <v>12454620.060000001</v>
      </c>
      <c r="D11" s="1022">
        <v>12454620.060000001</v>
      </c>
      <c r="E11" s="300">
        <v>0</v>
      </c>
      <c r="F11" s="1052">
        <v>100</v>
      </c>
      <c r="G11" s="1020">
        <v>111.3</v>
      </c>
    </row>
    <row r="12" spans="1:242" ht="27">
      <c r="A12" s="1025" t="s">
        <v>949</v>
      </c>
      <c r="B12" s="1046">
        <v>138752850.46000001</v>
      </c>
      <c r="C12" s="1056">
        <v>198125422.84999999</v>
      </c>
      <c r="D12" s="1022">
        <v>183492700.22</v>
      </c>
      <c r="E12" s="300">
        <v>14632722.629999995</v>
      </c>
      <c r="F12" s="1052">
        <v>92.6</v>
      </c>
      <c r="G12" s="1020">
        <v>142.80000000000001</v>
      </c>
    </row>
    <row r="13" spans="1:242">
      <c r="A13" s="1025" t="s">
        <v>950</v>
      </c>
      <c r="B13" s="1046">
        <v>1373936757.97</v>
      </c>
      <c r="C13" s="1056">
        <v>1480449622.4400001</v>
      </c>
      <c r="D13" s="1022">
        <v>1192179994.97</v>
      </c>
      <c r="E13" s="300">
        <v>288269627.47000003</v>
      </c>
      <c r="F13" s="1052">
        <v>80.5</v>
      </c>
      <c r="G13" s="1020">
        <v>107.8</v>
      </c>
    </row>
    <row r="14" spans="1:242">
      <c r="A14" s="1025" t="s">
        <v>712</v>
      </c>
      <c r="B14" s="1046">
        <v>1209718606.1900001</v>
      </c>
      <c r="C14" s="1056">
        <v>1263950652.3900001</v>
      </c>
      <c r="D14" s="1022">
        <v>277920853.94999999</v>
      </c>
      <c r="E14" s="300">
        <v>986029798.44000006</v>
      </c>
      <c r="F14" s="1052">
        <v>22</v>
      </c>
      <c r="G14" s="1020">
        <v>104.5</v>
      </c>
    </row>
    <row r="15" spans="1:242">
      <c r="A15" s="1025" t="s">
        <v>713</v>
      </c>
      <c r="B15" s="1046">
        <v>620975283.13</v>
      </c>
      <c r="C15" s="1056">
        <v>625235515.63999999</v>
      </c>
      <c r="D15" s="1022">
        <v>177804577.72999999</v>
      </c>
      <c r="E15" s="300">
        <v>447430937.90999997</v>
      </c>
      <c r="F15" s="1052">
        <v>28.4</v>
      </c>
      <c r="G15" s="1020">
        <v>100.7</v>
      </c>
    </row>
    <row r="16" spans="1:242" ht="27">
      <c r="A16" s="1029" t="s">
        <v>1066</v>
      </c>
      <c r="B16" s="1047">
        <v>0</v>
      </c>
      <c r="C16" s="1057">
        <v>4911361217.8699999</v>
      </c>
      <c r="D16" s="1023">
        <v>1148895016.96</v>
      </c>
      <c r="E16" s="302">
        <v>3762466200.9099998</v>
      </c>
      <c r="F16" s="1053">
        <v>23.4</v>
      </c>
      <c r="G16" s="1021" t="s">
        <v>273</v>
      </c>
    </row>
    <row r="17" spans="1:7" ht="15">
      <c r="A17" s="1018"/>
      <c r="B17" s="1018"/>
      <c r="C17" s="1018"/>
      <c r="D17" s="1018"/>
      <c r="E17" s="1018"/>
      <c r="F17" s="1018"/>
      <c r="G17" s="1018"/>
    </row>
    <row r="18" spans="1:7" ht="15">
      <c r="A18" s="1018" t="s">
        <v>1160</v>
      </c>
      <c r="B18" s="1018"/>
      <c r="C18" s="1018"/>
      <c r="D18" s="1018"/>
      <c r="E18" s="1018"/>
      <c r="F18" s="1018"/>
      <c r="G18" s="1018"/>
    </row>
    <row r="19" spans="1:7" ht="15">
      <c r="A19" s="1018" t="s">
        <v>951</v>
      </c>
      <c r="B19" s="1018"/>
      <c r="C19" s="1018"/>
      <c r="D19" s="1018"/>
      <c r="E19" s="1018"/>
      <c r="F19" s="1018"/>
      <c r="G19" s="1018"/>
    </row>
  </sheetData>
  <mergeCells count="5">
    <mergeCell ref="F5:G5"/>
    <mergeCell ref="D3:E3"/>
    <mergeCell ref="A3:A5"/>
    <mergeCell ref="B5:E5"/>
    <mergeCell ref="A1:G1"/>
  </mergeCells>
  <pageMargins left="0.7" right="0.7" top="0.75" bottom="0.75" header="0.3" footer="0.3"/>
  <pageSetup paperSize="9" scale="78" fitToHeight="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M26"/>
  <sheetViews>
    <sheetView showGridLines="0" workbookViewId="0">
      <selection activeCell="L4" sqref="L4"/>
    </sheetView>
  </sheetViews>
  <sheetFormatPr defaultColWidth="9.140625" defaultRowHeight="13.5"/>
  <cols>
    <col min="1" max="1" width="5.7109375" style="865" customWidth="1"/>
    <col min="2" max="2" width="11.5703125" style="865" customWidth="1"/>
    <col min="3" max="3" width="11.5703125" style="865" bestFit="1" customWidth="1"/>
    <col min="4" max="4" width="9.140625" style="865"/>
    <col min="5" max="5" width="35.28515625" style="865" customWidth="1"/>
    <col min="6" max="6" width="13.28515625" style="865" customWidth="1"/>
    <col min="7" max="7" width="23" style="865" customWidth="1"/>
    <col min="8" max="8" width="21.5703125" style="865" customWidth="1"/>
    <col min="9" max="9" width="9.140625" style="865"/>
    <col min="10" max="16384" width="9.140625" style="43"/>
  </cols>
  <sheetData>
    <row r="1" spans="1:247" ht="42" customHeight="1">
      <c r="A1" s="2088" t="s">
        <v>1064</v>
      </c>
      <c r="B1" s="2088"/>
      <c r="C1" s="2088"/>
      <c r="D1" s="2088"/>
      <c r="E1" s="2088"/>
      <c r="F1" s="2088"/>
      <c r="G1" s="2088"/>
      <c r="H1" s="2088"/>
    </row>
    <row r="2" spans="1:247" ht="23.45" customHeight="1">
      <c r="A2" s="2086" t="s">
        <v>1040</v>
      </c>
      <c r="B2" s="2247"/>
      <c r="C2" s="2247"/>
      <c r="D2" s="2247"/>
      <c r="E2" s="2247"/>
      <c r="F2" s="2247"/>
      <c r="G2" s="2247"/>
      <c r="H2" s="2087"/>
    </row>
    <row r="3" spans="1:247" ht="42" customHeight="1">
      <c r="A3" s="2092" t="s">
        <v>741</v>
      </c>
      <c r="B3" s="2100" t="s">
        <v>762</v>
      </c>
      <c r="C3" s="2100"/>
      <c r="D3" s="2100"/>
      <c r="E3" s="2095"/>
      <c r="F3" s="2101" t="s">
        <v>769</v>
      </c>
      <c r="G3" s="2100" t="s">
        <v>743</v>
      </c>
      <c r="H3" s="2095" t="s">
        <v>770</v>
      </c>
    </row>
    <row r="4" spans="1:247" ht="30.75" customHeight="1">
      <c r="A4" s="2093"/>
      <c r="B4" s="2250"/>
      <c r="C4" s="2250"/>
      <c r="D4" s="2250"/>
      <c r="E4" s="2096"/>
      <c r="F4" s="2102"/>
      <c r="G4" s="2252"/>
      <c r="H4" s="2103"/>
    </row>
    <row r="5" spans="1:247" ht="13.5" customHeight="1">
      <c r="A5" s="2094"/>
      <c r="B5" s="2251"/>
      <c r="C5" s="2251"/>
      <c r="D5" s="2251"/>
      <c r="E5" s="2097"/>
      <c r="F5" s="2384" t="s">
        <v>748</v>
      </c>
      <c r="G5" s="2105"/>
      <c r="H5" s="2106"/>
    </row>
    <row r="6" spans="1:247" s="44" customFormat="1" ht="49.5" customHeight="1">
      <c r="A6" s="870" t="s">
        <v>749</v>
      </c>
      <c r="B6" s="2248" t="s">
        <v>1054</v>
      </c>
      <c r="C6" s="2248"/>
      <c r="D6" s="2248"/>
      <c r="E6" s="2249"/>
      <c r="F6" s="873">
        <v>863</v>
      </c>
      <c r="G6" s="871">
        <v>132663189</v>
      </c>
      <c r="H6" s="872">
        <f t="shared" ref="H6:H13" si="0">F6/G$15*100</f>
        <v>2.1420518168291529E-4</v>
      </c>
      <c r="I6" s="866"/>
    </row>
    <row r="7" spans="1:247" s="44" customFormat="1" ht="42" customHeight="1">
      <c r="A7" s="867" t="s">
        <v>750</v>
      </c>
      <c r="B7" s="2243" t="s">
        <v>1042</v>
      </c>
      <c r="C7" s="2243"/>
      <c r="D7" s="2243"/>
      <c r="E7" s="2244"/>
      <c r="F7" s="874">
        <v>38303</v>
      </c>
      <c r="G7" s="868">
        <v>3735589</v>
      </c>
      <c r="H7" s="869">
        <f t="shared" si="0"/>
        <v>9.50718548551646E-3</v>
      </c>
      <c r="I7" s="866"/>
    </row>
    <row r="8" spans="1:247" s="44" customFormat="1" ht="42" customHeight="1">
      <c r="A8" s="867" t="s">
        <v>751</v>
      </c>
      <c r="B8" s="2243" t="s">
        <v>1043</v>
      </c>
      <c r="C8" s="2243"/>
      <c r="D8" s="2243"/>
      <c r="E8" s="2244"/>
      <c r="F8" s="874">
        <v>0</v>
      </c>
      <c r="G8" s="868">
        <v>0</v>
      </c>
      <c r="H8" s="869">
        <f t="shared" si="0"/>
        <v>0</v>
      </c>
      <c r="I8" s="866"/>
    </row>
    <row r="9" spans="1:247" s="44" customFormat="1" ht="66" customHeight="1">
      <c r="A9" s="867" t="s">
        <v>752</v>
      </c>
      <c r="B9" s="2243" t="s">
        <v>1044</v>
      </c>
      <c r="C9" s="2243"/>
      <c r="D9" s="2243"/>
      <c r="E9" s="2244"/>
      <c r="F9" s="874">
        <v>708728</v>
      </c>
      <c r="G9" s="868">
        <v>31837301</v>
      </c>
      <c r="H9" s="869">
        <f t="shared" si="0"/>
        <v>0.17591333720019606</v>
      </c>
      <c r="I9" s="866"/>
    </row>
    <row r="10" spans="1:247" s="44" customFormat="1" ht="42" customHeight="1">
      <c r="A10" s="867" t="s">
        <v>753</v>
      </c>
      <c r="B10" s="2243" t="s">
        <v>754</v>
      </c>
      <c r="C10" s="2243"/>
      <c r="D10" s="2243"/>
      <c r="E10" s="2244"/>
      <c r="F10" s="874">
        <v>0</v>
      </c>
      <c r="G10" s="868">
        <v>72805620</v>
      </c>
      <c r="H10" s="869">
        <f t="shared" si="0"/>
        <v>0</v>
      </c>
      <c r="I10" s="866"/>
    </row>
    <row r="11" spans="1:247" s="44" customFormat="1" ht="72.75" customHeight="1">
      <c r="A11" s="867" t="s">
        <v>755</v>
      </c>
      <c r="B11" s="2243" t="s">
        <v>1045</v>
      </c>
      <c r="C11" s="2243"/>
      <c r="D11" s="2243"/>
      <c r="E11" s="2244"/>
      <c r="F11" s="874">
        <v>340740</v>
      </c>
      <c r="G11" s="868">
        <v>20571058</v>
      </c>
      <c r="H11" s="869">
        <f t="shared" si="0"/>
        <v>8.4575056322869713E-2</v>
      </c>
      <c r="I11" s="866"/>
    </row>
    <row r="12" spans="1:247" s="44" customFormat="1" ht="42" customHeight="1">
      <c r="A12" s="867" t="s">
        <v>756</v>
      </c>
      <c r="B12" s="2243" t="s">
        <v>1055</v>
      </c>
      <c r="C12" s="2243"/>
      <c r="D12" s="2243"/>
      <c r="E12" s="2244"/>
      <c r="F12" s="874">
        <v>161350</v>
      </c>
      <c r="G12" s="868">
        <v>140854420</v>
      </c>
      <c r="H12" s="869">
        <f t="shared" si="0"/>
        <v>4.0048674466440767E-2</v>
      </c>
      <c r="I12" s="866"/>
    </row>
    <row r="13" spans="1:247" s="44" customFormat="1" ht="42" customHeight="1">
      <c r="A13" s="867" t="s">
        <v>758</v>
      </c>
      <c r="B13" s="2243" t="s">
        <v>757</v>
      </c>
      <c r="C13" s="2243"/>
      <c r="D13" s="2243"/>
      <c r="E13" s="2244"/>
      <c r="F13" s="874">
        <v>4459</v>
      </c>
      <c r="G13" s="868">
        <v>57816</v>
      </c>
      <c r="H13" s="869">
        <f t="shared" si="0"/>
        <v>1.1067681403523978E-3</v>
      </c>
      <c r="I13" s="866"/>
    </row>
    <row r="14" spans="1:247" s="44" customFormat="1" ht="30.75" customHeight="1">
      <c r="A14" s="877" t="s">
        <v>1047</v>
      </c>
      <c r="B14" s="2245" t="s">
        <v>1048</v>
      </c>
      <c r="C14" s="2245"/>
      <c r="D14" s="2245"/>
      <c r="E14" s="2246"/>
      <c r="F14" s="879">
        <v>0</v>
      </c>
      <c r="G14" s="880">
        <v>359752</v>
      </c>
      <c r="H14" s="881">
        <f>F14/G15*100</f>
        <v>0</v>
      </c>
      <c r="I14" s="866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</row>
    <row r="15" spans="1:247" ht="24.6" customHeight="1">
      <c r="A15" s="2086" t="s">
        <v>759</v>
      </c>
      <c r="B15" s="2247"/>
      <c r="C15" s="2247"/>
      <c r="D15" s="2247"/>
      <c r="E15" s="2087"/>
      <c r="F15" s="882">
        <f>SUM(F6:F14)</f>
        <v>1254443</v>
      </c>
      <c r="G15" s="883">
        <f>SUM(G6:G14)</f>
        <v>402884745</v>
      </c>
      <c r="H15" s="884">
        <f>F15/G15*100</f>
        <v>0.3113652267970583</v>
      </c>
    </row>
    <row r="16" spans="1:247" ht="42" customHeight="1"/>
    <row r="17" ht="42" customHeight="1"/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</sheetData>
  <mergeCells count="18">
    <mergeCell ref="A1:H1"/>
    <mergeCell ref="A2:H2"/>
    <mergeCell ref="A3:A5"/>
    <mergeCell ref="B3:E5"/>
    <mergeCell ref="F3:F4"/>
    <mergeCell ref="G3:G4"/>
    <mergeCell ref="H3:H4"/>
    <mergeCell ref="F5:H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A15:E15"/>
  </mergeCells>
  <pageMargins left="0.7" right="0.7" top="0.75" bottom="0.75" header="0.3" footer="0.3"/>
  <pageSetup paperSize="9" scale="83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>
    <tabColor rgb="FF92D050"/>
  </sheetPr>
  <dimension ref="A1:I26"/>
  <sheetViews>
    <sheetView showGridLines="0" workbookViewId="0">
      <selection activeCell="L4" sqref="L4"/>
    </sheetView>
  </sheetViews>
  <sheetFormatPr defaultRowHeight="12.75"/>
  <cols>
    <col min="1" max="1" width="5.5703125" customWidth="1"/>
    <col min="2" max="2" width="17.7109375" customWidth="1"/>
    <col min="3" max="4" width="10.5703125" bestFit="1" customWidth="1"/>
    <col min="5" max="5" width="9.85546875" bestFit="1" customWidth="1"/>
    <col min="6" max="6" width="10.5703125" bestFit="1" customWidth="1"/>
    <col min="7" max="7" width="7.140625" bestFit="1" customWidth="1"/>
    <col min="8" max="8" width="7.42578125" bestFit="1" customWidth="1"/>
    <col min="9" max="9" width="11.85546875" customWidth="1"/>
  </cols>
  <sheetData>
    <row r="1" spans="1:9" ht="33" customHeight="1">
      <c r="A1" s="1797" t="s">
        <v>955</v>
      </c>
      <c r="B1" s="1797"/>
      <c r="C1" s="1797"/>
      <c r="D1" s="1797"/>
      <c r="E1" s="1797"/>
      <c r="F1" s="1797"/>
      <c r="G1" s="1797"/>
      <c r="H1" s="1797"/>
      <c r="I1" s="1797"/>
    </row>
    <row r="2" spans="1:9" ht="10.5" customHeight="1"/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ht="13.5">
      <c r="A5" s="1872"/>
      <c r="B5" s="187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1" customFormat="1" ht="19.899999999999999" customHeight="1">
      <c r="A7" s="231"/>
      <c r="B7" s="245" t="s">
        <v>933</v>
      </c>
      <c r="C7" s="567">
        <v>614677155.5</v>
      </c>
      <c r="D7" s="159">
        <v>944287164.33000004</v>
      </c>
      <c r="E7" s="158">
        <v>10457782.869999999</v>
      </c>
      <c r="F7" s="332">
        <v>933829381.46000004</v>
      </c>
      <c r="G7" s="560">
        <v>100</v>
      </c>
      <c r="H7" s="150">
        <v>153.6</v>
      </c>
      <c r="I7" s="232">
        <v>24.7</v>
      </c>
    </row>
    <row r="8" spans="1:9" s="11" customFormat="1" ht="19.899999999999999" customHeight="1">
      <c r="A8" s="233" t="s">
        <v>6</v>
      </c>
      <c r="B8" s="246" t="s">
        <v>26</v>
      </c>
      <c r="C8" s="568">
        <v>46486107.710000001</v>
      </c>
      <c r="D8" s="160">
        <v>79473099.019999996</v>
      </c>
      <c r="E8" s="155">
        <v>457000</v>
      </c>
      <c r="F8" s="334">
        <v>79016099.019999996</v>
      </c>
      <c r="G8" s="369">
        <v>8.4</v>
      </c>
      <c r="H8" s="157">
        <v>171</v>
      </c>
      <c r="I8" s="234">
        <v>27.5</v>
      </c>
    </row>
    <row r="9" spans="1:9" s="11" customFormat="1" ht="19.899999999999999" customHeight="1">
      <c r="A9" s="233" t="s">
        <v>7</v>
      </c>
      <c r="B9" s="246" t="s">
        <v>42</v>
      </c>
      <c r="C9" s="568">
        <v>33595546.799999997</v>
      </c>
      <c r="D9" s="160">
        <v>42194844.82</v>
      </c>
      <c r="E9" s="155">
        <v>762360</v>
      </c>
      <c r="F9" s="334">
        <v>41432484.82</v>
      </c>
      <c r="G9" s="369">
        <v>4.5</v>
      </c>
      <c r="H9" s="157">
        <v>125.6</v>
      </c>
      <c r="I9" s="234">
        <v>20.5</v>
      </c>
    </row>
    <row r="10" spans="1:9" s="11" customFormat="1" ht="19.899999999999999" customHeight="1">
      <c r="A10" s="233" t="s">
        <v>8</v>
      </c>
      <c r="B10" s="246" t="s">
        <v>27</v>
      </c>
      <c r="C10" s="568">
        <v>33519464.59</v>
      </c>
      <c r="D10" s="160">
        <v>61181492.18</v>
      </c>
      <c r="E10" s="155">
        <v>128218.23</v>
      </c>
      <c r="F10" s="334">
        <v>61053273.950000003</v>
      </c>
      <c r="G10" s="369">
        <v>6.5</v>
      </c>
      <c r="H10" s="157">
        <v>182.5</v>
      </c>
      <c r="I10" s="234">
        <v>29.2</v>
      </c>
    </row>
    <row r="11" spans="1:9" s="11" customFormat="1" ht="19.899999999999999" customHeight="1">
      <c r="A11" s="233" t="s">
        <v>9</v>
      </c>
      <c r="B11" s="246" t="s">
        <v>28</v>
      </c>
      <c r="C11" s="568">
        <v>31028406.25</v>
      </c>
      <c r="D11" s="160">
        <v>27703932.25</v>
      </c>
      <c r="E11" s="155">
        <v>0</v>
      </c>
      <c r="F11" s="334">
        <v>27703932.25</v>
      </c>
      <c r="G11" s="369">
        <v>2.9</v>
      </c>
      <c r="H11" s="157">
        <v>89.3</v>
      </c>
      <c r="I11" s="234">
        <v>27.5</v>
      </c>
    </row>
    <row r="12" spans="1:9" s="11" customFormat="1" ht="19.899999999999999" customHeight="1">
      <c r="A12" s="233" t="s">
        <v>1</v>
      </c>
      <c r="B12" s="246" t="s">
        <v>29</v>
      </c>
      <c r="C12" s="568">
        <v>36390395.43</v>
      </c>
      <c r="D12" s="160">
        <v>68787617.689999998</v>
      </c>
      <c r="E12" s="155">
        <v>4210691.04</v>
      </c>
      <c r="F12" s="334">
        <v>64576926.649999999</v>
      </c>
      <c r="G12" s="369">
        <v>7.3</v>
      </c>
      <c r="H12" s="157">
        <v>189</v>
      </c>
      <c r="I12" s="234">
        <v>28.2</v>
      </c>
    </row>
    <row r="13" spans="1:9" s="11" customFormat="1" ht="19.899999999999999" customHeight="1">
      <c r="A13" s="233" t="s">
        <v>2</v>
      </c>
      <c r="B13" s="246" t="s">
        <v>30</v>
      </c>
      <c r="C13" s="568">
        <v>40635599.850000001</v>
      </c>
      <c r="D13" s="160">
        <v>71820859.980000004</v>
      </c>
      <c r="E13" s="155">
        <v>0</v>
      </c>
      <c r="F13" s="334">
        <v>71820859.980000004</v>
      </c>
      <c r="G13" s="369">
        <v>7.6</v>
      </c>
      <c r="H13" s="157">
        <v>176.7</v>
      </c>
      <c r="I13" s="234">
        <v>21.1</v>
      </c>
    </row>
    <row r="14" spans="1:9" s="11" customFormat="1" ht="19.899999999999999" customHeight="1">
      <c r="A14" s="233" t="s">
        <v>10</v>
      </c>
      <c r="B14" s="246" t="s">
        <v>31</v>
      </c>
      <c r="C14" s="568">
        <v>71171721.159999996</v>
      </c>
      <c r="D14" s="160">
        <v>129647181.31999999</v>
      </c>
      <c r="E14" s="155">
        <v>704428.8</v>
      </c>
      <c r="F14" s="334">
        <v>128942752.52</v>
      </c>
      <c r="G14" s="369">
        <v>13.7</v>
      </c>
      <c r="H14" s="157">
        <v>182.2</v>
      </c>
      <c r="I14" s="234">
        <v>23.9</v>
      </c>
    </row>
    <row r="15" spans="1:9" s="11" customFormat="1" ht="19.899999999999999" customHeight="1">
      <c r="A15" s="233" t="s">
        <v>11</v>
      </c>
      <c r="B15" s="246" t="s">
        <v>32</v>
      </c>
      <c r="C15" s="568">
        <v>22758027.079999998</v>
      </c>
      <c r="D15" s="160">
        <v>26950261.629999999</v>
      </c>
      <c r="E15" s="155">
        <v>705534.33</v>
      </c>
      <c r="F15" s="334">
        <v>26244727.300000001</v>
      </c>
      <c r="G15" s="369">
        <v>2.9</v>
      </c>
      <c r="H15" s="157">
        <v>118.4</v>
      </c>
      <c r="I15" s="234">
        <v>27.6</v>
      </c>
    </row>
    <row r="16" spans="1:9" s="11" customFormat="1" ht="19.899999999999999" customHeight="1">
      <c r="A16" s="233" t="s">
        <v>12</v>
      </c>
      <c r="B16" s="246" t="s">
        <v>33</v>
      </c>
      <c r="C16" s="568">
        <v>43181854.25</v>
      </c>
      <c r="D16" s="160">
        <v>56497931.25</v>
      </c>
      <c r="E16" s="155">
        <v>920000</v>
      </c>
      <c r="F16" s="334">
        <v>55577931.25</v>
      </c>
      <c r="G16" s="369">
        <v>6</v>
      </c>
      <c r="H16" s="157">
        <v>130.80000000000001</v>
      </c>
      <c r="I16" s="234">
        <v>26.6</v>
      </c>
    </row>
    <row r="17" spans="1:9" s="11" customFormat="1" ht="19.899999999999999" customHeight="1">
      <c r="A17" s="233" t="s">
        <v>13</v>
      </c>
      <c r="B17" s="246" t="s">
        <v>34</v>
      </c>
      <c r="C17" s="568">
        <v>25490238.850000001</v>
      </c>
      <c r="D17" s="160">
        <v>35614219.060000002</v>
      </c>
      <c r="E17" s="155">
        <v>0</v>
      </c>
      <c r="F17" s="334">
        <v>35614219.060000002</v>
      </c>
      <c r="G17" s="369">
        <v>3.8</v>
      </c>
      <c r="H17" s="157">
        <v>139.69999999999999</v>
      </c>
      <c r="I17" s="234">
        <v>30.4</v>
      </c>
    </row>
    <row r="18" spans="1:9" s="11" customFormat="1" ht="19.899999999999999" customHeight="1">
      <c r="A18" s="233" t="s">
        <v>14</v>
      </c>
      <c r="B18" s="246" t="s">
        <v>35</v>
      </c>
      <c r="C18" s="568">
        <v>48259205.799999997</v>
      </c>
      <c r="D18" s="160">
        <v>75028367.840000004</v>
      </c>
      <c r="E18" s="155">
        <v>958739.12</v>
      </c>
      <c r="F18" s="334">
        <v>74069628.719999999</v>
      </c>
      <c r="G18" s="369">
        <v>7.9</v>
      </c>
      <c r="H18" s="157">
        <v>155.5</v>
      </c>
      <c r="I18" s="234">
        <v>32</v>
      </c>
    </row>
    <row r="19" spans="1:9" s="11" customFormat="1" ht="19.899999999999999" customHeight="1">
      <c r="A19" s="233" t="s">
        <v>15</v>
      </c>
      <c r="B19" s="246" t="s">
        <v>36</v>
      </c>
      <c r="C19" s="568">
        <v>31027027.390000001</v>
      </c>
      <c r="D19" s="160">
        <v>72169719.769999996</v>
      </c>
      <c r="E19" s="155">
        <v>716903</v>
      </c>
      <c r="F19" s="334">
        <v>71452816.769999996</v>
      </c>
      <c r="G19" s="369">
        <v>7.6</v>
      </c>
      <c r="H19" s="157">
        <v>232.6</v>
      </c>
      <c r="I19" s="234">
        <v>16.100000000000001</v>
      </c>
    </row>
    <row r="20" spans="1:9" s="11" customFormat="1" ht="19.899999999999999" customHeight="1">
      <c r="A20" s="233" t="s">
        <v>16</v>
      </c>
      <c r="B20" s="246" t="s">
        <v>37</v>
      </c>
      <c r="C20" s="568">
        <v>22335876.050000001</v>
      </c>
      <c r="D20" s="160">
        <v>26490486.620000001</v>
      </c>
      <c r="E20" s="155">
        <v>0</v>
      </c>
      <c r="F20" s="334">
        <v>26490486.620000001</v>
      </c>
      <c r="G20" s="369">
        <v>2.8</v>
      </c>
      <c r="H20" s="157">
        <v>118.6</v>
      </c>
      <c r="I20" s="234">
        <v>21.6</v>
      </c>
    </row>
    <row r="21" spans="1:9" s="11" customFormat="1" ht="19.899999999999999" customHeight="1">
      <c r="A21" s="233" t="s">
        <v>17</v>
      </c>
      <c r="B21" s="246" t="s">
        <v>43</v>
      </c>
      <c r="C21" s="568">
        <v>34068278.549999997</v>
      </c>
      <c r="D21" s="160">
        <v>43308666.259999998</v>
      </c>
      <c r="E21" s="155">
        <v>469825.45</v>
      </c>
      <c r="F21" s="334">
        <v>42838840.809999995</v>
      </c>
      <c r="G21" s="369">
        <v>4.5999999999999996</v>
      </c>
      <c r="H21" s="157">
        <v>127.1</v>
      </c>
      <c r="I21" s="234">
        <v>30.6</v>
      </c>
    </row>
    <row r="22" spans="1:9" s="11" customFormat="1" ht="19.899999999999999" customHeight="1">
      <c r="A22" s="233" t="s">
        <v>18</v>
      </c>
      <c r="B22" s="246" t="s">
        <v>38</v>
      </c>
      <c r="C22" s="568">
        <v>44507150.119999997</v>
      </c>
      <c r="D22" s="160">
        <v>70649536.530000001</v>
      </c>
      <c r="E22" s="155">
        <v>424082.9</v>
      </c>
      <c r="F22" s="334">
        <v>70225453.629999995</v>
      </c>
      <c r="G22" s="369">
        <v>7.5</v>
      </c>
      <c r="H22" s="157">
        <v>158.69999999999999</v>
      </c>
      <c r="I22" s="234">
        <v>20.2</v>
      </c>
    </row>
    <row r="23" spans="1:9" s="11" customFormat="1" ht="19.899999999999999" customHeight="1">
      <c r="A23" s="235" t="s">
        <v>19</v>
      </c>
      <c r="B23" s="247" t="s">
        <v>39</v>
      </c>
      <c r="C23" s="569">
        <v>50222255.619999997</v>
      </c>
      <c r="D23" s="151">
        <v>56768948.109999999</v>
      </c>
      <c r="E23" s="149">
        <v>0</v>
      </c>
      <c r="F23" s="336">
        <v>56768948.109999999</v>
      </c>
      <c r="G23" s="371">
        <v>6</v>
      </c>
      <c r="H23" s="130">
        <v>113</v>
      </c>
      <c r="I23" s="238">
        <v>33.6</v>
      </c>
    </row>
    <row r="24" spans="1:9" ht="9" customHeight="1"/>
    <row r="25" spans="1:9" s="11" customFormat="1" ht="13.5">
      <c r="A25" s="143" t="s">
        <v>934</v>
      </c>
      <c r="B25" s="144" t="s">
        <v>1159</v>
      </c>
      <c r="C25" s="143"/>
      <c r="D25" s="143"/>
      <c r="E25" s="143"/>
      <c r="F25" s="143"/>
      <c r="G25" s="143"/>
      <c r="H25" s="143"/>
      <c r="I25" s="143"/>
    </row>
    <row r="26" spans="1:9" s="11" customFormat="1" ht="13.5">
      <c r="A26" s="143"/>
      <c r="B26" s="144" t="s">
        <v>936</v>
      </c>
      <c r="C26" s="143"/>
      <c r="D26" s="143"/>
      <c r="E26" s="143"/>
      <c r="F26" s="143"/>
      <c r="G26" s="143"/>
      <c r="H26" s="143"/>
      <c r="I26" s="143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honeticPr fontId="0" type="noConversion"/>
  <printOptions horizontalCentered="1"/>
  <pageMargins left="0.49" right="0.5" top="0.92" bottom="0.98425196850393704" header="0.51" footer="0.51181102362204722"/>
  <pageSetup paperSize="9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tabColor rgb="FF92D050"/>
  </sheetPr>
  <dimension ref="A1:I26"/>
  <sheetViews>
    <sheetView showGridLines="0" workbookViewId="0">
      <selection activeCell="L4" sqref="L4"/>
    </sheetView>
  </sheetViews>
  <sheetFormatPr defaultColWidth="9.140625" defaultRowHeight="12.75"/>
  <cols>
    <col min="1" max="1" width="5.7109375" style="2" customWidth="1"/>
    <col min="2" max="2" width="18.28515625" style="2" customWidth="1"/>
    <col min="3" max="6" width="9.85546875" style="2" bestFit="1" customWidth="1"/>
    <col min="7" max="7" width="7.140625" style="2" bestFit="1" customWidth="1"/>
    <col min="8" max="8" width="7.42578125" style="2" bestFit="1" customWidth="1"/>
    <col min="9" max="9" width="11.5703125" style="2" customWidth="1"/>
    <col min="10" max="16384" width="9.140625" style="2"/>
  </cols>
  <sheetData>
    <row r="1" spans="1:9" ht="18.75" customHeight="1">
      <c r="A1" s="2274" t="s">
        <v>956</v>
      </c>
      <c r="B1" s="2274"/>
      <c r="C1" s="2274"/>
      <c r="D1" s="2274"/>
      <c r="E1" s="2274"/>
      <c r="F1" s="2274"/>
      <c r="G1" s="2274"/>
      <c r="H1" s="2274"/>
      <c r="I1" s="2274"/>
    </row>
    <row r="2" spans="1:9" ht="16.5" customHeight="1"/>
    <row r="3" spans="1:9" ht="17.2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s="3" customFormat="1" ht="15" customHeight="1">
      <c r="A5" s="1872"/>
      <c r="B5" s="187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s="4" customFormat="1" ht="13.5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4" customFormat="1" ht="19.899999999999999" customHeight="1">
      <c r="A7" s="231"/>
      <c r="B7" s="245" t="s">
        <v>933</v>
      </c>
      <c r="C7" s="567">
        <v>50956984.859999999</v>
      </c>
      <c r="D7" s="159">
        <v>66363491.670000002</v>
      </c>
      <c r="E7" s="158">
        <v>39638215.140000001</v>
      </c>
      <c r="F7" s="332">
        <v>26725276.530000001</v>
      </c>
      <c r="G7" s="560">
        <v>100</v>
      </c>
      <c r="H7" s="150">
        <v>130.19999999999999</v>
      </c>
      <c r="I7" s="232">
        <v>1.7</v>
      </c>
    </row>
    <row r="8" spans="1:9" s="14" customFormat="1" ht="19.899999999999999" customHeight="1">
      <c r="A8" s="233" t="s">
        <v>6</v>
      </c>
      <c r="B8" s="246" t="s">
        <v>26</v>
      </c>
      <c r="C8" s="568">
        <v>2198986.21</v>
      </c>
      <c r="D8" s="160">
        <v>4403911.8899999997</v>
      </c>
      <c r="E8" s="155">
        <v>2297040.13</v>
      </c>
      <c r="F8" s="334">
        <v>2106871.7599999998</v>
      </c>
      <c r="G8" s="369">
        <v>6.7</v>
      </c>
      <c r="H8" s="157">
        <v>200.3</v>
      </c>
      <c r="I8" s="234">
        <v>1.5</v>
      </c>
    </row>
    <row r="9" spans="1:9" s="14" customFormat="1" ht="19.899999999999999" customHeight="1">
      <c r="A9" s="233" t="s">
        <v>7</v>
      </c>
      <c r="B9" s="246" t="s">
        <v>42</v>
      </c>
      <c r="C9" s="568">
        <v>4549229.3899999997</v>
      </c>
      <c r="D9" s="160">
        <v>2412571.14</v>
      </c>
      <c r="E9" s="155">
        <v>0</v>
      </c>
      <c r="F9" s="334">
        <v>2412571.14</v>
      </c>
      <c r="G9" s="369">
        <v>3.6</v>
      </c>
      <c r="H9" s="157">
        <v>53</v>
      </c>
      <c r="I9" s="234">
        <v>1.2</v>
      </c>
    </row>
    <row r="10" spans="1:9" s="14" customFormat="1" ht="19.899999999999999" customHeight="1">
      <c r="A10" s="233" t="s">
        <v>8</v>
      </c>
      <c r="B10" s="246" t="s">
        <v>27</v>
      </c>
      <c r="C10" s="568">
        <v>5694371.7300000004</v>
      </c>
      <c r="D10" s="160">
        <v>14656916.82</v>
      </c>
      <c r="E10" s="155">
        <v>12415822.6</v>
      </c>
      <c r="F10" s="334">
        <v>2241094.2200000007</v>
      </c>
      <c r="G10" s="369">
        <v>22.1</v>
      </c>
      <c r="H10" s="157">
        <v>257.39999999999998</v>
      </c>
      <c r="I10" s="234">
        <v>7</v>
      </c>
    </row>
    <row r="11" spans="1:9" s="14" customFormat="1" ht="19.899999999999999" customHeight="1">
      <c r="A11" s="233" t="s">
        <v>9</v>
      </c>
      <c r="B11" s="246" t="s">
        <v>28</v>
      </c>
      <c r="C11" s="568">
        <v>861614.86</v>
      </c>
      <c r="D11" s="160">
        <v>802971.32</v>
      </c>
      <c r="E11" s="155">
        <v>44132</v>
      </c>
      <c r="F11" s="334">
        <v>758839.32</v>
      </c>
      <c r="G11" s="369">
        <v>1.2</v>
      </c>
      <c r="H11" s="157">
        <v>93.2</v>
      </c>
      <c r="I11" s="234">
        <v>0.8</v>
      </c>
    </row>
    <row r="12" spans="1:9" s="14" customFormat="1" ht="19.899999999999999" customHeight="1">
      <c r="A12" s="233" t="s">
        <v>1</v>
      </c>
      <c r="B12" s="246" t="s">
        <v>29</v>
      </c>
      <c r="C12" s="568">
        <v>1807159.83</v>
      </c>
      <c r="D12" s="160">
        <v>1889558.32</v>
      </c>
      <c r="E12" s="155">
        <v>39572.18</v>
      </c>
      <c r="F12" s="334">
        <v>1849986.1400000001</v>
      </c>
      <c r="G12" s="369">
        <v>2.9</v>
      </c>
      <c r="H12" s="157">
        <v>104.6</v>
      </c>
      <c r="I12" s="234">
        <v>0.8</v>
      </c>
    </row>
    <row r="13" spans="1:9" s="14" customFormat="1" ht="19.899999999999999" customHeight="1">
      <c r="A13" s="233" t="s">
        <v>2</v>
      </c>
      <c r="B13" s="246" t="s">
        <v>30</v>
      </c>
      <c r="C13" s="568">
        <v>1123291.03</v>
      </c>
      <c r="D13" s="160">
        <v>2942628</v>
      </c>
      <c r="E13" s="155">
        <v>2336432</v>
      </c>
      <c r="F13" s="334">
        <v>606196</v>
      </c>
      <c r="G13" s="369">
        <v>4.4000000000000004</v>
      </c>
      <c r="H13" s="157">
        <v>262</v>
      </c>
      <c r="I13" s="234">
        <v>0.9</v>
      </c>
    </row>
    <row r="14" spans="1:9" s="14" customFormat="1" ht="19.899999999999999" customHeight="1">
      <c r="A14" s="233" t="s">
        <v>10</v>
      </c>
      <c r="B14" s="246" t="s">
        <v>31</v>
      </c>
      <c r="C14" s="568">
        <v>844297.68</v>
      </c>
      <c r="D14" s="160">
        <v>743638.29</v>
      </c>
      <c r="E14" s="155">
        <v>0</v>
      </c>
      <c r="F14" s="334">
        <v>743638.29</v>
      </c>
      <c r="G14" s="369">
        <v>1.1000000000000001</v>
      </c>
      <c r="H14" s="157">
        <v>88.1</v>
      </c>
      <c r="I14" s="234">
        <v>0.1</v>
      </c>
    </row>
    <row r="15" spans="1:9" s="14" customFormat="1" ht="19.899999999999999" customHeight="1">
      <c r="A15" s="233" t="s">
        <v>11</v>
      </c>
      <c r="B15" s="246" t="s">
        <v>32</v>
      </c>
      <c r="C15" s="568">
        <v>587927</v>
      </c>
      <c r="D15" s="160">
        <v>578925.25</v>
      </c>
      <c r="E15" s="155">
        <v>0</v>
      </c>
      <c r="F15" s="334">
        <v>578925.25</v>
      </c>
      <c r="G15" s="369">
        <v>0.9</v>
      </c>
      <c r="H15" s="157">
        <v>98.5</v>
      </c>
      <c r="I15" s="234">
        <v>0.6</v>
      </c>
    </row>
    <row r="16" spans="1:9" s="14" customFormat="1" ht="19.899999999999999" customHeight="1">
      <c r="A16" s="233" t="s">
        <v>12</v>
      </c>
      <c r="B16" s="246" t="s">
        <v>33</v>
      </c>
      <c r="C16" s="568">
        <v>7991075.6299999999</v>
      </c>
      <c r="D16" s="160">
        <v>7587987.6799999997</v>
      </c>
      <c r="E16" s="155">
        <v>6830619.2800000003</v>
      </c>
      <c r="F16" s="334">
        <v>757368.39999999944</v>
      </c>
      <c r="G16" s="369">
        <v>11.4</v>
      </c>
      <c r="H16" s="157">
        <v>95</v>
      </c>
      <c r="I16" s="234">
        <v>3.6</v>
      </c>
    </row>
    <row r="17" spans="1:9" s="14" customFormat="1" ht="19.899999999999999" customHeight="1">
      <c r="A17" s="233" t="s">
        <v>13</v>
      </c>
      <c r="B17" s="246" t="s">
        <v>34</v>
      </c>
      <c r="C17" s="568">
        <v>6662345.9699999997</v>
      </c>
      <c r="D17" s="160">
        <v>4520789.2</v>
      </c>
      <c r="E17" s="155">
        <v>0</v>
      </c>
      <c r="F17" s="334">
        <v>4520789.2</v>
      </c>
      <c r="G17" s="369">
        <v>6.8</v>
      </c>
      <c r="H17" s="157">
        <v>67.900000000000006</v>
      </c>
      <c r="I17" s="234">
        <v>3.9</v>
      </c>
    </row>
    <row r="18" spans="1:9" s="14" customFormat="1" ht="19.899999999999999" customHeight="1">
      <c r="A18" s="233" t="s">
        <v>14</v>
      </c>
      <c r="B18" s="246" t="s">
        <v>35</v>
      </c>
      <c r="C18" s="568">
        <v>2562402.9</v>
      </c>
      <c r="D18" s="160">
        <v>2316133.15</v>
      </c>
      <c r="E18" s="155">
        <v>57982.53</v>
      </c>
      <c r="F18" s="334">
        <v>2258150.62</v>
      </c>
      <c r="G18" s="369">
        <v>3.5</v>
      </c>
      <c r="H18" s="157">
        <v>90.4</v>
      </c>
      <c r="I18" s="234">
        <v>1</v>
      </c>
    </row>
    <row r="19" spans="1:9" s="14" customFormat="1" ht="19.899999999999999" customHeight="1">
      <c r="A19" s="233" t="s">
        <v>15</v>
      </c>
      <c r="B19" s="246" t="s">
        <v>36</v>
      </c>
      <c r="C19" s="568">
        <v>2629667.56</v>
      </c>
      <c r="D19" s="160">
        <v>3201462.87</v>
      </c>
      <c r="E19" s="155">
        <v>1044481</v>
      </c>
      <c r="F19" s="334">
        <v>2156981.87</v>
      </c>
      <c r="G19" s="369">
        <v>4.8</v>
      </c>
      <c r="H19" s="157">
        <v>121.7</v>
      </c>
      <c r="I19" s="234">
        <v>0.7</v>
      </c>
    </row>
    <row r="20" spans="1:9" s="14" customFormat="1" ht="19.899999999999999" customHeight="1">
      <c r="A20" s="233" t="s">
        <v>16</v>
      </c>
      <c r="B20" s="246" t="s">
        <v>37</v>
      </c>
      <c r="C20" s="568">
        <v>2866101.99</v>
      </c>
      <c r="D20" s="160">
        <v>1743406.72</v>
      </c>
      <c r="E20" s="155">
        <v>160192.49</v>
      </c>
      <c r="F20" s="334">
        <v>1583214.23</v>
      </c>
      <c r="G20" s="369">
        <v>2.6</v>
      </c>
      <c r="H20" s="157">
        <v>60.8</v>
      </c>
      <c r="I20" s="234">
        <v>1.4</v>
      </c>
    </row>
    <row r="21" spans="1:9" s="14" customFormat="1" ht="19.899999999999999" customHeight="1">
      <c r="A21" s="233" t="s">
        <v>17</v>
      </c>
      <c r="B21" s="246" t="s">
        <v>43</v>
      </c>
      <c r="C21" s="568">
        <v>8133711.3799999999</v>
      </c>
      <c r="D21" s="160">
        <v>12539872.67</v>
      </c>
      <c r="E21" s="155">
        <v>10960872.67</v>
      </c>
      <c r="F21" s="334">
        <v>1579000</v>
      </c>
      <c r="G21" s="369">
        <v>18.899999999999999</v>
      </c>
      <c r="H21" s="157">
        <v>154.19999999999999</v>
      </c>
      <c r="I21" s="234">
        <v>8.9</v>
      </c>
    </row>
    <row r="22" spans="1:9" s="14" customFormat="1" ht="19.899999999999999" customHeight="1">
      <c r="A22" s="233" t="s">
        <v>18</v>
      </c>
      <c r="B22" s="246" t="s">
        <v>38</v>
      </c>
      <c r="C22" s="568">
        <v>1488244.44</v>
      </c>
      <c r="D22" s="160">
        <v>1537909.37</v>
      </c>
      <c r="E22" s="155">
        <v>115039.44</v>
      </c>
      <c r="F22" s="334">
        <v>1422869.9300000002</v>
      </c>
      <c r="G22" s="369">
        <v>2.2999999999999998</v>
      </c>
      <c r="H22" s="157">
        <v>103.3</v>
      </c>
      <c r="I22" s="234">
        <v>0.4</v>
      </c>
    </row>
    <row r="23" spans="1:9" s="14" customFormat="1" ht="19.899999999999999" customHeight="1">
      <c r="A23" s="235" t="s">
        <v>19</v>
      </c>
      <c r="B23" s="247" t="s">
        <v>39</v>
      </c>
      <c r="C23" s="569">
        <v>956557.26</v>
      </c>
      <c r="D23" s="151">
        <v>4484808.9800000004</v>
      </c>
      <c r="E23" s="149">
        <v>3336028.82</v>
      </c>
      <c r="F23" s="336">
        <v>1148780.1600000006</v>
      </c>
      <c r="G23" s="371">
        <v>6.8</v>
      </c>
      <c r="H23" s="130">
        <v>468.8</v>
      </c>
      <c r="I23" s="238">
        <v>2.7</v>
      </c>
    </row>
    <row r="24" spans="1:9">
      <c r="G24" s="680" t="s">
        <v>3</v>
      </c>
    </row>
    <row r="25" spans="1:9" s="11" customFormat="1" ht="13.5">
      <c r="A25" s="145" t="s">
        <v>934</v>
      </c>
      <c r="B25" s="146" t="s">
        <v>1159</v>
      </c>
      <c r="C25" s="145"/>
      <c r="D25" s="145"/>
      <c r="E25" s="145"/>
      <c r="F25" s="145"/>
      <c r="G25" s="145"/>
      <c r="H25" s="145"/>
      <c r="I25" s="145"/>
    </row>
    <row r="26" spans="1:9" s="11" customFormat="1" ht="13.5">
      <c r="A26" s="145"/>
      <c r="B26" s="146" t="s">
        <v>936</v>
      </c>
      <c r="C26" s="145"/>
      <c r="D26" s="145"/>
      <c r="E26" s="145"/>
      <c r="F26" s="145"/>
      <c r="G26" s="145"/>
      <c r="H26" s="145"/>
      <c r="I26" s="145"/>
    </row>
  </sheetData>
  <mergeCells count="8">
    <mergeCell ref="A1:I1"/>
    <mergeCell ref="I3:I4"/>
    <mergeCell ref="C5:F5"/>
    <mergeCell ref="G5:H5"/>
    <mergeCell ref="A3:A5"/>
    <mergeCell ref="B3:B5"/>
    <mergeCell ref="E3:F3"/>
    <mergeCell ref="G3:G4"/>
  </mergeCells>
  <phoneticPr fontId="7" type="noConversion"/>
  <printOptions horizontalCentered="1"/>
  <pageMargins left="0.47244094488188981" right="0.47244094488188981" top="0.88" bottom="0.59055118110236227" header="0.51181102362204722" footer="0.51181102362204722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>
    <tabColor rgb="FF92D050"/>
  </sheetPr>
  <dimension ref="A1:I26"/>
  <sheetViews>
    <sheetView showGridLines="0" workbookViewId="0">
      <selection activeCell="L4" sqref="L4"/>
    </sheetView>
  </sheetViews>
  <sheetFormatPr defaultColWidth="9.140625" defaultRowHeight="12.75"/>
  <cols>
    <col min="1" max="1" width="4.7109375" style="5" customWidth="1"/>
    <col min="2" max="2" width="17.140625" style="5" customWidth="1"/>
    <col min="3" max="4" width="9.85546875" style="5" bestFit="1" customWidth="1"/>
    <col min="5" max="5" width="9.140625" style="5"/>
    <col min="6" max="6" width="9.85546875" style="5" bestFit="1" customWidth="1"/>
    <col min="7" max="7" width="7.140625" style="5" bestFit="1" customWidth="1"/>
    <col min="8" max="8" width="7.42578125" style="5" bestFit="1" customWidth="1"/>
    <col min="9" max="9" width="12.7109375" style="5" customWidth="1"/>
    <col min="10" max="16384" width="9.140625" style="5"/>
  </cols>
  <sheetData>
    <row r="1" spans="1:9" ht="33" customHeight="1">
      <c r="A1" s="1861" t="s">
        <v>1008</v>
      </c>
      <c r="B1" s="1861"/>
      <c r="C1" s="1861"/>
      <c r="D1" s="1861"/>
      <c r="E1" s="1861"/>
      <c r="F1" s="1861"/>
      <c r="G1" s="1861"/>
      <c r="H1" s="1861"/>
      <c r="I1" s="1861"/>
    </row>
    <row r="3" spans="1:9" ht="15" customHeight="1">
      <c r="A3" s="1798" t="s">
        <v>41</v>
      </c>
      <c r="B3" s="1801" t="s">
        <v>68</v>
      </c>
      <c r="C3" s="577" t="s">
        <v>71</v>
      </c>
      <c r="D3" s="576" t="s">
        <v>71</v>
      </c>
      <c r="E3" s="1851" t="s">
        <v>21</v>
      </c>
      <c r="F3" s="1852"/>
      <c r="G3" s="1859" t="s">
        <v>22</v>
      </c>
      <c r="H3" s="320" t="s">
        <v>882</v>
      </c>
      <c r="I3" s="1848" t="s">
        <v>23</v>
      </c>
    </row>
    <row r="4" spans="1:9" ht="27">
      <c r="A4" s="1799"/>
      <c r="B4" s="1802"/>
      <c r="C4" s="578">
        <v>2020</v>
      </c>
      <c r="D4" s="602">
        <v>2021</v>
      </c>
      <c r="E4" s="603" t="s">
        <v>24</v>
      </c>
      <c r="F4" s="655" t="s">
        <v>25</v>
      </c>
      <c r="G4" s="2127"/>
      <c r="H4" s="603" t="s">
        <v>931</v>
      </c>
      <c r="I4" s="2117"/>
    </row>
    <row r="5" spans="1:9" ht="13.5">
      <c r="A5" s="1872"/>
      <c r="B5" s="1873"/>
      <c r="C5" s="2112" t="s">
        <v>885</v>
      </c>
      <c r="D5" s="2113"/>
      <c r="E5" s="2113"/>
      <c r="F5" s="2114"/>
      <c r="G5" s="2118" t="s">
        <v>886</v>
      </c>
      <c r="H5" s="2119"/>
      <c r="I5" s="605" t="s">
        <v>885</v>
      </c>
    </row>
    <row r="6" spans="1:9" ht="12" customHeight="1">
      <c r="A6" s="239" t="s">
        <v>887</v>
      </c>
      <c r="B6" s="244" t="s">
        <v>888</v>
      </c>
      <c r="C6" s="249" t="s">
        <v>889</v>
      </c>
      <c r="D6" s="240" t="s">
        <v>890</v>
      </c>
      <c r="E6" s="241" t="s">
        <v>891</v>
      </c>
      <c r="F6" s="242" t="s">
        <v>892</v>
      </c>
      <c r="G6" s="239" t="s">
        <v>893</v>
      </c>
      <c r="H6" s="241" t="s">
        <v>894</v>
      </c>
      <c r="I6" s="242" t="s">
        <v>932</v>
      </c>
    </row>
    <row r="7" spans="1:9" s="15" customFormat="1" ht="19.899999999999999" customHeight="1">
      <c r="A7" s="231"/>
      <c r="B7" s="245" t="s">
        <v>933</v>
      </c>
      <c r="C7" s="567">
        <v>15714912.140000001</v>
      </c>
      <c r="D7" s="159">
        <v>35379279.579999998</v>
      </c>
      <c r="E7" s="158">
        <v>72606.899999999994</v>
      </c>
      <c r="F7" s="332">
        <v>35306672.68</v>
      </c>
      <c r="G7" s="560">
        <v>100</v>
      </c>
      <c r="H7" s="150">
        <v>225.1</v>
      </c>
      <c r="I7" s="232">
        <v>0.9</v>
      </c>
    </row>
    <row r="8" spans="1:9" s="15" customFormat="1" ht="19.899999999999999" customHeight="1">
      <c r="A8" s="233" t="s">
        <v>6</v>
      </c>
      <c r="B8" s="246" t="s">
        <v>26</v>
      </c>
      <c r="C8" s="568">
        <v>1664713.57</v>
      </c>
      <c r="D8" s="160">
        <v>15336400.01</v>
      </c>
      <c r="E8" s="155">
        <v>0</v>
      </c>
      <c r="F8" s="334">
        <v>15336400.01</v>
      </c>
      <c r="G8" s="369">
        <v>43.3</v>
      </c>
      <c r="H8" s="157">
        <v>921.3</v>
      </c>
      <c r="I8" s="234">
        <v>5.3</v>
      </c>
    </row>
    <row r="9" spans="1:9" s="15" customFormat="1" ht="19.899999999999999" customHeight="1">
      <c r="A9" s="233" t="s">
        <v>7</v>
      </c>
      <c r="B9" s="246" t="s">
        <v>42</v>
      </c>
      <c r="C9" s="568">
        <v>388651.7</v>
      </c>
      <c r="D9" s="160">
        <v>611834.98</v>
      </c>
      <c r="E9" s="155">
        <v>0</v>
      </c>
      <c r="F9" s="334">
        <v>611834.98</v>
      </c>
      <c r="G9" s="369">
        <v>1.7</v>
      </c>
      <c r="H9" s="157">
        <v>157.4</v>
      </c>
      <c r="I9" s="234">
        <v>0.3</v>
      </c>
    </row>
    <row r="10" spans="1:9" s="15" customFormat="1" ht="19.899999999999999" customHeight="1">
      <c r="A10" s="233" t="s">
        <v>8</v>
      </c>
      <c r="B10" s="246" t="s">
        <v>27</v>
      </c>
      <c r="C10" s="568">
        <v>3200987.5</v>
      </c>
      <c r="D10" s="160">
        <v>3107964.11</v>
      </c>
      <c r="E10" s="155">
        <v>0</v>
      </c>
      <c r="F10" s="334">
        <v>3107964.11</v>
      </c>
      <c r="G10" s="369">
        <v>8.8000000000000007</v>
      </c>
      <c r="H10" s="157">
        <v>97.1</v>
      </c>
      <c r="I10" s="234">
        <v>1.5</v>
      </c>
    </row>
    <row r="11" spans="1:9" s="15" customFormat="1" ht="19.899999999999999" customHeight="1">
      <c r="A11" s="233" t="s">
        <v>9</v>
      </c>
      <c r="B11" s="246" t="s">
        <v>28</v>
      </c>
      <c r="C11" s="568">
        <v>1308715.76</v>
      </c>
      <c r="D11" s="160">
        <v>1435371.75</v>
      </c>
      <c r="E11" s="155">
        <v>0</v>
      </c>
      <c r="F11" s="334">
        <v>1435371.75</v>
      </c>
      <c r="G11" s="369">
        <v>4.0999999999999996</v>
      </c>
      <c r="H11" s="157">
        <v>109.7</v>
      </c>
      <c r="I11" s="234">
        <v>1.4</v>
      </c>
    </row>
    <row r="12" spans="1:9" s="15" customFormat="1" ht="19.899999999999999" customHeight="1">
      <c r="A12" s="233" t="s">
        <v>1</v>
      </c>
      <c r="B12" s="246" t="s">
        <v>29</v>
      </c>
      <c r="C12" s="568">
        <v>568956.59</v>
      </c>
      <c r="D12" s="160">
        <v>1077986.27</v>
      </c>
      <c r="E12" s="155">
        <v>0</v>
      </c>
      <c r="F12" s="334">
        <v>1077986.27</v>
      </c>
      <c r="G12" s="369">
        <v>3</v>
      </c>
      <c r="H12" s="157">
        <v>189.5</v>
      </c>
      <c r="I12" s="234">
        <v>0.4</v>
      </c>
    </row>
    <row r="13" spans="1:9" s="15" customFormat="1" ht="19.899999999999999" customHeight="1">
      <c r="A13" s="233" t="s">
        <v>2</v>
      </c>
      <c r="B13" s="246" t="s">
        <v>30</v>
      </c>
      <c r="C13" s="568">
        <v>1159136.8600000001</v>
      </c>
      <c r="D13" s="160">
        <v>1587347.06</v>
      </c>
      <c r="E13" s="155">
        <v>0</v>
      </c>
      <c r="F13" s="334">
        <v>1587347.06</v>
      </c>
      <c r="G13" s="369">
        <v>4.5</v>
      </c>
      <c r="H13" s="157">
        <v>136.9</v>
      </c>
      <c r="I13" s="234">
        <v>0.5</v>
      </c>
    </row>
    <row r="14" spans="1:9" s="15" customFormat="1" ht="19.899999999999999" customHeight="1">
      <c r="A14" s="233" t="s">
        <v>10</v>
      </c>
      <c r="B14" s="246" t="s">
        <v>31</v>
      </c>
      <c r="C14" s="568">
        <v>673656</v>
      </c>
      <c r="D14" s="160">
        <v>2038423.35</v>
      </c>
      <c r="E14" s="155">
        <v>0</v>
      </c>
      <c r="F14" s="334">
        <v>2038423.35</v>
      </c>
      <c r="G14" s="369">
        <v>5.8</v>
      </c>
      <c r="H14" s="157">
        <v>302.60000000000002</v>
      </c>
      <c r="I14" s="234">
        <v>0.4</v>
      </c>
    </row>
    <row r="15" spans="1:9" s="15" customFormat="1" ht="19.899999999999999" customHeight="1">
      <c r="A15" s="233" t="s">
        <v>11</v>
      </c>
      <c r="B15" s="246" t="s">
        <v>32</v>
      </c>
      <c r="C15" s="568">
        <v>316581.95</v>
      </c>
      <c r="D15" s="160">
        <v>361769.86</v>
      </c>
      <c r="E15" s="155">
        <v>0</v>
      </c>
      <c r="F15" s="334">
        <v>361769.86</v>
      </c>
      <c r="G15" s="369">
        <v>1</v>
      </c>
      <c r="H15" s="157">
        <v>114.3</v>
      </c>
      <c r="I15" s="234">
        <v>0.4</v>
      </c>
    </row>
    <row r="16" spans="1:9" s="15" customFormat="1" ht="19.899999999999999" customHeight="1">
      <c r="A16" s="233" t="s">
        <v>12</v>
      </c>
      <c r="B16" s="246" t="s">
        <v>33</v>
      </c>
      <c r="C16" s="568">
        <v>794960.58</v>
      </c>
      <c r="D16" s="160">
        <v>1309048.3600000001</v>
      </c>
      <c r="E16" s="155">
        <v>72606.899999999994</v>
      </c>
      <c r="F16" s="334">
        <v>1236441.4600000002</v>
      </c>
      <c r="G16" s="369">
        <v>3.7</v>
      </c>
      <c r="H16" s="157">
        <v>164.7</v>
      </c>
      <c r="I16" s="234">
        <v>0.6</v>
      </c>
    </row>
    <row r="17" spans="1:9" s="15" customFormat="1" ht="19.899999999999999" customHeight="1">
      <c r="A17" s="233" t="s">
        <v>13</v>
      </c>
      <c r="B17" s="246" t="s">
        <v>34</v>
      </c>
      <c r="C17" s="568">
        <v>0</v>
      </c>
      <c r="D17" s="160">
        <v>0</v>
      </c>
      <c r="E17" s="155">
        <v>0</v>
      </c>
      <c r="F17" s="334">
        <v>0</v>
      </c>
      <c r="G17" s="369">
        <v>0</v>
      </c>
      <c r="H17" s="157" t="s">
        <v>273</v>
      </c>
      <c r="I17" s="234">
        <v>0</v>
      </c>
    </row>
    <row r="18" spans="1:9" s="15" customFormat="1" ht="19.899999999999999" customHeight="1">
      <c r="A18" s="233" t="s">
        <v>14</v>
      </c>
      <c r="B18" s="246" t="s">
        <v>35</v>
      </c>
      <c r="C18" s="568">
        <v>109966.9</v>
      </c>
      <c r="D18" s="160">
        <v>491350.38</v>
      </c>
      <c r="E18" s="155">
        <v>0</v>
      </c>
      <c r="F18" s="334">
        <v>491350.38</v>
      </c>
      <c r="G18" s="369">
        <v>1.4</v>
      </c>
      <c r="H18" s="157">
        <v>446.8</v>
      </c>
      <c r="I18" s="234">
        <v>0.2</v>
      </c>
    </row>
    <row r="19" spans="1:9" s="15" customFormat="1" ht="19.899999999999999" customHeight="1">
      <c r="A19" s="233" t="s">
        <v>15</v>
      </c>
      <c r="B19" s="246" t="s">
        <v>36</v>
      </c>
      <c r="C19" s="568">
        <v>1348926.06</v>
      </c>
      <c r="D19" s="160">
        <v>2047237.61</v>
      </c>
      <c r="E19" s="155">
        <v>0</v>
      </c>
      <c r="F19" s="334">
        <v>2047237.61</v>
      </c>
      <c r="G19" s="369">
        <v>5.8</v>
      </c>
      <c r="H19" s="157">
        <v>151.80000000000001</v>
      </c>
      <c r="I19" s="234">
        <v>0.5</v>
      </c>
    </row>
    <row r="20" spans="1:9" s="15" customFormat="1" ht="19.899999999999999" customHeight="1">
      <c r="A20" s="233" t="s">
        <v>16</v>
      </c>
      <c r="B20" s="246" t="s">
        <v>37</v>
      </c>
      <c r="C20" s="568">
        <v>496550.7</v>
      </c>
      <c r="D20" s="160">
        <v>579490.14</v>
      </c>
      <c r="E20" s="155">
        <v>0</v>
      </c>
      <c r="F20" s="334">
        <v>579490.14</v>
      </c>
      <c r="G20" s="369">
        <v>1.6</v>
      </c>
      <c r="H20" s="157">
        <v>116.7</v>
      </c>
      <c r="I20" s="234">
        <v>0.5</v>
      </c>
    </row>
    <row r="21" spans="1:9" s="15" customFormat="1" ht="19.899999999999999" customHeight="1">
      <c r="A21" s="233" t="s">
        <v>17</v>
      </c>
      <c r="B21" s="246" t="s">
        <v>43</v>
      </c>
      <c r="C21" s="568">
        <v>829734.69</v>
      </c>
      <c r="D21" s="160">
        <v>855158.68</v>
      </c>
      <c r="E21" s="155">
        <v>0</v>
      </c>
      <c r="F21" s="334">
        <v>855158.68</v>
      </c>
      <c r="G21" s="369">
        <v>2.4</v>
      </c>
      <c r="H21" s="157">
        <v>103.1</v>
      </c>
      <c r="I21" s="234">
        <v>0.6</v>
      </c>
    </row>
    <row r="22" spans="1:9" s="15" customFormat="1" ht="19.899999999999999" customHeight="1">
      <c r="A22" s="233" t="s">
        <v>18</v>
      </c>
      <c r="B22" s="246" t="s">
        <v>38</v>
      </c>
      <c r="C22" s="568">
        <v>2083196.74</v>
      </c>
      <c r="D22" s="160">
        <v>3555723.2</v>
      </c>
      <c r="E22" s="155">
        <v>0</v>
      </c>
      <c r="F22" s="334">
        <v>3555723.2</v>
      </c>
      <c r="G22" s="369">
        <v>10.1</v>
      </c>
      <c r="H22" s="157">
        <v>170.7</v>
      </c>
      <c r="I22" s="234">
        <v>1</v>
      </c>
    </row>
    <row r="23" spans="1:9" s="15" customFormat="1" ht="19.899999999999999" customHeight="1">
      <c r="A23" s="235" t="s">
        <v>19</v>
      </c>
      <c r="B23" s="247" t="s">
        <v>39</v>
      </c>
      <c r="C23" s="569">
        <v>770176.54</v>
      </c>
      <c r="D23" s="151">
        <v>984173.82</v>
      </c>
      <c r="E23" s="149">
        <v>0</v>
      </c>
      <c r="F23" s="336">
        <v>984173.82</v>
      </c>
      <c r="G23" s="371">
        <v>2.8</v>
      </c>
      <c r="H23" s="130">
        <v>127.8</v>
      </c>
      <c r="I23" s="238">
        <v>0.6</v>
      </c>
    </row>
    <row r="25" spans="1:9" s="11" customFormat="1" ht="13.5">
      <c r="A25" s="147" t="s">
        <v>934</v>
      </c>
      <c r="B25" s="148" t="s">
        <v>1159</v>
      </c>
      <c r="C25" s="147"/>
      <c r="D25" s="147"/>
      <c r="E25" s="147"/>
      <c r="F25" s="147"/>
      <c r="G25" s="147"/>
      <c r="H25" s="147"/>
      <c r="I25" s="147"/>
    </row>
    <row r="26" spans="1:9" s="11" customFormat="1" ht="13.5">
      <c r="A26" s="147"/>
      <c r="B26" s="148" t="s">
        <v>936</v>
      </c>
      <c r="C26" s="147"/>
      <c r="D26" s="147"/>
      <c r="E26" s="147"/>
      <c r="F26" s="147"/>
      <c r="G26" s="147"/>
      <c r="H26" s="147"/>
      <c r="I26" s="147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honeticPr fontId="7" type="noConversion"/>
  <printOptions horizontalCentered="1"/>
  <pageMargins left="0.49" right="0.46" top="0.7" bottom="0.98425196850393704" header="0.51181102362204722" footer="0.51181102362204722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showGridLines="0" workbookViewId="0">
      <selection activeCell="L4" sqref="L4"/>
    </sheetView>
  </sheetViews>
  <sheetFormatPr defaultColWidth="9.140625" defaultRowHeight="12.75"/>
  <cols>
    <col min="1" max="1" width="6.140625" style="23" customWidth="1"/>
    <col min="2" max="2" width="25.7109375" style="23" customWidth="1"/>
    <col min="3" max="4" width="11.7109375" style="23" bestFit="1" customWidth="1"/>
    <col min="5" max="5" width="6.5703125" style="23" bestFit="1" customWidth="1"/>
    <col min="6" max="7" width="11.7109375" style="23" bestFit="1" customWidth="1"/>
    <col min="8" max="8" width="6.5703125" style="23" bestFit="1" customWidth="1"/>
    <col min="9" max="16384" width="9.140625" style="23"/>
  </cols>
  <sheetData>
    <row r="1" spans="1:9" ht="54" customHeight="1">
      <c r="A1" s="1847" t="s">
        <v>1009</v>
      </c>
      <c r="B1" s="1847"/>
      <c r="C1" s="1847"/>
      <c r="D1" s="1847"/>
      <c r="E1" s="1847"/>
      <c r="F1" s="1847"/>
      <c r="G1" s="1847"/>
      <c r="H1" s="1847"/>
      <c r="I1" s="1847"/>
    </row>
    <row r="2" spans="1:9" ht="5.2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s="28" customFormat="1" ht="19.899999999999999" customHeight="1">
      <c r="A7" s="348"/>
      <c r="B7" s="76" t="s">
        <v>933</v>
      </c>
      <c r="C7" s="331">
        <v>5462662122.1199999</v>
      </c>
      <c r="D7" s="158">
        <v>5002728682.9700003</v>
      </c>
      <c r="E7" s="232">
        <v>91.6</v>
      </c>
      <c r="F7" s="159">
        <v>2163710841.5899997</v>
      </c>
      <c r="G7" s="158">
        <v>1969978738.3800001</v>
      </c>
      <c r="H7" s="51">
        <v>91</v>
      </c>
      <c r="I7" s="363">
        <v>39.4</v>
      </c>
    </row>
    <row r="8" spans="1:9" s="28" customFormat="1" ht="19.899999999999999" customHeight="1">
      <c r="A8" s="233" t="s">
        <v>895</v>
      </c>
      <c r="B8" s="63" t="s">
        <v>99</v>
      </c>
      <c r="C8" s="333">
        <v>101153994.23999999</v>
      </c>
      <c r="D8" s="155">
        <v>95224730.799999997</v>
      </c>
      <c r="E8" s="234">
        <v>94.1</v>
      </c>
      <c r="F8" s="64">
        <v>101153994.23999999</v>
      </c>
      <c r="G8" s="157">
        <v>95224730.799999997</v>
      </c>
      <c r="H8" s="65">
        <v>94.1</v>
      </c>
      <c r="I8" s="364">
        <v>100</v>
      </c>
    </row>
    <row r="9" spans="1:9" s="28" customFormat="1" ht="19.899999999999999" customHeight="1">
      <c r="A9" s="233" t="s">
        <v>897</v>
      </c>
      <c r="B9" s="63" t="s">
        <v>101</v>
      </c>
      <c r="C9" s="333">
        <v>6219586.7300000004</v>
      </c>
      <c r="D9" s="155">
        <v>5727560.0700000003</v>
      </c>
      <c r="E9" s="234">
        <v>92.1</v>
      </c>
      <c r="F9" s="64">
        <v>6219586.7300000004</v>
      </c>
      <c r="G9" s="157">
        <v>5727560.0700000003</v>
      </c>
      <c r="H9" s="65">
        <v>92.1</v>
      </c>
      <c r="I9" s="364">
        <v>100</v>
      </c>
    </row>
    <row r="10" spans="1:9" s="28" customFormat="1" ht="19.899999999999999" customHeight="1">
      <c r="A10" s="233" t="s">
        <v>899</v>
      </c>
      <c r="B10" s="63" t="s">
        <v>102</v>
      </c>
      <c r="C10" s="333">
        <v>4055970</v>
      </c>
      <c r="D10" s="155">
        <v>4841012.6500000004</v>
      </c>
      <c r="E10" s="234">
        <v>119.4</v>
      </c>
      <c r="F10" s="64">
        <v>3977730</v>
      </c>
      <c r="G10" s="157">
        <v>4772888.45</v>
      </c>
      <c r="H10" s="65">
        <v>120</v>
      </c>
      <c r="I10" s="364">
        <v>98.6</v>
      </c>
    </row>
    <row r="11" spans="1:9" s="28" customFormat="1" ht="19.899999999999999" customHeight="1">
      <c r="A11" s="233" t="s">
        <v>903</v>
      </c>
      <c r="B11" s="63" t="s">
        <v>104</v>
      </c>
      <c r="C11" s="333">
        <v>278043853</v>
      </c>
      <c r="D11" s="155">
        <v>259956765.11000001</v>
      </c>
      <c r="E11" s="234">
        <v>93.5</v>
      </c>
      <c r="F11" s="64">
        <v>2681514</v>
      </c>
      <c r="G11" s="157">
        <v>2725990.9900000095</v>
      </c>
      <c r="H11" s="65">
        <v>101.7</v>
      </c>
      <c r="I11" s="364">
        <v>1</v>
      </c>
    </row>
    <row r="12" spans="1:9" s="28" customFormat="1" ht="19.899999999999999" customHeight="1">
      <c r="A12" s="233" t="s">
        <v>904</v>
      </c>
      <c r="B12" s="63" t="s">
        <v>105</v>
      </c>
      <c r="C12" s="333">
        <v>2454482.11</v>
      </c>
      <c r="D12" s="155">
        <v>2002949.45</v>
      </c>
      <c r="E12" s="234">
        <v>81.599999999999994</v>
      </c>
      <c r="F12" s="64">
        <v>2454482.11</v>
      </c>
      <c r="G12" s="157">
        <v>2002949.45</v>
      </c>
      <c r="H12" s="65">
        <v>81.599999999999994</v>
      </c>
      <c r="I12" s="364">
        <v>100</v>
      </c>
    </row>
    <row r="13" spans="1:9" s="28" customFormat="1" ht="19.899999999999999" customHeight="1">
      <c r="A13" s="233" t="s">
        <v>905</v>
      </c>
      <c r="B13" s="63" t="s">
        <v>106</v>
      </c>
      <c r="C13" s="333">
        <v>367464</v>
      </c>
      <c r="D13" s="155">
        <v>285963.07</v>
      </c>
      <c r="E13" s="234">
        <v>77.8</v>
      </c>
      <c r="F13" s="64">
        <v>367464</v>
      </c>
      <c r="G13" s="157">
        <v>285963.07</v>
      </c>
      <c r="H13" s="65">
        <v>77.8</v>
      </c>
      <c r="I13" s="364">
        <v>100</v>
      </c>
    </row>
    <row r="14" spans="1:9" s="28" customFormat="1" ht="19.899999999999999" customHeight="1">
      <c r="A14" s="233" t="s">
        <v>906</v>
      </c>
      <c r="B14" s="63" t="s">
        <v>107</v>
      </c>
      <c r="C14" s="333">
        <v>2752073</v>
      </c>
      <c r="D14" s="155">
        <v>874368.28</v>
      </c>
      <c r="E14" s="234">
        <v>31.8</v>
      </c>
      <c r="F14" s="64">
        <v>835030</v>
      </c>
      <c r="G14" s="157">
        <v>517076.04000000004</v>
      </c>
      <c r="H14" s="65">
        <v>61.9</v>
      </c>
      <c r="I14" s="364">
        <v>59.1</v>
      </c>
    </row>
    <row r="15" spans="1:9" s="28" customFormat="1" ht="19.899999999999999" customHeight="1">
      <c r="A15" s="233" t="s">
        <v>907</v>
      </c>
      <c r="B15" s="63" t="s">
        <v>108</v>
      </c>
      <c r="C15" s="333">
        <v>586900</v>
      </c>
      <c r="D15" s="155">
        <v>610192.93000000005</v>
      </c>
      <c r="E15" s="234">
        <v>104</v>
      </c>
      <c r="F15" s="64">
        <v>586900</v>
      </c>
      <c r="G15" s="157">
        <v>610192.93000000005</v>
      </c>
      <c r="H15" s="65">
        <v>104</v>
      </c>
      <c r="I15" s="364">
        <v>100</v>
      </c>
    </row>
    <row r="16" spans="1:9" s="28" customFormat="1" ht="19.899999999999999" customHeight="1">
      <c r="A16" s="233" t="s">
        <v>908</v>
      </c>
      <c r="B16" s="63" t="s">
        <v>217</v>
      </c>
      <c r="C16" s="333">
        <v>182992</v>
      </c>
      <c r="D16" s="155">
        <v>128878.04</v>
      </c>
      <c r="E16" s="234">
        <v>70.400000000000006</v>
      </c>
      <c r="F16" s="64">
        <v>182992</v>
      </c>
      <c r="G16" s="157">
        <v>128878.04</v>
      </c>
      <c r="H16" s="65">
        <v>70.400000000000006</v>
      </c>
      <c r="I16" s="364">
        <v>100</v>
      </c>
    </row>
    <row r="17" spans="1:9" s="28" customFormat="1" ht="19.899999999999999" customHeight="1">
      <c r="A17" s="233" t="s">
        <v>909</v>
      </c>
      <c r="B17" s="63" t="s">
        <v>109</v>
      </c>
      <c r="C17" s="333">
        <v>44748792.200000003</v>
      </c>
      <c r="D17" s="155">
        <v>36653683.549999997</v>
      </c>
      <c r="E17" s="234">
        <v>81.900000000000006</v>
      </c>
      <c r="F17" s="64">
        <v>42614563.200000003</v>
      </c>
      <c r="G17" s="157">
        <v>35603327</v>
      </c>
      <c r="H17" s="65">
        <v>83.5</v>
      </c>
      <c r="I17" s="364">
        <v>97.1</v>
      </c>
    </row>
    <row r="18" spans="1:9" ht="19.899999999999999" customHeight="1">
      <c r="A18" s="233" t="s">
        <v>918</v>
      </c>
      <c r="B18" s="63" t="s">
        <v>114</v>
      </c>
      <c r="C18" s="333">
        <v>4830338796.6400003</v>
      </c>
      <c r="D18" s="155">
        <v>4411197017.4899998</v>
      </c>
      <c r="E18" s="234">
        <v>91.3</v>
      </c>
      <c r="F18" s="64">
        <v>1833997726.1100001</v>
      </c>
      <c r="G18" s="157">
        <v>1661975524.29</v>
      </c>
      <c r="H18" s="65">
        <v>90.6</v>
      </c>
      <c r="I18" s="364">
        <v>37.700000000000003</v>
      </c>
    </row>
    <row r="19" spans="1:9" ht="19.899999999999999" customHeight="1">
      <c r="A19" s="233" t="s">
        <v>919</v>
      </c>
      <c r="B19" s="63" t="s">
        <v>115</v>
      </c>
      <c r="C19" s="333">
        <v>7446417.6799999997</v>
      </c>
      <c r="D19" s="155">
        <v>7943921.8300000001</v>
      </c>
      <c r="E19" s="234">
        <v>106.7</v>
      </c>
      <c r="F19" s="64">
        <v>7446417.6799999997</v>
      </c>
      <c r="G19" s="157">
        <v>7943921.8300000001</v>
      </c>
      <c r="H19" s="65">
        <v>106.7</v>
      </c>
      <c r="I19" s="364">
        <v>100</v>
      </c>
    </row>
    <row r="20" spans="1:9" ht="19.899999999999999" customHeight="1">
      <c r="A20" s="233" t="s">
        <v>921</v>
      </c>
      <c r="B20" s="63" t="s">
        <v>116</v>
      </c>
      <c r="C20" s="333">
        <v>891906</v>
      </c>
      <c r="D20" s="155">
        <v>500904.17</v>
      </c>
      <c r="E20" s="234">
        <v>56.2</v>
      </c>
      <c r="F20" s="64">
        <v>891905</v>
      </c>
      <c r="G20" s="157">
        <v>500904.17</v>
      </c>
      <c r="H20" s="65">
        <v>56.2</v>
      </c>
      <c r="I20" s="364">
        <v>100</v>
      </c>
    </row>
    <row r="21" spans="1:9" ht="19.899999999999999" customHeight="1">
      <c r="A21" s="233" t="s">
        <v>922</v>
      </c>
      <c r="B21" s="63" t="s">
        <v>117</v>
      </c>
      <c r="C21" s="333">
        <v>22815454</v>
      </c>
      <c r="D21" s="155">
        <v>17793907.640000001</v>
      </c>
      <c r="E21" s="234">
        <v>78</v>
      </c>
      <c r="F21" s="64">
        <v>22803454</v>
      </c>
      <c r="G21" s="157">
        <v>17782616.240000002</v>
      </c>
      <c r="H21" s="65">
        <v>78</v>
      </c>
      <c r="I21" s="364">
        <v>99.9</v>
      </c>
    </row>
    <row r="22" spans="1:9" ht="27">
      <c r="A22" s="233" t="s">
        <v>923</v>
      </c>
      <c r="B22" s="63" t="s">
        <v>118</v>
      </c>
      <c r="C22" s="333">
        <v>125332854.52</v>
      </c>
      <c r="D22" s="155">
        <v>110949951.97</v>
      </c>
      <c r="E22" s="234">
        <v>88.5</v>
      </c>
      <c r="F22" s="64">
        <v>125039134.52</v>
      </c>
      <c r="G22" s="157">
        <v>109329583.94</v>
      </c>
      <c r="H22" s="65">
        <v>87.4</v>
      </c>
      <c r="I22" s="364">
        <v>98.5</v>
      </c>
    </row>
    <row r="23" spans="1:9" ht="19.899999999999999" customHeight="1">
      <c r="A23" s="233" t="s">
        <v>924</v>
      </c>
      <c r="B23" s="63" t="s">
        <v>119</v>
      </c>
      <c r="C23" s="333">
        <v>2552822</v>
      </c>
      <c r="D23" s="155">
        <v>6062342</v>
      </c>
      <c r="E23" s="234">
        <v>237.5</v>
      </c>
      <c r="F23" s="64">
        <v>2552822</v>
      </c>
      <c r="G23" s="157">
        <v>6062342</v>
      </c>
      <c r="H23" s="65">
        <v>237.5</v>
      </c>
      <c r="I23" s="364">
        <v>100</v>
      </c>
    </row>
    <row r="24" spans="1:9" ht="19.899999999999999" customHeight="1">
      <c r="A24" s="233" t="s">
        <v>925</v>
      </c>
      <c r="B24" s="63" t="s">
        <v>120</v>
      </c>
      <c r="C24" s="333">
        <v>4363308</v>
      </c>
      <c r="D24" s="155">
        <v>5179920.74</v>
      </c>
      <c r="E24" s="234">
        <v>118.7</v>
      </c>
      <c r="F24" s="64">
        <v>4363308</v>
      </c>
      <c r="G24" s="157">
        <v>5179920.74</v>
      </c>
      <c r="H24" s="65">
        <v>118.7</v>
      </c>
      <c r="I24" s="364">
        <v>100</v>
      </c>
    </row>
    <row r="25" spans="1:9" ht="27">
      <c r="A25" s="233" t="s">
        <v>926</v>
      </c>
      <c r="B25" s="63" t="s">
        <v>121</v>
      </c>
      <c r="C25" s="333">
        <v>2984366</v>
      </c>
      <c r="D25" s="155">
        <v>12087657.27</v>
      </c>
      <c r="E25" s="234">
        <v>405</v>
      </c>
      <c r="F25" s="64">
        <v>2984366</v>
      </c>
      <c r="G25" s="157">
        <v>12038713.279999999</v>
      </c>
      <c r="H25" s="65">
        <v>403.4</v>
      </c>
      <c r="I25" s="364">
        <v>99.6</v>
      </c>
    </row>
    <row r="26" spans="1:9" ht="27">
      <c r="A26" s="233" t="s">
        <v>927</v>
      </c>
      <c r="B26" s="63" t="s">
        <v>122</v>
      </c>
      <c r="C26" s="333">
        <v>9203404</v>
      </c>
      <c r="D26" s="155">
        <v>8414539.2599999998</v>
      </c>
      <c r="E26" s="234">
        <v>91.4</v>
      </c>
      <c r="F26" s="64">
        <v>243225</v>
      </c>
      <c r="G26" s="157">
        <v>299147.00999999978</v>
      </c>
      <c r="H26" s="65">
        <v>123</v>
      </c>
      <c r="I26" s="364">
        <v>3.6</v>
      </c>
    </row>
    <row r="27" spans="1:9" ht="40.5">
      <c r="A27" s="233" t="s">
        <v>928</v>
      </c>
      <c r="B27" s="63" t="s">
        <v>123</v>
      </c>
      <c r="C27" s="333">
        <v>15451121</v>
      </c>
      <c r="D27" s="155">
        <v>15576849.710000001</v>
      </c>
      <c r="E27" s="234">
        <v>100.8</v>
      </c>
      <c r="F27" s="64">
        <v>2042638</v>
      </c>
      <c r="G27" s="157">
        <v>994918.5700000003</v>
      </c>
      <c r="H27" s="65">
        <v>48.7</v>
      </c>
      <c r="I27" s="364">
        <v>6.4</v>
      </c>
    </row>
    <row r="28" spans="1:9" ht="19.899999999999999" customHeight="1">
      <c r="A28" s="235" t="s">
        <v>929</v>
      </c>
      <c r="B28" s="295" t="s">
        <v>124</v>
      </c>
      <c r="C28" s="335">
        <v>715565</v>
      </c>
      <c r="D28" s="149">
        <v>715566.94</v>
      </c>
      <c r="E28" s="238">
        <v>100</v>
      </c>
      <c r="F28" s="329">
        <v>271589</v>
      </c>
      <c r="G28" s="130">
        <v>271589.46999999997</v>
      </c>
      <c r="H28" s="377">
        <v>100</v>
      </c>
      <c r="I28" s="365">
        <v>38</v>
      </c>
    </row>
    <row r="30" spans="1:9" ht="13.5">
      <c r="A30" s="153" t="s">
        <v>1158</v>
      </c>
      <c r="B30" s="152"/>
      <c r="C30" s="152"/>
      <c r="D30" s="152"/>
      <c r="E30" s="152"/>
      <c r="F30" s="152"/>
      <c r="G30" s="152"/>
      <c r="H30" s="152"/>
      <c r="I30" s="152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63" right="0.67" top="0.74803149606299213" bottom="0.74803149606299213" header="0.31496062992125984" footer="0.31496062992125984"/>
  <pageSetup paperSize="9" scale="8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2"/>
  <sheetViews>
    <sheetView showGridLines="0" workbookViewId="0">
      <selection activeCell="L4" sqref="L4"/>
    </sheetView>
  </sheetViews>
  <sheetFormatPr defaultColWidth="9.140625" defaultRowHeight="12.75"/>
  <cols>
    <col min="1" max="1" width="6.28515625" style="705" customWidth="1"/>
    <col min="2" max="2" width="25.7109375" style="705" customWidth="1"/>
    <col min="3" max="3" width="11.7109375" style="705" bestFit="1" customWidth="1"/>
    <col min="4" max="4" width="10.5703125" style="705" bestFit="1" customWidth="1"/>
    <col min="5" max="5" width="6.5703125" style="705" bestFit="1" customWidth="1"/>
    <col min="6" max="6" width="11.7109375" style="705" bestFit="1" customWidth="1"/>
    <col min="7" max="7" width="10.5703125" style="705" bestFit="1" customWidth="1"/>
    <col min="8" max="8" width="6.5703125" style="705" bestFit="1" customWidth="1"/>
    <col min="9" max="16384" width="9.140625" style="705"/>
  </cols>
  <sheetData>
    <row r="1" spans="1:9" ht="39.75" customHeight="1">
      <c r="A1" s="1797" t="s">
        <v>957</v>
      </c>
      <c r="B1" s="1797"/>
      <c r="C1" s="1797"/>
      <c r="D1" s="1797"/>
      <c r="E1" s="1797"/>
      <c r="F1" s="1797"/>
      <c r="G1" s="1797"/>
      <c r="H1" s="1797"/>
      <c r="I1" s="1797"/>
    </row>
    <row r="2" spans="1:9" ht="15.75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72"/>
      <c r="B5" s="1873"/>
      <c r="C5" s="2385" t="s">
        <v>885</v>
      </c>
      <c r="D5" s="2386"/>
      <c r="E5" s="706" t="s">
        <v>72</v>
      </c>
      <c r="F5" s="2387" t="s">
        <v>885</v>
      </c>
      <c r="G5" s="2386"/>
      <c r="H5" s="707" t="s">
        <v>72</v>
      </c>
      <c r="I5" s="708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s="709" customFormat="1" ht="19.899999999999999" customHeight="1">
      <c r="A7" s="348"/>
      <c r="B7" s="76" t="s">
        <v>933</v>
      </c>
      <c r="C7" s="331">
        <v>1079596979.45</v>
      </c>
      <c r="D7" s="158">
        <v>944287164.33000004</v>
      </c>
      <c r="E7" s="232">
        <v>87.5</v>
      </c>
      <c r="F7" s="159">
        <v>1068140632.8000001</v>
      </c>
      <c r="G7" s="158">
        <v>933829381.46000004</v>
      </c>
      <c r="H7" s="51">
        <v>87.4</v>
      </c>
      <c r="I7" s="363">
        <v>98.9</v>
      </c>
    </row>
    <row r="8" spans="1:9" s="709" customFormat="1" ht="19.899999999999999" customHeight="1">
      <c r="A8" s="233" t="s">
        <v>895</v>
      </c>
      <c r="B8" s="63" t="s">
        <v>99</v>
      </c>
      <c r="C8" s="333">
        <v>30258908.170000002</v>
      </c>
      <c r="D8" s="155">
        <v>30067433.989999998</v>
      </c>
      <c r="E8" s="234">
        <v>99.4</v>
      </c>
      <c r="F8" s="64">
        <v>30183870.170000002</v>
      </c>
      <c r="G8" s="157">
        <v>29992395.989999998</v>
      </c>
      <c r="H8" s="65">
        <v>99.4</v>
      </c>
      <c r="I8" s="364">
        <v>99.8</v>
      </c>
    </row>
    <row r="9" spans="1:9" s="709" customFormat="1" ht="19.899999999999999" customHeight="1">
      <c r="A9" s="233" t="s">
        <v>897</v>
      </c>
      <c r="B9" s="63" t="s">
        <v>101</v>
      </c>
      <c r="C9" s="333">
        <v>219000</v>
      </c>
      <c r="D9" s="155">
        <v>218999.8</v>
      </c>
      <c r="E9" s="234">
        <v>100</v>
      </c>
      <c r="F9" s="64">
        <v>219000</v>
      </c>
      <c r="G9" s="157">
        <v>218999.8</v>
      </c>
      <c r="H9" s="65">
        <v>100</v>
      </c>
      <c r="I9" s="364">
        <v>100</v>
      </c>
    </row>
    <row r="10" spans="1:9" s="709" customFormat="1" ht="19.899999999999999" customHeight="1">
      <c r="A10" s="233" t="s">
        <v>898</v>
      </c>
      <c r="B10" s="63" t="s">
        <v>126</v>
      </c>
      <c r="C10" s="333">
        <v>345000</v>
      </c>
      <c r="D10" s="155">
        <v>345000</v>
      </c>
      <c r="E10" s="234">
        <v>100</v>
      </c>
      <c r="F10" s="64">
        <v>345000</v>
      </c>
      <c r="G10" s="157">
        <v>345000</v>
      </c>
      <c r="H10" s="65">
        <v>100</v>
      </c>
      <c r="I10" s="364">
        <v>100</v>
      </c>
    </row>
    <row r="11" spans="1:9" s="709" customFormat="1" ht="19.899999999999999" customHeight="1">
      <c r="A11" s="233" t="s">
        <v>903</v>
      </c>
      <c r="B11" s="63" t="s">
        <v>104</v>
      </c>
      <c r="C11" s="333">
        <v>567822549.65999997</v>
      </c>
      <c r="D11" s="155">
        <v>450752633.31999999</v>
      </c>
      <c r="E11" s="234">
        <v>79.400000000000006</v>
      </c>
      <c r="F11" s="64">
        <v>567822549.65999997</v>
      </c>
      <c r="G11" s="157">
        <v>450752633.31999999</v>
      </c>
      <c r="H11" s="65">
        <v>79.400000000000006</v>
      </c>
      <c r="I11" s="364">
        <v>100</v>
      </c>
    </row>
    <row r="12" spans="1:9" s="709" customFormat="1" ht="19.899999999999999" customHeight="1">
      <c r="A12" s="233" t="s">
        <v>904</v>
      </c>
      <c r="B12" s="63" t="s">
        <v>105</v>
      </c>
      <c r="C12" s="333">
        <v>2960080</v>
      </c>
      <c r="D12" s="155">
        <v>2932362.39</v>
      </c>
      <c r="E12" s="234">
        <v>99.1</v>
      </c>
      <c r="F12" s="64">
        <v>2960080</v>
      </c>
      <c r="G12" s="157">
        <v>2932362.39</v>
      </c>
      <c r="H12" s="65">
        <v>99.1</v>
      </c>
      <c r="I12" s="364">
        <v>100</v>
      </c>
    </row>
    <row r="13" spans="1:9" s="709" customFormat="1" ht="19.899999999999999" customHeight="1">
      <c r="A13" s="233" t="s">
        <v>906</v>
      </c>
      <c r="B13" s="63" t="s">
        <v>107</v>
      </c>
      <c r="C13" s="333">
        <v>7729559</v>
      </c>
      <c r="D13" s="155">
        <v>7691582.0599999996</v>
      </c>
      <c r="E13" s="234">
        <v>99.5</v>
      </c>
      <c r="F13" s="64">
        <v>7674209</v>
      </c>
      <c r="G13" s="157">
        <v>7636232.0599999996</v>
      </c>
      <c r="H13" s="65">
        <v>99.5</v>
      </c>
      <c r="I13" s="364">
        <v>99.3</v>
      </c>
    </row>
    <row r="14" spans="1:9" s="709" customFormat="1" ht="19.899999999999999" customHeight="1">
      <c r="A14" s="233" t="s">
        <v>909</v>
      </c>
      <c r="B14" s="63" t="s">
        <v>109</v>
      </c>
      <c r="C14" s="333">
        <v>18797399.920000002</v>
      </c>
      <c r="D14" s="155">
        <v>18527700.27</v>
      </c>
      <c r="E14" s="234">
        <v>98.6</v>
      </c>
      <c r="F14" s="64">
        <v>18797399.920000002</v>
      </c>
      <c r="G14" s="157">
        <v>18527700.27</v>
      </c>
      <c r="H14" s="65">
        <v>98.6</v>
      </c>
      <c r="I14" s="364">
        <v>100</v>
      </c>
    </row>
    <row r="15" spans="1:9" s="709" customFormat="1" ht="19.899999999999999" customHeight="1">
      <c r="A15" s="233" t="s">
        <v>911</v>
      </c>
      <c r="B15" s="63" t="s">
        <v>111</v>
      </c>
      <c r="C15" s="333">
        <v>57000</v>
      </c>
      <c r="D15" s="155">
        <v>36120.660000000003</v>
      </c>
      <c r="E15" s="234">
        <v>63.4</v>
      </c>
      <c r="F15" s="64">
        <v>57000</v>
      </c>
      <c r="G15" s="157">
        <v>36120.660000000003</v>
      </c>
      <c r="H15" s="65">
        <v>63.4</v>
      </c>
      <c r="I15" s="364">
        <v>100</v>
      </c>
    </row>
    <row r="16" spans="1:9" ht="19.899999999999999" customHeight="1">
      <c r="A16" s="233" t="s">
        <v>919</v>
      </c>
      <c r="B16" s="63" t="s">
        <v>115</v>
      </c>
      <c r="C16" s="333">
        <v>603165.39</v>
      </c>
      <c r="D16" s="155">
        <v>523696.62</v>
      </c>
      <c r="E16" s="234">
        <v>86.8</v>
      </c>
      <c r="F16" s="64">
        <v>603165.39</v>
      </c>
      <c r="G16" s="157">
        <v>523696.62</v>
      </c>
      <c r="H16" s="65">
        <v>86.8</v>
      </c>
      <c r="I16" s="364">
        <v>100</v>
      </c>
    </row>
    <row r="17" spans="1:9" ht="19.899999999999999" customHeight="1">
      <c r="A17" s="233" t="s">
        <v>921</v>
      </c>
      <c r="B17" s="63" t="s">
        <v>116</v>
      </c>
      <c r="C17" s="333">
        <v>405303298.31</v>
      </c>
      <c r="D17" s="155">
        <v>388546248.06999999</v>
      </c>
      <c r="E17" s="234">
        <v>95.9</v>
      </c>
      <c r="F17" s="64">
        <v>394002339.66000003</v>
      </c>
      <c r="G17" s="157">
        <v>378242936.59999996</v>
      </c>
      <c r="H17" s="65">
        <v>96</v>
      </c>
      <c r="I17" s="364">
        <v>97.3</v>
      </c>
    </row>
    <row r="18" spans="1:9" ht="27">
      <c r="A18" s="233" t="s">
        <v>923</v>
      </c>
      <c r="B18" s="63" t="s">
        <v>118</v>
      </c>
      <c r="C18" s="333">
        <v>20000</v>
      </c>
      <c r="D18" s="155">
        <v>3820.46</v>
      </c>
      <c r="E18" s="234">
        <v>19.100000000000001</v>
      </c>
      <c r="F18" s="64">
        <v>20000</v>
      </c>
      <c r="G18" s="157">
        <v>3820.46</v>
      </c>
      <c r="H18" s="65">
        <v>19.100000000000001</v>
      </c>
      <c r="I18" s="364">
        <v>100</v>
      </c>
    </row>
    <row r="19" spans="1:9" ht="19.899999999999999" customHeight="1">
      <c r="A19" s="233" t="s">
        <v>925</v>
      </c>
      <c r="B19" s="63" t="s">
        <v>120</v>
      </c>
      <c r="C19" s="333">
        <v>41055210</v>
      </c>
      <c r="D19" s="155">
        <v>40890598.729999997</v>
      </c>
      <c r="E19" s="234">
        <v>99.6</v>
      </c>
      <c r="F19" s="64">
        <v>41055210</v>
      </c>
      <c r="G19" s="157">
        <v>40890598.729999997</v>
      </c>
      <c r="H19" s="65">
        <v>99.6</v>
      </c>
      <c r="I19" s="364">
        <v>100</v>
      </c>
    </row>
    <row r="20" spans="1:9" ht="27">
      <c r="A20" s="235" t="s">
        <v>926</v>
      </c>
      <c r="B20" s="295" t="s">
        <v>121</v>
      </c>
      <c r="C20" s="335">
        <v>4425809</v>
      </c>
      <c r="D20" s="149">
        <v>3750967.96</v>
      </c>
      <c r="E20" s="238">
        <v>84.8</v>
      </c>
      <c r="F20" s="329">
        <v>4400809</v>
      </c>
      <c r="G20" s="130">
        <v>3726884.56</v>
      </c>
      <c r="H20" s="377">
        <v>84.7</v>
      </c>
      <c r="I20" s="365">
        <v>99.4</v>
      </c>
    </row>
    <row r="22" spans="1:9" ht="13.5">
      <c r="A22" s="172" t="s">
        <v>1158</v>
      </c>
      <c r="B22" s="109"/>
      <c r="C22" s="109"/>
      <c r="D22" s="109"/>
      <c r="E22" s="109"/>
      <c r="F22" s="109"/>
      <c r="G22" s="109"/>
      <c r="H22" s="109"/>
      <c r="I22" s="109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75" bottom="0.75" header="0.3" footer="0.3"/>
  <pageSetup paperSize="9" scale="90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"/>
  <sheetViews>
    <sheetView showGridLines="0" workbookViewId="0">
      <selection activeCell="L4" sqref="L4"/>
    </sheetView>
  </sheetViews>
  <sheetFormatPr defaultColWidth="9.140625" defaultRowHeight="12.75"/>
  <cols>
    <col min="1" max="1" width="6.140625" style="21" customWidth="1"/>
    <col min="2" max="2" width="25.7109375" style="21" customWidth="1"/>
    <col min="3" max="3" width="10.5703125" style="21" customWidth="1"/>
    <col min="4" max="4" width="10" style="21" bestFit="1" customWidth="1"/>
    <col min="5" max="5" width="8.5703125" style="21" customWidth="1"/>
    <col min="6" max="7" width="10.42578125" style="21" customWidth="1"/>
    <col min="8" max="8" width="8" style="21" customWidth="1"/>
    <col min="9" max="9" width="10.140625" style="21" customWidth="1"/>
    <col min="10" max="16384" width="9.140625" style="21"/>
  </cols>
  <sheetData>
    <row r="1" spans="1:9" ht="46.9" customHeight="1">
      <c r="A1" s="1797" t="s">
        <v>958</v>
      </c>
      <c r="B1" s="1797"/>
      <c r="C1" s="1797"/>
      <c r="D1" s="1797"/>
      <c r="E1" s="1797"/>
      <c r="F1" s="1797"/>
      <c r="G1" s="1797"/>
      <c r="H1" s="1797"/>
      <c r="I1" s="1797"/>
    </row>
    <row r="2" spans="1:9" ht="6" customHeight="1"/>
    <row r="3" spans="1:9" ht="16.5" customHeight="1">
      <c r="A3" s="1798" t="s">
        <v>881</v>
      </c>
      <c r="B3" s="1801" t="s">
        <v>68</v>
      </c>
      <c r="C3" s="1798" t="s">
        <v>44</v>
      </c>
      <c r="D3" s="1874"/>
      <c r="E3" s="1875"/>
      <c r="F3" s="1876" t="s">
        <v>69</v>
      </c>
      <c r="G3" s="1877"/>
      <c r="H3" s="1885"/>
      <c r="I3" s="360" t="s">
        <v>938</v>
      </c>
    </row>
    <row r="4" spans="1:9" ht="16.5" customHeight="1">
      <c r="A4" s="1799"/>
      <c r="B4" s="1802"/>
      <c r="C4" s="382" t="s">
        <v>70</v>
      </c>
      <c r="D4" s="379" t="s">
        <v>71</v>
      </c>
      <c r="E4" s="383" t="s">
        <v>931</v>
      </c>
      <c r="F4" s="381" t="s">
        <v>70</v>
      </c>
      <c r="G4" s="379" t="s">
        <v>71</v>
      </c>
      <c r="H4" s="380" t="s">
        <v>939</v>
      </c>
      <c r="I4" s="385" t="s">
        <v>940</v>
      </c>
    </row>
    <row r="5" spans="1:9" ht="12.75" customHeight="1">
      <c r="A5" s="1872"/>
      <c r="B5" s="1873"/>
      <c r="C5" s="1879" t="s">
        <v>885</v>
      </c>
      <c r="D5" s="1880"/>
      <c r="E5" s="358" t="s">
        <v>72</v>
      </c>
      <c r="F5" s="1881" t="s">
        <v>885</v>
      </c>
      <c r="G5" s="1880"/>
      <c r="H5" s="357" t="s">
        <v>72</v>
      </c>
      <c r="I5" s="362" t="s">
        <v>72</v>
      </c>
    </row>
    <row r="6" spans="1:9">
      <c r="A6" s="239" t="s">
        <v>887</v>
      </c>
      <c r="B6" s="244" t="s">
        <v>888</v>
      </c>
      <c r="C6" s="239" t="s">
        <v>889</v>
      </c>
      <c r="D6" s="241" t="s">
        <v>890</v>
      </c>
      <c r="E6" s="242" t="s">
        <v>891</v>
      </c>
      <c r="F6" s="240" t="s">
        <v>892</v>
      </c>
      <c r="G6" s="241" t="s">
        <v>893</v>
      </c>
      <c r="H6" s="323" t="s">
        <v>894</v>
      </c>
      <c r="I6" s="249" t="s">
        <v>932</v>
      </c>
    </row>
    <row r="7" spans="1:9" s="22" customFormat="1" ht="19.899999999999999" customHeight="1">
      <c r="A7" s="348"/>
      <c r="B7" s="76" t="s">
        <v>933</v>
      </c>
      <c r="C7" s="331">
        <v>85649626.340000004</v>
      </c>
      <c r="D7" s="158">
        <v>66363491.670000002</v>
      </c>
      <c r="E7" s="232">
        <v>77.5</v>
      </c>
      <c r="F7" s="159">
        <v>27519635.900000006</v>
      </c>
      <c r="G7" s="158">
        <v>26725276.530000001</v>
      </c>
      <c r="H7" s="51">
        <v>97.1</v>
      </c>
      <c r="I7" s="363">
        <v>40.299999999999997</v>
      </c>
    </row>
    <row r="8" spans="1:9" s="22" customFormat="1" ht="19.899999999999999" customHeight="1">
      <c r="A8" s="233" t="s">
        <v>903</v>
      </c>
      <c r="B8" s="63" t="s">
        <v>104</v>
      </c>
      <c r="C8" s="333">
        <v>11508190.439999999</v>
      </c>
      <c r="D8" s="155">
        <v>8138118.8499999996</v>
      </c>
      <c r="E8" s="234">
        <v>70.7</v>
      </c>
      <c r="F8" s="64">
        <v>0</v>
      </c>
      <c r="G8" s="157">
        <v>0</v>
      </c>
      <c r="H8" s="84" t="s">
        <v>913</v>
      </c>
      <c r="I8" s="364">
        <v>0</v>
      </c>
    </row>
    <row r="9" spans="1:9" s="22" customFormat="1" ht="19.899999999999999" customHeight="1">
      <c r="A9" s="233" t="s">
        <v>909</v>
      </c>
      <c r="B9" s="63" t="s">
        <v>109</v>
      </c>
      <c r="C9" s="333">
        <v>801000</v>
      </c>
      <c r="D9" s="155">
        <v>799813.16</v>
      </c>
      <c r="E9" s="234">
        <v>99.9</v>
      </c>
      <c r="F9" s="64">
        <v>801000</v>
      </c>
      <c r="G9" s="157">
        <v>799813.16</v>
      </c>
      <c r="H9" s="65">
        <v>99.9</v>
      </c>
      <c r="I9" s="364">
        <v>100</v>
      </c>
    </row>
    <row r="10" spans="1:9" ht="19.899999999999999" customHeight="1">
      <c r="A10" s="233" t="s">
        <v>919</v>
      </c>
      <c r="B10" s="63" t="s">
        <v>115</v>
      </c>
      <c r="C10" s="333">
        <v>1547705</v>
      </c>
      <c r="D10" s="155">
        <v>1433721.65</v>
      </c>
      <c r="E10" s="234">
        <v>92.6</v>
      </c>
      <c r="F10" s="64">
        <v>1547705</v>
      </c>
      <c r="G10" s="157">
        <v>1433721.65</v>
      </c>
      <c r="H10" s="65">
        <v>92.6</v>
      </c>
      <c r="I10" s="364">
        <v>100</v>
      </c>
    </row>
    <row r="11" spans="1:9" ht="19.899999999999999" customHeight="1">
      <c r="A11" s="233" t="s">
        <v>921</v>
      </c>
      <c r="B11" s="63" t="s">
        <v>116</v>
      </c>
      <c r="C11" s="333">
        <v>48054862</v>
      </c>
      <c r="D11" s="155">
        <v>32464680.539999999</v>
      </c>
      <c r="E11" s="234">
        <v>67.599999999999994</v>
      </c>
      <c r="F11" s="64">
        <v>1593462</v>
      </c>
      <c r="G11" s="157">
        <v>1124776.7399999984</v>
      </c>
      <c r="H11" s="65">
        <v>70.599999999999994</v>
      </c>
      <c r="I11" s="364">
        <v>3.5</v>
      </c>
    </row>
    <row r="12" spans="1:9" ht="19.899999999999999" customHeight="1">
      <c r="A12" s="233" t="s">
        <v>922</v>
      </c>
      <c r="B12" s="63" t="s">
        <v>117</v>
      </c>
      <c r="C12" s="333">
        <v>3979468.9</v>
      </c>
      <c r="D12" s="155">
        <v>3811423.25</v>
      </c>
      <c r="E12" s="234">
        <v>95.8</v>
      </c>
      <c r="F12" s="64">
        <v>3979468.9</v>
      </c>
      <c r="G12" s="157">
        <v>3811423.25</v>
      </c>
      <c r="H12" s="65">
        <v>95.8</v>
      </c>
      <c r="I12" s="364">
        <v>100</v>
      </c>
    </row>
    <row r="13" spans="1:9" ht="40.5">
      <c r="A13" s="235" t="s">
        <v>928</v>
      </c>
      <c r="B13" s="295" t="s">
        <v>123</v>
      </c>
      <c r="C13" s="335">
        <v>19758400</v>
      </c>
      <c r="D13" s="149">
        <v>19715734.219999999</v>
      </c>
      <c r="E13" s="238">
        <v>99.8</v>
      </c>
      <c r="F13" s="329">
        <v>19598000</v>
      </c>
      <c r="G13" s="130">
        <v>19555541.73</v>
      </c>
      <c r="H13" s="377">
        <v>99.8</v>
      </c>
      <c r="I13" s="365">
        <v>99.2</v>
      </c>
    </row>
    <row r="15" spans="1:9" ht="13.5">
      <c r="A15" s="156" t="s">
        <v>1158</v>
      </c>
      <c r="B15" s="154"/>
      <c r="C15" s="154"/>
      <c r="D15" s="154"/>
      <c r="E15" s="154"/>
      <c r="F15" s="154"/>
      <c r="G15" s="154"/>
      <c r="H15" s="154"/>
      <c r="I15" s="154"/>
    </row>
  </sheetData>
  <mergeCells count="7">
    <mergeCell ref="A1:I1"/>
    <mergeCell ref="A3:A5"/>
    <mergeCell ref="B3:B5"/>
    <mergeCell ref="C3:E3"/>
    <mergeCell ref="F3:H3"/>
    <mergeCell ref="C5:D5"/>
    <mergeCell ref="F5:G5"/>
  </mergeCells>
  <pageMargins left="0.7" right="0.7" top="0.75" bottom="0.75" header="0.3" footer="0.3"/>
  <pageSetup paperSize="9" scale="8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showGridLines="0" zoomScaleNormal="100" workbookViewId="0">
      <selection activeCell="L4" sqref="L4"/>
    </sheetView>
  </sheetViews>
  <sheetFormatPr defaultRowHeight="12.75"/>
  <cols>
    <col min="1" max="1" width="5.7109375" customWidth="1"/>
    <col min="2" max="2" width="39.85546875" customWidth="1"/>
    <col min="3" max="3" width="13.42578125" bestFit="1" customWidth="1"/>
    <col min="4" max="4" width="12.5703125" bestFit="1" customWidth="1"/>
    <col min="5" max="5" width="12.42578125" customWidth="1"/>
    <col min="6" max="6" width="12.5703125" bestFit="1" customWidth="1"/>
    <col min="7" max="7" width="13.5703125" customWidth="1"/>
    <col min="8" max="8" width="13.85546875" customWidth="1"/>
    <col min="9" max="9" width="12.5703125" bestFit="1" customWidth="1"/>
    <col min="10" max="10" width="17" customWidth="1"/>
  </cols>
  <sheetData>
    <row r="1" spans="1:10">
      <c r="A1" s="1889" t="s">
        <v>706</v>
      </c>
      <c r="B1" s="1889"/>
      <c r="C1" s="1889"/>
      <c r="D1" s="1889"/>
      <c r="E1" s="1889"/>
      <c r="F1" s="1889"/>
      <c r="G1" s="1889"/>
      <c r="H1" s="1889"/>
      <c r="I1" s="1889"/>
      <c r="J1" s="1889"/>
    </row>
    <row r="2" spans="1:10" ht="13.5">
      <c r="A2" s="181"/>
      <c r="B2" s="179"/>
      <c r="C2" s="180"/>
      <c r="D2" s="180"/>
      <c r="E2" s="180"/>
      <c r="F2" s="180"/>
      <c r="G2" s="180"/>
      <c r="H2" s="180"/>
      <c r="I2" s="180"/>
      <c r="J2" s="180"/>
    </row>
    <row r="3" spans="1:10" ht="13.5">
      <c r="A3" s="1899" t="s">
        <v>881</v>
      </c>
      <c r="B3" s="1902" t="s">
        <v>68</v>
      </c>
      <c r="C3" s="1899" t="s">
        <v>0</v>
      </c>
      <c r="D3" s="2129" t="s">
        <v>21</v>
      </c>
      <c r="E3" s="2129"/>
      <c r="F3" s="2129"/>
      <c r="G3" s="2129"/>
      <c r="H3" s="2129"/>
      <c r="I3" s="2129"/>
      <c r="J3" s="2130"/>
    </row>
    <row r="4" spans="1:10" ht="13.15" customHeight="1">
      <c r="A4" s="1900"/>
      <c r="B4" s="1903"/>
      <c r="C4" s="1900"/>
      <c r="D4" s="2131" t="s">
        <v>739</v>
      </c>
      <c r="E4" s="2133" t="s">
        <v>734</v>
      </c>
      <c r="F4" s="2134"/>
      <c r="G4" s="2134"/>
      <c r="H4" s="2135"/>
      <c r="I4" s="2136" t="s">
        <v>740</v>
      </c>
      <c r="J4" s="571" t="s">
        <v>734</v>
      </c>
    </row>
    <row r="5" spans="1:10" ht="12.75" customHeight="1">
      <c r="A5" s="1900"/>
      <c r="B5" s="1903"/>
      <c r="C5" s="1900"/>
      <c r="D5" s="2131"/>
      <c r="E5" s="2132" t="s">
        <v>1162</v>
      </c>
      <c r="F5" s="2131" t="s">
        <v>1163</v>
      </c>
      <c r="G5" s="2131" t="s">
        <v>1164</v>
      </c>
      <c r="H5" s="2132" t="s">
        <v>976</v>
      </c>
      <c r="I5" s="2136"/>
      <c r="J5" s="2139" t="s">
        <v>977</v>
      </c>
    </row>
    <row r="6" spans="1:10" ht="29.45" customHeight="1">
      <c r="A6" s="1900"/>
      <c r="B6" s="1903"/>
      <c r="C6" s="2128"/>
      <c r="D6" s="2132"/>
      <c r="E6" s="2138"/>
      <c r="F6" s="2132"/>
      <c r="G6" s="2132"/>
      <c r="H6" s="2138"/>
      <c r="I6" s="2137"/>
      <c r="J6" s="2140"/>
    </row>
    <row r="7" spans="1:10" ht="13.5">
      <c r="A7" s="2128"/>
      <c r="B7" s="2259"/>
      <c r="C7" s="2141" t="s">
        <v>885</v>
      </c>
      <c r="D7" s="2142"/>
      <c r="E7" s="2142"/>
      <c r="F7" s="2142"/>
      <c r="G7" s="2142"/>
      <c r="H7" s="2142"/>
      <c r="I7" s="2142"/>
      <c r="J7" s="2143"/>
    </row>
    <row r="8" spans="1:10">
      <c r="A8" s="398" t="s">
        <v>887</v>
      </c>
      <c r="B8" s="606" t="s">
        <v>888</v>
      </c>
      <c r="C8" s="398" t="s">
        <v>889</v>
      </c>
      <c r="D8" s="398" t="s">
        <v>890</v>
      </c>
      <c r="E8" s="398" t="s">
        <v>891</v>
      </c>
      <c r="F8" s="398" t="s">
        <v>892</v>
      </c>
      <c r="G8" s="398" t="s">
        <v>893</v>
      </c>
      <c r="H8" s="398" t="s">
        <v>894</v>
      </c>
      <c r="I8" s="398" t="s">
        <v>932</v>
      </c>
      <c r="J8" s="428" t="s">
        <v>966</v>
      </c>
    </row>
    <row r="9" spans="1:10" ht="19.899999999999999" customHeight="1">
      <c r="A9" s="387"/>
      <c r="B9" s="1563" t="s">
        <v>933</v>
      </c>
      <c r="C9" s="414">
        <v>20802073580.950001</v>
      </c>
      <c r="D9" s="183">
        <v>13290654199.969999</v>
      </c>
      <c r="E9" s="183">
        <v>2539444622.6599998</v>
      </c>
      <c r="F9" s="183">
        <v>4798683693.4300003</v>
      </c>
      <c r="G9" s="183">
        <v>55812213.200000003</v>
      </c>
      <c r="H9" s="183">
        <v>2225531567.1900001</v>
      </c>
      <c r="I9" s="183">
        <v>7511419380.9799995</v>
      </c>
      <c r="J9" s="415">
        <v>4008293311.5500002</v>
      </c>
    </row>
    <row r="10" spans="1:10" ht="19.899999999999999" customHeight="1">
      <c r="A10" s="389" t="s">
        <v>895</v>
      </c>
      <c r="B10" s="404" t="s">
        <v>99</v>
      </c>
      <c r="C10" s="416">
        <v>485735087.22000003</v>
      </c>
      <c r="D10" s="186">
        <v>271153840.45999998</v>
      </c>
      <c r="E10" s="186">
        <v>69001537.420000002</v>
      </c>
      <c r="F10" s="186">
        <v>46147289.289999999</v>
      </c>
      <c r="G10" s="186">
        <v>392617.37</v>
      </c>
      <c r="H10" s="186">
        <v>97595405.349999994</v>
      </c>
      <c r="I10" s="186">
        <v>214581246.75999999</v>
      </c>
      <c r="J10" s="417">
        <v>0</v>
      </c>
    </row>
    <row r="11" spans="1:10" ht="19.899999999999999" customHeight="1">
      <c r="A11" s="389" t="s">
        <v>896</v>
      </c>
      <c r="B11" s="404" t="s">
        <v>100</v>
      </c>
      <c r="C11" s="416">
        <v>1065500.45</v>
      </c>
      <c r="D11" s="186">
        <v>1065500.45</v>
      </c>
      <c r="E11" s="186">
        <v>775028.2</v>
      </c>
      <c r="F11" s="186">
        <v>0</v>
      </c>
      <c r="G11" s="186">
        <v>2917.46</v>
      </c>
      <c r="H11" s="186">
        <v>0</v>
      </c>
      <c r="I11" s="186">
        <v>0</v>
      </c>
      <c r="J11" s="417">
        <v>0</v>
      </c>
    </row>
    <row r="12" spans="1:10" ht="19.899999999999999" customHeight="1">
      <c r="A12" s="389" t="s">
        <v>897</v>
      </c>
      <c r="B12" s="404" t="s">
        <v>101</v>
      </c>
      <c r="C12" s="416">
        <v>18697666.149999999</v>
      </c>
      <c r="D12" s="186">
        <v>7954666.1500000004</v>
      </c>
      <c r="E12" s="186">
        <v>1772720.85</v>
      </c>
      <c r="F12" s="186">
        <v>0</v>
      </c>
      <c r="G12" s="186">
        <v>0</v>
      </c>
      <c r="H12" s="186">
        <v>6073757.5099999998</v>
      </c>
      <c r="I12" s="186">
        <v>10743000</v>
      </c>
      <c r="J12" s="417">
        <v>0</v>
      </c>
    </row>
    <row r="13" spans="1:10" ht="19.899999999999999" customHeight="1">
      <c r="A13" s="389" t="s">
        <v>898</v>
      </c>
      <c r="B13" s="404" t="s">
        <v>126</v>
      </c>
      <c r="C13" s="416">
        <v>389375.52</v>
      </c>
      <c r="D13" s="186">
        <v>389087.62</v>
      </c>
      <c r="E13" s="186">
        <v>332974</v>
      </c>
      <c r="F13" s="186">
        <v>0</v>
      </c>
      <c r="G13" s="186">
        <v>0</v>
      </c>
      <c r="H13" s="186">
        <v>44087.62</v>
      </c>
      <c r="I13" s="186">
        <v>287.89999999999998</v>
      </c>
      <c r="J13" s="417">
        <v>287.89999999999998</v>
      </c>
    </row>
    <row r="14" spans="1:10" ht="19.899999999999999" customHeight="1">
      <c r="A14" s="389" t="s">
        <v>899</v>
      </c>
      <c r="B14" s="404" t="s">
        <v>102</v>
      </c>
      <c r="C14" s="416">
        <v>260108913.56</v>
      </c>
      <c r="D14" s="186">
        <v>204310892.03999999</v>
      </c>
      <c r="E14" s="186">
        <v>5744336.5300000003</v>
      </c>
      <c r="F14" s="186">
        <v>2617921.7999999998</v>
      </c>
      <c r="G14" s="186">
        <v>9648.35</v>
      </c>
      <c r="H14" s="186">
        <v>180273635.03</v>
      </c>
      <c r="I14" s="186">
        <v>55798021.520000003</v>
      </c>
      <c r="J14" s="417">
        <v>28661267.550000001</v>
      </c>
    </row>
    <row r="15" spans="1:10" ht="19.899999999999999" customHeight="1">
      <c r="A15" s="389" t="s">
        <v>900</v>
      </c>
      <c r="B15" s="404" t="s">
        <v>103</v>
      </c>
      <c r="C15" s="416">
        <v>4346581</v>
      </c>
      <c r="D15" s="186">
        <v>149162.57</v>
      </c>
      <c r="E15" s="186">
        <v>1700</v>
      </c>
      <c r="F15" s="186">
        <v>139193.76999999999</v>
      </c>
      <c r="G15" s="186">
        <v>0</v>
      </c>
      <c r="H15" s="186">
        <v>0</v>
      </c>
      <c r="I15" s="186">
        <v>4197418.43</v>
      </c>
      <c r="J15" s="417">
        <v>2115901.4300000002</v>
      </c>
    </row>
    <row r="16" spans="1:10" ht="19.899999999999999" customHeight="1">
      <c r="A16" s="389" t="s">
        <v>901</v>
      </c>
      <c r="B16" s="404" t="s">
        <v>216</v>
      </c>
      <c r="C16" s="416">
        <v>2078925.07</v>
      </c>
      <c r="D16" s="186">
        <v>14925.07</v>
      </c>
      <c r="E16" s="186">
        <v>14925.07</v>
      </c>
      <c r="F16" s="186">
        <v>0</v>
      </c>
      <c r="G16" s="186">
        <v>0</v>
      </c>
      <c r="H16" s="186">
        <v>0</v>
      </c>
      <c r="I16" s="186">
        <v>2064000</v>
      </c>
      <c r="J16" s="417">
        <v>0</v>
      </c>
    </row>
    <row r="17" spans="1:10" ht="19.899999999999999" customHeight="1">
      <c r="A17" s="389" t="s">
        <v>903</v>
      </c>
      <c r="B17" s="404" t="s">
        <v>104</v>
      </c>
      <c r="C17" s="416">
        <v>8507553331.9300003</v>
      </c>
      <c r="D17" s="186">
        <v>4409048947.6199999</v>
      </c>
      <c r="E17" s="186">
        <v>307235483.06999999</v>
      </c>
      <c r="F17" s="186">
        <v>2787267710.5100002</v>
      </c>
      <c r="G17" s="186">
        <v>2925730.33</v>
      </c>
      <c r="H17" s="186">
        <v>9575066.0299999993</v>
      </c>
      <c r="I17" s="186">
        <v>4098504384.3099999</v>
      </c>
      <c r="J17" s="417">
        <v>2559805430.1399999</v>
      </c>
    </row>
    <row r="18" spans="1:10" ht="19.899999999999999" customHeight="1">
      <c r="A18" s="389" t="s">
        <v>904</v>
      </c>
      <c r="B18" s="404" t="s">
        <v>105</v>
      </c>
      <c r="C18" s="416">
        <v>97285492.079999998</v>
      </c>
      <c r="D18" s="186">
        <v>37798759.770000003</v>
      </c>
      <c r="E18" s="186">
        <v>4071954.95</v>
      </c>
      <c r="F18" s="186">
        <v>14563610.93</v>
      </c>
      <c r="G18" s="186">
        <v>0</v>
      </c>
      <c r="H18" s="186">
        <v>1702220.88</v>
      </c>
      <c r="I18" s="186">
        <v>59486732.310000002</v>
      </c>
      <c r="J18" s="417">
        <v>43445284.170000002</v>
      </c>
    </row>
    <row r="19" spans="1:10" ht="19.899999999999999" customHeight="1">
      <c r="A19" s="389" t="s">
        <v>905</v>
      </c>
      <c r="B19" s="404" t="s">
        <v>106</v>
      </c>
      <c r="C19" s="416">
        <v>157237754.69</v>
      </c>
      <c r="D19" s="186">
        <v>79745897.870000005</v>
      </c>
      <c r="E19" s="186">
        <v>12184534.07</v>
      </c>
      <c r="F19" s="186">
        <v>473534.52</v>
      </c>
      <c r="G19" s="186">
        <v>29943.06</v>
      </c>
      <c r="H19" s="186">
        <v>3428087.3</v>
      </c>
      <c r="I19" s="186">
        <v>77491856.819999993</v>
      </c>
      <c r="J19" s="417">
        <v>49086969.5</v>
      </c>
    </row>
    <row r="20" spans="1:10" ht="19.899999999999999" customHeight="1">
      <c r="A20" s="389" t="s">
        <v>906</v>
      </c>
      <c r="B20" s="404" t="s">
        <v>107</v>
      </c>
      <c r="C20" s="416">
        <v>214585410.44999999</v>
      </c>
      <c r="D20" s="186">
        <v>113777057.78</v>
      </c>
      <c r="E20" s="186">
        <v>56377607.140000001</v>
      </c>
      <c r="F20" s="186">
        <v>496180.37</v>
      </c>
      <c r="G20" s="186">
        <v>85795.39</v>
      </c>
      <c r="H20" s="186">
        <v>33397115.079999998</v>
      </c>
      <c r="I20" s="186">
        <v>100808352.67</v>
      </c>
      <c r="J20" s="417">
        <v>17738501.940000001</v>
      </c>
    </row>
    <row r="21" spans="1:10" ht="19.899999999999999" customHeight="1">
      <c r="A21" s="389" t="s">
        <v>907</v>
      </c>
      <c r="B21" s="404" t="s">
        <v>108</v>
      </c>
      <c r="C21" s="416">
        <v>116039087.20999999</v>
      </c>
      <c r="D21" s="186">
        <v>28811735.84</v>
      </c>
      <c r="E21" s="186">
        <v>0</v>
      </c>
      <c r="F21" s="186">
        <v>0</v>
      </c>
      <c r="G21" s="186">
        <v>0</v>
      </c>
      <c r="H21" s="186">
        <v>3796323.18</v>
      </c>
      <c r="I21" s="186">
        <v>87227351.370000005</v>
      </c>
      <c r="J21" s="417">
        <v>80849303.280000001</v>
      </c>
    </row>
    <row r="22" spans="1:10" ht="19.899999999999999" customHeight="1">
      <c r="A22" s="389" t="s">
        <v>908</v>
      </c>
      <c r="B22" s="404" t="s">
        <v>217</v>
      </c>
      <c r="C22" s="416">
        <v>25823883.100000001</v>
      </c>
      <c r="D22" s="186">
        <v>16653911.83</v>
      </c>
      <c r="E22" s="186">
        <v>880355.85</v>
      </c>
      <c r="F22" s="186">
        <v>5090083.03</v>
      </c>
      <c r="G22" s="186">
        <v>5534256</v>
      </c>
      <c r="H22" s="186">
        <v>4179040.38</v>
      </c>
      <c r="I22" s="186">
        <v>9169971.2699999996</v>
      </c>
      <c r="J22" s="417">
        <v>7008</v>
      </c>
    </row>
    <row r="23" spans="1:10" ht="19.899999999999999" customHeight="1">
      <c r="A23" s="389" t="s">
        <v>909</v>
      </c>
      <c r="B23" s="404" t="s">
        <v>109</v>
      </c>
      <c r="C23" s="416">
        <v>2320109570.8600001</v>
      </c>
      <c r="D23" s="186">
        <v>2099917586.25</v>
      </c>
      <c r="E23" s="186">
        <v>927592907.66999996</v>
      </c>
      <c r="F23" s="186">
        <v>14940258.949999999</v>
      </c>
      <c r="G23" s="186">
        <v>19940260.170000002</v>
      </c>
      <c r="H23" s="186">
        <v>724462834.22000003</v>
      </c>
      <c r="I23" s="186">
        <v>220191984.61000001</v>
      </c>
      <c r="J23" s="417">
        <v>133057271.77</v>
      </c>
    </row>
    <row r="24" spans="1:10" ht="27">
      <c r="A24" s="389" t="s">
        <v>910</v>
      </c>
      <c r="B24" s="404" t="s">
        <v>110</v>
      </c>
      <c r="C24" s="416">
        <v>0</v>
      </c>
      <c r="D24" s="186">
        <v>0</v>
      </c>
      <c r="E24" s="186">
        <v>0</v>
      </c>
      <c r="F24" s="186">
        <v>0</v>
      </c>
      <c r="G24" s="186">
        <v>0</v>
      </c>
      <c r="H24" s="186">
        <v>0</v>
      </c>
      <c r="I24" s="186">
        <v>0</v>
      </c>
      <c r="J24" s="417">
        <v>0</v>
      </c>
    </row>
    <row r="25" spans="1:10" ht="19.899999999999999" customHeight="1">
      <c r="A25" s="389" t="s">
        <v>911</v>
      </c>
      <c r="B25" s="404" t="s">
        <v>111</v>
      </c>
      <c r="C25" s="416">
        <v>43120.66</v>
      </c>
      <c r="D25" s="186">
        <v>43120.66</v>
      </c>
      <c r="E25" s="186">
        <v>6436.99</v>
      </c>
      <c r="F25" s="186">
        <v>0</v>
      </c>
      <c r="G25" s="186">
        <v>0</v>
      </c>
      <c r="H25" s="186">
        <v>0</v>
      </c>
      <c r="I25" s="186">
        <v>0</v>
      </c>
      <c r="J25" s="417">
        <v>0</v>
      </c>
    </row>
    <row r="26" spans="1:10" ht="19.899999999999999" customHeight="1">
      <c r="A26" s="389" t="s">
        <v>912</v>
      </c>
      <c r="B26" s="404" t="s">
        <v>355</v>
      </c>
      <c r="C26" s="41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86">
        <v>0</v>
      </c>
      <c r="J26" s="417">
        <v>0</v>
      </c>
    </row>
    <row r="27" spans="1:10" ht="13.5">
      <c r="A27" s="389" t="s">
        <v>914</v>
      </c>
      <c r="B27" s="404" t="s">
        <v>112</v>
      </c>
      <c r="C27" s="416">
        <v>68939320.950000003</v>
      </c>
      <c r="D27" s="186">
        <v>29571564.02</v>
      </c>
      <c r="E27" s="186">
        <v>5715.66</v>
      </c>
      <c r="F27" s="186">
        <v>22293056.02</v>
      </c>
      <c r="G27" s="186">
        <v>0</v>
      </c>
      <c r="H27" s="186">
        <v>459881.76</v>
      </c>
      <c r="I27" s="186">
        <v>39367756.93</v>
      </c>
      <c r="J27" s="417">
        <v>1223192.5</v>
      </c>
    </row>
    <row r="28" spans="1:10" ht="19.899999999999999" customHeight="1">
      <c r="A28" s="389" t="s">
        <v>915</v>
      </c>
      <c r="B28" s="404" t="s">
        <v>113</v>
      </c>
      <c r="C28" s="416">
        <v>0</v>
      </c>
      <c r="D28" s="186">
        <v>0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417">
        <v>0</v>
      </c>
    </row>
    <row r="29" spans="1:10" ht="40.5">
      <c r="A29" s="389" t="s">
        <v>916</v>
      </c>
      <c r="B29" s="404" t="s">
        <v>356</v>
      </c>
      <c r="C29" s="41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417">
        <v>0</v>
      </c>
    </row>
    <row r="30" spans="1:10" ht="19.899999999999999" customHeight="1">
      <c r="A30" s="389" t="s">
        <v>917</v>
      </c>
      <c r="B30" s="404" t="s">
        <v>357</v>
      </c>
      <c r="C30" s="416">
        <v>76827151.189999998</v>
      </c>
      <c r="D30" s="186">
        <v>76827151.189999998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417">
        <v>0</v>
      </c>
    </row>
    <row r="31" spans="1:10" ht="19.899999999999999" customHeight="1">
      <c r="A31" s="389" t="s">
        <v>918</v>
      </c>
      <c r="B31" s="404" t="s">
        <v>114</v>
      </c>
      <c r="C31" s="416">
        <v>648234782.01999998</v>
      </c>
      <c r="D31" s="186">
        <v>645885225.59000003</v>
      </c>
      <c r="E31" s="186">
        <v>0</v>
      </c>
      <c r="F31" s="186">
        <v>0</v>
      </c>
      <c r="G31" s="186">
        <v>0</v>
      </c>
      <c r="H31" s="186">
        <v>6159953.8899999997</v>
      </c>
      <c r="I31" s="186">
        <v>2349556.4300000002</v>
      </c>
      <c r="J31" s="417">
        <v>2275018.16</v>
      </c>
    </row>
    <row r="32" spans="1:10" ht="19.899999999999999" customHeight="1">
      <c r="A32" s="389" t="s">
        <v>919</v>
      </c>
      <c r="B32" s="404" t="s">
        <v>115</v>
      </c>
      <c r="C32" s="416">
        <v>1142405241.22</v>
      </c>
      <c r="D32" s="186">
        <v>1038246712.4</v>
      </c>
      <c r="E32" s="186">
        <v>679308157.02999997</v>
      </c>
      <c r="F32" s="186">
        <v>12424893.470000001</v>
      </c>
      <c r="G32" s="186">
        <v>7731932.9500000002</v>
      </c>
      <c r="H32" s="186">
        <v>198752825.86000001</v>
      </c>
      <c r="I32" s="186">
        <v>104158528.81999999</v>
      </c>
      <c r="J32" s="417">
        <v>27498491.120000001</v>
      </c>
    </row>
    <row r="33" spans="1:10" ht="19.899999999999999" customHeight="1">
      <c r="A33" s="389" t="s">
        <v>921</v>
      </c>
      <c r="B33" s="404" t="s">
        <v>116</v>
      </c>
      <c r="C33" s="416">
        <v>2673796065.5999999</v>
      </c>
      <c r="D33" s="186">
        <v>987521403.45000005</v>
      </c>
      <c r="E33" s="186">
        <v>17790991.710000001</v>
      </c>
      <c r="F33" s="186">
        <v>120183998.20999999</v>
      </c>
      <c r="G33" s="186">
        <v>548841.37</v>
      </c>
      <c r="H33" s="186">
        <v>163782684.63</v>
      </c>
      <c r="I33" s="186">
        <v>1686274662.1500001</v>
      </c>
      <c r="J33" s="417">
        <v>710374810.50999999</v>
      </c>
    </row>
    <row r="34" spans="1:10" ht="19.899999999999999" customHeight="1">
      <c r="A34" s="389" t="s">
        <v>922</v>
      </c>
      <c r="B34" s="404" t="s">
        <v>117</v>
      </c>
      <c r="C34" s="416">
        <v>290458028.01999998</v>
      </c>
      <c r="D34" s="186">
        <v>277816905.32999998</v>
      </c>
      <c r="E34" s="186">
        <v>47229453.479999997</v>
      </c>
      <c r="F34" s="186">
        <v>28137916.510000002</v>
      </c>
      <c r="G34" s="186">
        <v>177939.72</v>
      </c>
      <c r="H34" s="186">
        <v>183134181.91</v>
      </c>
      <c r="I34" s="186">
        <v>12641122.689999999</v>
      </c>
      <c r="J34" s="417">
        <v>6663172.1799999997</v>
      </c>
    </row>
    <row r="35" spans="1:10" ht="13.5">
      <c r="A35" s="389" t="s">
        <v>923</v>
      </c>
      <c r="B35" s="404" t="s">
        <v>118</v>
      </c>
      <c r="C35" s="416">
        <v>788322827.29999995</v>
      </c>
      <c r="D35" s="186">
        <v>771692315.11000001</v>
      </c>
      <c r="E35" s="186">
        <v>172158574.03999999</v>
      </c>
      <c r="F35" s="186">
        <v>25726309.829999998</v>
      </c>
      <c r="G35" s="186">
        <v>444697.93</v>
      </c>
      <c r="H35" s="186">
        <v>537095560.88</v>
      </c>
      <c r="I35" s="186">
        <v>16630512.189999999</v>
      </c>
      <c r="J35" s="417">
        <v>12377942.48</v>
      </c>
    </row>
    <row r="36" spans="1:10" ht="19.899999999999999" customHeight="1">
      <c r="A36" s="389" t="s">
        <v>924</v>
      </c>
      <c r="B36" s="404" t="s">
        <v>119</v>
      </c>
      <c r="C36" s="416">
        <v>285316172.05000001</v>
      </c>
      <c r="D36" s="186">
        <v>193860706.19999999</v>
      </c>
      <c r="E36" s="186">
        <v>133897502.67</v>
      </c>
      <c r="F36" s="186">
        <v>767000</v>
      </c>
      <c r="G36" s="186">
        <v>3255648.14</v>
      </c>
      <c r="H36" s="186">
        <v>24052531.010000002</v>
      </c>
      <c r="I36" s="186">
        <v>91455465.849999994</v>
      </c>
      <c r="J36" s="417">
        <v>69932205.709999993</v>
      </c>
    </row>
    <row r="37" spans="1:10" ht="19.899999999999999" customHeight="1">
      <c r="A37" s="389" t="s">
        <v>925</v>
      </c>
      <c r="B37" s="404" t="s">
        <v>120</v>
      </c>
      <c r="C37" s="416">
        <v>85437893.239999995</v>
      </c>
      <c r="D37" s="186">
        <v>85069380.719999999</v>
      </c>
      <c r="E37" s="186">
        <v>33829901.25</v>
      </c>
      <c r="F37" s="186">
        <v>28881965.780000001</v>
      </c>
      <c r="G37" s="186">
        <v>75553.22</v>
      </c>
      <c r="H37" s="186">
        <v>13136927.060000001</v>
      </c>
      <c r="I37" s="186">
        <v>368512.52</v>
      </c>
      <c r="J37" s="417">
        <v>161247.51999999999</v>
      </c>
    </row>
    <row r="38" spans="1:10" ht="13.5">
      <c r="A38" s="389" t="s">
        <v>926</v>
      </c>
      <c r="B38" s="404" t="s">
        <v>121</v>
      </c>
      <c r="C38" s="416">
        <v>182320916.00999999</v>
      </c>
      <c r="D38" s="186">
        <v>46399262.109999999</v>
      </c>
      <c r="E38" s="186">
        <v>13760004.609999999</v>
      </c>
      <c r="F38" s="186">
        <v>8319081.9500000002</v>
      </c>
      <c r="G38" s="186">
        <v>20661.45</v>
      </c>
      <c r="H38" s="186">
        <v>13200975.49</v>
      </c>
      <c r="I38" s="186">
        <v>135921653.90000001</v>
      </c>
      <c r="J38" s="417">
        <v>113683157.5</v>
      </c>
    </row>
    <row r="39" spans="1:10" ht="13.5">
      <c r="A39" s="389" t="s">
        <v>927</v>
      </c>
      <c r="B39" s="404" t="s">
        <v>122</v>
      </c>
      <c r="C39" s="416">
        <v>1979515520.9000001</v>
      </c>
      <c r="D39" s="186">
        <v>1618109192.25</v>
      </c>
      <c r="E39" s="186">
        <v>903689.07</v>
      </c>
      <c r="F39" s="186">
        <v>1584731678.55</v>
      </c>
      <c r="G39" s="186">
        <v>4605790</v>
      </c>
      <c r="H39" s="186">
        <v>12838432.5</v>
      </c>
      <c r="I39" s="186">
        <v>361406328.64999998</v>
      </c>
      <c r="J39" s="417">
        <v>127727043.83</v>
      </c>
    </row>
    <row r="40" spans="1:10" ht="27">
      <c r="A40" s="389" t="s">
        <v>928</v>
      </c>
      <c r="B40" s="404" t="s">
        <v>123</v>
      </c>
      <c r="C40" s="416">
        <v>116460805.08</v>
      </c>
      <c r="D40" s="186">
        <v>90642024.109999999</v>
      </c>
      <c r="E40" s="186">
        <v>53450395.710000001</v>
      </c>
      <c r="F40" s="186">
        <v>8500</v>
      </c>
      <c r="G40" s="186">
        <v>1379521.69</v>
      </c>
      <c r="H40" s="186">
        <v>8192756.3600000003</v>
      </c>
      <c r="I40" s="186">
        <v>25818780.969999999</v>
      </c>
      <c r="J40" s="417">
        <v>20465538.699999999</v>
      </c>
    </row>
    <row r="41" spans="1:10" ht="19.899999999999999" customHeight="1">
      <c r="A41" s="392" t="s">
        <v>929</v>
      </c>
      <c r="B41" s="405" t="s">
        <v>124</v>
      </c>
      <c r="C41" s="418">
        <v>252939157.41999999</v>
      </c>
      <c r="D41" s="394">
        <v>158177265.50999999</v>
      </c>
      <c r="E41" s="394">
        <v>1117735.6200000001</v>
      </c>
      <c r="F41" s="394">
        <v>95473509.939999998</v>
      </c>
      <c r="G41" s="394">
        <v>8650458.5999999996</v>
      </c>
      <c r="H41" s="394">
        <v>197283.26</v>
      </c>
      <c r="I41" s="394">
        <v>94761891.909999996</v>
      </c>
      <c r="J41" s="419">
        <v>1144265.6599999999</v>
      </c>
    </row>
    <row r="42" spans="1:10" ht="15.75">
      <c r="A42" s="1031" t="s">
        <v>1165</v>
      </c>
      <c r="B42" s="179"/>
      <c r="C42" s="180"/>
      <c r="D42" s="180"/>
      <c r="E42" s="180"/>
      <c r="F42" s="180"/>
      <c r="G42" s="180"/>
      <c r="H42" s="180"/>
      <c r="I42" s="180"/>
      <c r="J42" s="180"/>
    </row>
    <row r="43" spans="1:10" ht="13.5">
      <c r="A43" s="188" t="s">
        <v>1158</v>
      </c>
      <c r="B43" s="179"/>
      <c r="C43" s="180"/>
      <c r="D43" s="180"/>
      <c r="E43" s="180"/>
      <c r="F43" s="180"/>
      <c r="G43" s="180"/>
      <c r="H43" s="180"/>
      <c r="I43" s="180"/>
      <c r="J43" s="180"/>
    </row>
  </sheetData>
  <mergeCells count="14">
    <mergeCell ref="A1:J1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  <mergeCell ref="H5:H6"/>
    <mergeCell ref="J5:J6"/>
    <mergeCell ref="C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>
    <tabColor rgb="FF92D050"/>
  </sheetPr>
  <dimension ref="A2:L28"/>
  <sheetViews>
    <sheetView showGridLines="0" workbookViewId="0">
      <selection activeCell="J4" sqref="J4:L6"/>
    </sheetView>
  </sheetViews>
  <sheetFormatPr defaultColWidth="8.85546875" defaultRowHeight="12"/>
  <cols>
    <col min="1" max="1" width="6.28515625" style="1" customWidth="1"/>
    <col min="2" max="2" width="19.28515625" style="1" customWidth="1"/>
    <col min="3" max="3" width="12.5703125" style="1" bestFit="1" customWidth="1"/>
    <col min="4" max="4" width="16.140625" style="1" customWidth="1"/>
    <col min="5" max="5" width="11.7109375" style="1" bestFit="1" customWidth="1"/>
    <col min="6" max="6" width="15" style="1" customWidth="1"/>
    <col min="7" max="7" width="14.42578125" style="1" customWidth="1"/>
    <col min="8" max="8" width="10.7109375" style="1" bestFit="1" customWidth="1"/>
    <col min="9" max="9" width="14.28515625" style="1" customWidth="1"/>
    <col min="10" max="16384" width="8.85546875" style="1"/>
  </cols>
  <sheetData>
    <row r="2" spans="1:12" ht="27.75" customHeight="1">
      <c r="A2" s="1889" t="s">
        <v>986</v>
      </c>
      <c r="B2" s="1889"/>
      <c r="C2" s="1889"/>
      <c r="D2" s="1889"/>
      <c r="E2" s="1889"/>
      <c r="F2" s="1889"/>
      <c r="G2" s="1889"/>
      <c r="H2" s="1889"/>
      <c r="I2" s="1889"/>
      <c r="J2" s="1889"/>
      <c r="K2" s="1889"/>
      <c r="L2" s="1889"/>
    </row>
    <row r="3" spans="1:12" ht="13.5">
      <c r="A3" s="181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13.5">
      <c r="A4" s="1899" t="s">
        <v>41</v>
      </c>
      <c r="B4" s="1902" t="s">
        <v>68</v>
      </c>
      <c r="C4" s="2157" t="s">
        <v>983</v>
      </c>
      <c r="D4" s="2160" t="s">
        <v>984</v>
      </c>
      <c r="E4" s="2129" t="s">
        <v>21</v>
      </c>
      <c r="F4" s="2129"/>
      <c r="G4" s="2129"/>
      <c r="H4" s="2129"/>
      <c r="I4" s="2130"/>
      <c r="J4" s="1899" t="s">
        <v>979</v>
      </c>
      <c r="K4" s="2129"/>
      <c r="L4" s="2130"/>
    </row>
    <row r="5" spans="1:12" ht="13.5">
      <c r="A5" s="1900"/>
      <c r="B5" s="1903"/>
      <c r="C5" s="2158"/>
      <c r="D5" s="2161"/>
      <c r="E5" s="2131" t="s">
        <v>739</v>
      </c>
      <c r="F5" s="2136" t="s">
        <v>734</v>
      </c>
      <c r="G5" s="2136"/>
      <c r="H5" s="2136" t="s">
        <v>740</v>
      </c>
      <c r="I5" s="571" t="s">
        <v>734</v>
      </c>
      <c r="J5" s="1900"/>
      <c r="K5" s="2136"/>
      <c r="L5" s="2167"/>
    </row>
    <row r="6" spans="1:12">
      <c r="A6" s="1900"/>
      <c r="B6" s="1903"/>
      <c r="C6" s="2158"/>
      <c r="D6" s="2161"/>
      <c r="E6" s="2131"/>
      <c r="F6" s="2131" t="s">
        <v>1162</v>
      </c>
      <c r="G6" s="2131" t="s">
        <v>980</v>
      </c>
      <c r="H6" s="2136"/>
      <c r="I6" s="2139" t="s">
        <v>981</v>
      </c>
      <c r="J6" s="1900"/>
      <c r="K6" s="2136"/>
      <c r="L6" s="2167"/>
    </row>
    <row r="7" spans="1:12" s="18" customFormat="1" ht="30" customHeight="1">
      <c r="A7" s="1900"/>
      <c r="B7" s="1903"/>
      <c r="C7" s="2388"/>
      <c r="D7" s="2262"/>
      <c r="E7" s="2132"/>
      <c r="F7" s="2132"/>
      <c r="G7" s="2132"/>
      <c r="H7" s="2137"/>
      <c r="I7" s="2140"/>
      <c r="J7" s="572" t="s">
        <v>931</v>
      </c>
      <c r="K7" s="223" t="s">
        <v>883</v>
      </c>
      <c r="L7" s="573" t="s">
        <v>985</v>
      </c>
    </row>
    <row r="8" spans="1:12" ht="17.25" customHeight="1">
      <c r="A8" s="2128"/>
      <c r="B8" s="2259"/>
      <c r="C8" s="657"/>
      <c r="D8" s="2263" t="s">
        <v>885</v>
      </c>
      <c r="E8" s="2256"/>
      <c r="F8" s="2256"/>
      <c r="G8" s="2256"/>
      <c r="H8" s="2256"/>
      <c r="I8" s="2257"/>
      <c r="J8" s="2255" t="s">
        <v>5</v>
      </c>
      <c r="K8" s="2256"/>
      <c r="L8" s="2257"/>
    </row>
    <row r="9" spans="1:12" ht="12.75">
      <c r="A9" s="398" t="s">
        <v>887</v>
      </c>
      <c r="B9" s="401" t="s">
        <v>888</v>
      </c>
      <c r="C9" s="398" t="s">
        <v>889</v>
      </c>
      <c r="D9" s="399" t="s">
        <v>890</v>
      </c>
      <c r="E9" s="400" t="s">
        <v>891</v>
      </c>
      <c r="F9" s="400" t="s">
        <v>892</v>
      </c>
      <c r="G9" s="400" t="s">
        <v>893</v>
      </c>
      <c r="H9" s="400" t="s">
        <v>894</v>
      </c>
      <c r="I9" s="402" t="s">
        <v>932</v>
      </c>
      <c r="J9" s="398" t="s">
        <v>966</v>
      </c>
      <c r="K9" s="400" t="s">
        <v>967</v>
      </c>
      <c r="L9" s="402" t="s">
        <v>969</v>
      </c>
    </row>
    <row r="10" spans="1:12" ht="19.899999999999999" customHeight="1">
      <c r="A10" s="387"/>
      <c r="B10" s="1563" t="s">
        <v>933</v>
      </c>
      <c r="C10" s="414">
        <v>20802073580.950001</v>
      </c>
      <c r="D10" s="182">
        <v>2320109570.8600001</v>
      </c>
      <c r="E10" s="183">
        <v>2099917586.25</v>
      </c>
      <c r="F10" s="183">
        <v>927592907.66999996</v>
      </c>
      <c r="G10" s="183">
        <v>724462834.22000003</v>
      </c>
      <c r="H10" s="183">
        <v>220191984.61000001</v>
      </c>
      <c r="I10" s="415">
        <v>133057271.77</v>
      </c>
      <c r="J10" s="194">
        <v>11.2</v>
      </c>
      <c r="K10" s="184">
        <v>90.5</v>
      </c>
      <c r="L10" s="388">
        <v>40</v>
      </c>
    </row>
    <row r="11" spans="1:12" ht="19.899999999999999" customHeight="1">
      <c r="A11" s="389" t="s">
        <v>6</v>
      </c>
      <c r="B11" s="404" t="s">
        <v>26</v>
      </c>
      <c r="C11" s="416">
        <v>1320080954.8299999</v>
      </c>
      <c r="D11" s="185">
        <v>126511655.59</v>
      </c>
      <c r="E11" s="186">
        <v>123854436.42</v>
      </c>
      <c r="F11" s="186">
        <v>63520378.380000003</v>
      </c>
      <c r="G11" s="186">
        <v>34813100.899999999</v>
      </c>
      <c r="H11" s="186">
        <v>2657219.17</v>
      </c>
      <c r="I11" s="417">
        <v>1491040.65</v>
      </c>
      <c r="J11" s="195">
        <v>9.6</v>
      </c>
      <c r="K11" s="187">
        <v>97.9</v>
      </c>
      <c r="L11" s="390">
        <v>50.2</v>
      </c>
    </row>
    <row r="12" spans="1:12" ht="19.899999999999999" customHeight="1">
      <c r="A12" s="389" t="s">
        <v>7</v>
      </c>
      <c r="B12" s="404" t="s">
        <v>42</v>
      </c>
      <c r="C12" s="416">
        <v>1215459522.6500001</v>
      </c>
      <c r="D12" s="185">
        <v>124612105.91</v>
      </c>
      <c r="E12" s="186">
        <v>123269697.58</v>
      </c>
      <c r="F12" s="186">
        <v>38150681.07</v>
      </c>
      <c r="G12" s="186">
        <v>60247656.420000002</v>
      </c>
      <c r="H12" s="186">
        <v>1342408.33</v>
      </c>
      <c r="I12" s="417">
        <v>179811.52</v>
      </c>
      <c r="J12" s="195">
        <v>10.3</v>
      </c>
      <c r="K12" s="187">
        <v>98.9</v>
      </c>
      <c r="L12" s="390">
        <v>30.6</v>
      </c>
    </row>
    <row r="13" spans="1:12" ht="19.899999999999999" customHeight="1">
      <c r="A13" s="389" t="s">
        <v>8</v>
      </c>
      <c r="B13" s="404" t="s">
        <v>27</v>
      </c>
      <c r="C13" s="416">
        <v>1181793360.8399999</v>
      </c>
      <c r="D13" s="185">
        <v>132876903.67</v>
      </c>
      <c r="E13" s="186">
        <v>131337186.23999999</v>
      </c>
      <c r="F13" s="186">
        <v>57672089.32</v>
      </c>
      <c r="G13" s="186">
        <v>47052663.619999997</v>
      </c>
      <c r="H13" s="186">
        <v>1539717.43</v>
      </c>
      <c r="I13" s="417">
        <v>0</v>
      </c>
      <c r="J13" s="195">
        <v>11.2</v>
      </c>
      <c r="K13" s="187">
        <v>98.8</v>
      </c>
      <c r="L13" s="390">
        <v>43.4</v>
      </c>
    </row>
    <row r="14" spans="1:12" ht="19.899999999999999" customHeight="1">
      <c r="A14" s="389" t="s">
        <v>9</v>
      </c>
      <c r="B14" s="404" t="s">
        <v>28</v>
      </c>
      <c r="C14" s="416">
        <v>548435800.13999999</v>
      </c>
      <c r="D14" s="185">
        <v>86800635.409999996</v>
      </c>
      <c r="E14" s="186">
        <v>85678299.829999998</v>
      </c>
      <c r="F14" s="186">
        <v>36241900.100000001</v>
      </c>
      <c r="G14" s="186">
        <v>26861358.629999999</v>
      </c>
      <c r="H14" s="186">
        <v>1122335.58</v>
      </c>
      <c r="I14" s="417">
        <v>314455.43</v>
      </c>
      <c r="J14" s="195">
        <v>15.8</v>
      </c>
      <c r="K14" s="187">
        <v>98.7</v>
      </c>
      <c r="L14" s="390">
        <v>41.8</v>
      </c>
    </row>
    <row r="15" spans="1:12" ht="19.899999999999999" customHeight="1">
      <c r="A15" s="389" t="s">
        <v>1</v>
      </c>
      <c r="B15" s="404" t="s">
        <v>29</v>
      </c>
      <c r="C15" s="416">
        <v>1066790872.97</v>
      </c>
      <c r="D15" s="185">
        <v>194460374.08000001</v>
      </c>
      <c r="E15" s="186">
        <v>158756034.28999999</v>
      </c>
      <c r="F15" s="186">
        <v>62763975.990000002</v>
      </c>
      <c r="G15" s="186">
        <v>62520508.479999997</v>
      </c>
      <c r="H15" s="186">
        <v>35704339.789999999</v>
      </c>
      <c r="I15" s="417">
        <v>1753810.52</v>
      </c>
      <c r="J15" s="195">
        <v>18.2</v>
      </c>
      <c r="K15" s="187">
        <v>81.599999999999994</v>
      </c>
      <c r="L15" s="390">
        <v>32.299999999999997</v>
      </c>
    </row>
    <row r="16" spans="1:12" ht="19.899999999999999" customHeight="1">
      <c r="A16" s="389" t="s">
        <v>2</v>
      </c>
      <c r="B16" s="404" t="s">
        <v>30</v>
      </c>
      <c r="C16" s="416">
        <v>1949855117.1099999</v>
      </c>
      <c r="D16" s="185">
        <v>168202891.19999999</v>
      </c>
      <c r="E16" s="186">
        <v>159597245.47</v>
      </c>
      <c r="F16" s="186">
        <v>69710295.969999999</v>
      </c>
      <c r="G16" s="186">
        <v>52799030.32</v>
      </c>
      <c r="H16" s="186">
        <v>8605645.7300000004</v>
      </c>
      <c r="I16" s="417">
        <v>6051855.1299999999</v>
      </c>
      <c r="J16" s="195">
        <v>8.6</v>
      </c>
      <c r="K16" s="187">
        <v>94.9</v>
      </c>
      <c r="L16" s="390">
        <v>41.4</v>
      </c>
    </row>
    <row r="17" spans="1:12" ht="19.899999999999999" customHeight="1">
      <c r="A17" s="389" t="s">
        <v>10</v>
      </c>
      <c r="B17" s="404" t="s">
        <v>31</v>
      </c>
      <c r="C17" s="416">
        <v>3760455312.6599998</v>
      </c>
      <c r="D17" s="185">
        <v>306232058.35000002</v>
      </c>
      <c r="E17" s="186">
        <v>291463736.80000001</v>
      </c>
      <c r="F17" s="186">
        <v>158485391.38</v>
      </c>
      <c r="G17" s="186">
        <v>49642424.640000001</v>
      </c>
      <c r="H17" s="186">
        <v>14768321.550000001</v>
      </c>
      <c r="I17" s="417">
        <v>67310.52</v>
      </c>
      <c r="J17" s="195">
        <v>8.1</v>
      </c>
      <c r="K17" s="187">
        <v>95.2</v>
      </c>
      <c r="L17" s="390">
        <v>51.8</v>
      </c>
    </row>
    <row r="18" spans="1:12" ht="19.899999999999999" customHeight="1">
      <c r="A18" s="389" t="s">
        <v>11</v>
      </c>
      <c r="B18" s="404" t="s">
        <v>32</v>
      </c>
      <c r="C18" s="416">
        <v>541305245.14999998</v>
      </c>
      <c r="D18" s="185">
        <v>60527166.060000002</v>
      </c>
      <c r="E18" s="186">
        <v>58263252.409999996</v>
      </c>
      <c r="F18" s="186">
        <v>29789134.219999999</v>
      </c>
      <c r="G18" s="186">
        <v>17863441.030000001</v>
      </c>
      <c r="H18" s="186">
        <v>2263913.65</v>
      </c>
      <c r="I18" s="417">
        <v>24606.15</v>
      </c>
      <c r="J18" s="195">
        <v>11.2</v>
      </c>
      <c r="K18" s="187">
        <v>96.3</v>
      </c>
      <c r="L18" s="390">
        <v>49.2</v>
      </c>
    </row>
    <row r="19" spans="1:12" ht="19.899999999999999" customHeight="1">
      <c r="A19" s="389" t="s">
        <v>12</v>
      </c>
      <c r="B19" s="404" t="s">
        <v>33</v>
      </c>
      <c r="C19" s="416">
        <v>1063625836.25</v>
      </c>
      <c r="D19" s="185">
        <v>136741476.38</v>
      </c>
      <c r="E19" s="186">
        <v>132296961.92</v>
      </c>
      <c r="F19" s="186">
        <v>52474752.810000002</v>
      </c>
      <c r="G19" s="186">
        <v>49953056.520000003</v>
      </c>
      <c r="H19" s="186">
        <v>4444514.46</v>
      </c>
      <c r="I19" s="417">
        <v>3086996.4</v>
      </c>
      <c r="J19" s="195">
        <v>12.9</v>
      </c>
      <c r="K19" s="187">
        <v>96.7</v>
      </c>
      <c r="L19" s="390">
        <v>38.4</v>
      </c>
    </row>
    <row r="20" spans="1:12" ht="19.899999999999999" customHeight="1">
      <c r="A20" s="389" t="s">
        <v>13</v>
      </c>
      <c r="B20" s="404" t="s">
        <v>34</v>
      </c>
      <c r="C20" s="416">
        <v>696080317.34000003</v>
      </c>
      <c r="D20" s="185">
        <v>95606589.109999999</v>
      </c>
      <c r="E20" s="186">
        <v>87643311.75</v>
      </c>
      <c r="F20" s="186">
        <v>41048936.649999999</v>
      </c>
      <c r="G20" s="186">
        <v>28174978.620000001</v>
      </c>
      <c r="H20" s="186">
        <v>7963277.3600000003</v>
      </c>
      <c r="I20" s="417">
        <v>45500</v>
      </c>
      <c r="J20" s="195">
        <v>13.7</v>
      </c>
      <c r="K20" s="187">
        <v>91.7</v>
      </c>
      <c r="L20" s="390">
        <v>42.9</v>
      </c>
    </row>
    <row r="21" spans="1:12" ht="19.899999999999999" customHeight="1">
      <c r="A21" s="389" t="s">
        <v>14</v>
      </c>
      <c r="B21" s="404" t="s">
        <v>35</v>
      </c>
      <c r="C21" s="416">
        <v>1158531905.24</v>
      </c>
      <c r="D21" s="185">
        <v>121471028.5</v>
      </c>
      <c r="E21" s="186">
        <v>107343656.79000001</v>
      </c>
      <c r="F21" s="186">
        <v>51366603.469999999</v>
      </c>
      <c r="G21" s="186">
        <v>39696857.5</v>
      </c>
      <c r="H21" s="186">
        <v>14127371.710000001</v>
      </c>
      <c r="I21" s="417">
        <v>3868913.72</v>
      </c>
      <c r="J21" s="195">
        <v>10.5</v>
      </c>
      <c r="K21" s="187">
        <v>88.4</v>
      </c>
      <c r="L21" s="390">
        <v>42.3</v>
      </c>
    </row>
    <row r="22" spans="1:12" ht="19.899999999999999" customHeight="1">
      <c r="A22" s="389" t="s">
        <v>15</v>
      </c>
      <c r="B22" s="404" t="s">
        <v>36</v>
      </c>
      <c r="C22" s="416">
        <v>2023185408.71</v>
      </c>
      <c r="D22" s="185">
        <v>200956114.68000001</v>
      </c>
      <c r="E22" s="186">
        <v>198181568.5</v>
      </c>
      <c r="F22" s="186">
        <v>71293195.480000004</v>
      </c>
      <c r="G22" s="186">
        <v>90872049.629999995</v>
      </c>
      <c r="H22" s="186">
        <v>2774546.18</v>
      </c>
      <c r="I22" s="417">
        <v>1594577.95</v>
      </c>
      <c r="J22" s="195">
        <v>9.9</v>
      </c>
      <c r="K22" s="187">
        <v>98.6</v>
      </c>
      <c r="L22" s="390">
        <v>35.5</v>
      </c>
    </row>
    <row r="23" spans="1:12" ht="19.899999999999999" customHeight="1">
      <c r="A23" s="389" t="s">
        <v>16</v>
      </c>
      <c r="B23" s="404" t="s">
        <v>37</v>
      </c>
      <c r="C23" s="416">
        <v>555518682.74000001</v>
      </c>
      <c r="D23" s="185">
        <v>84165751.579999998</v>
      </c>
      <c r="E23" s="186">
        <v>81884740.409999996</v>
      </c>
      <c r="F23" s="186">
        <v>41540310.020000003</v>
      </c>
      <c r="G23" s="186">
        <v>30350013.079999998</v>
      </c>
      <c r="H23" s="186">
        <v>2281011.17</v>
      </c>
      <c r="I23" s="417">
        <v>436209.21</v>
      </c>
      <c r="J23" s="195">
        <v>15.2</v>
      </c>
      <c r="K23" s="187">
        <v>97.3</v>
      </c>
      <c r="L23" s="390">
        <v>49.4</v>
      </c>
    </row>
    <row r="24" spans="1:12" ht="19.899999999999999" customHeight="1">
      <c r="A24" s="389" t="s">
        <v>17</v>
      </c>
      <c r="B24" s="404" t="s">
        <v>43</v>
      </c>
      <c r="C24" s="416">
        <v>855450936.72000003</v>
      </c>
      <c r="D24" s="185">
        <v>107673148.41</v>
      </c>
      <c r="E24" s="186">
        <v>106148214.09999999</v>
      </c>
      <c r="F24" s="186">
        <v>46134137.289999999</v>
      </c>
      <c r="G24" s="186">
        <v>38554428.439999998</v>
      </c>
      <c r="H24" s="186">
        <v>1524934.31</v>
      </c>
      <c r="I24" s="417">
        <v>589888.5</v>
      </c>
      <c r="J24" s="195">
        <v>12.6</v>
      </c>
      <c r="K24" s="187">
        <v>98.6</v>
      </c>
      <c r="L24" s="390">
        <v>42.8</v>
      </c>
    </row>
    <row r="25" spans="1:12" ht="19.899999999999999" customHeight="1">
      <c r="A25" s="389" t="s">
        <v>18</v>
      </c>
      <c r="B25" s="404" t="s">
        <v>38</v>
      </c>
      <c r="C25" s="416">
        <v>1757411931.4400001</v>
      </c>
      <c r="D25" s="185">
        <v>144769451.21000001</v>
      </c>
      <c r="E25" s="186">
        <v>138968436.50999999</v>
      </c>
      <c r="F25" s="186">
        <v>58070429.469999999</v>
      </c>
      <c r="G25" s="186">
        <v>52924613.189999998</v>
      </c>
      <c r="H25" s="186">
        <v>5801014.7000000002</v>
      </c>
      <c r="I25" s="417">
        <v>3145041.32</v>
      </c>
      <c r="J25" s="195">
        <v>8.1999999999999993</v>
      </c>
      <c r="K25" s="187">
        <v>96</v>
      </c>
      <c r="L25" s="390">
        <v>40.1</v>
      </c>
    </row>
    <row r="26" spans="1:12" s="20" customFormat="1" ht="19.899999999999999" customHeight="1">
      <c r="A26" s="392" t="s">
        <v>19</v>
      </c>
      <c r="B26" s="405" t="s">
        <v>39</v>
      </c>
      <c r="C26" s="418">
        <v>1108092376.1600001</v>
      </c>
      <c r="D26" s="393">
        <v>228502220.72</v>
      </c>
      <c r="E26" s="394">
        <v>115230807.23</v>
      </c>
      <c r="F26" s="394">
        <v>49330696.049999997</v>
      </c>
      <c r="G26" s="394">
        <v>42136653.200000003</v>
      </c>
      <c r="H26" s="394">
        <v>113271413.48999999</v>
      </c>
      <c r="I26" s="419">
        <v>110407254.75</v>
      </c>
      <c r="J26" s="570">
        <v>20.6</v>
      </c>
      <c r="K26" s="395">
        <v>50.4</v>
      </c>
      <c r="L26" s="396">
        <v>21.6</v>
      </c>
    </row>
    <row r="27" spans="1:12" s="20" customFormat="1" ht="15.75">
      <c r="A27" s="1031" t="s">
        <v>1165</v>
      </c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2" ht="13.5">
      <c r="A28" s="188" t="s">
        <v>1158</v>
      </c>
      <c r="B28" s="179"/>
      <c r="C28" s="180"/>
      <c r="D28" s="180"/>
      <c r="E28" s="180"/>
      <c r="F28" s="180"/>
      <c r="G28" s="180"/>
      <c r="H28" s="180"/>
      <c r="I28" s="180"/>
      <c r="J28" s="180"/>
      <c r="K28" s="180"/>
      <c r="L28" s="180"/>
    </row>
  </sheetData>
  <mergeCells count="15">
    <mergeCell ref="A2:L2"/>
    <mergeCell ref="A4:A8"/>
    <mergeCell ref="B4:B8"/>
    <mergeCell ref="C4:C7"/>
    <mergeCell ref="D4:D7"/>
    <mergeCell ref="E4:I4"/>
    <mergeCell ref="D8:I8"/>
    <mergeCell ref="J8:L8"/>
    <mergeCell ref="J4:L6"/>
    <mergeCell ref="E5:E7"/>
    <mergeCell ref="F5:G5"/>
    <mergeCell ref="H5:H7"/>
    <mergeCell ref="F6:F7"/>
    <mergeCell ref="G6:G7"/>
    <mergeCell ref="I6:I7"/>
  </mergeCells>
  <phoneticPr fontId="0" type="noConversion"/>
  <printOptions horizontalCentered="1"/>
  <pageMargins left="0.39370078740157483" right="0.31496062992125984" top="0.6692913385826772" bottom="0.51181102362204722" header="0.39370078740157483" footer="0.51181102362204722"/>
  <pageSetup paperSize="9" scale="95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>
    <tabColor rgb="FF92D050"/>
    <pageSetUpPr fitToPage="1"/>
  </sheetPr>
  <dimension ref="A2:I27"/>
  <sheetViews>
    <sheetView showGridLines="0" workbookViewId="0">
      <selection activeCell="L4" sqref="L4"/>
    </sheetView>
  </sheetViews>
  <sheetFormatPr defaultRowHeight="12.75"/>
  <cols>
    <col min="1" max="1" width="5.7109375" customWidth="1"/>
    <col min="2" max="2" width="20" customWidth="1"/>
    <col min="3" max="3" width="10.28515625" customWidth="1"/>
    <col min="4" max="4" width="13.7109375" bestFit="1" customWidth="1"/>
    <col min="5" max="5" width="12.85546875" customWidth="1"/>
    <col min="6" max="6" width="13.28515625" customWidth="1"/>
    <col min="7" max="7" width="14.140625" customWidth="1"/>
    <col min="8" max="8" width="13.85546875" customWidth="1"/>
    <col min="9" max="9" width="14.28515625" customWidth="1"/>
  </cols>
  <sheetData>
    <row r="2" spans="1:9" ht="13.15" customHeight="1">
      <c r="A2" s="2265" t="s">
        <v>75</v>
      </c>
      <c r="B2" s="2265"/>
      <c r="C2" s="2265"/>
      <c r="D2" s="2265"/>
      <c r="E2" s="2265"/>
      <c r="F2" s="2265"/>
      <c r="G2" s="2265"/>
      <c r="H2" s="2265"/>
      <c r="I2" s="2265"/>
    </row>
    <row r="4" spans="1:9" ht="13.15" customHeight="1">
      <c r="A4" s="1899" t="s">
        <v>41</v>
      </c>
      <c r="B4" s="1902" t="s">
        <v>68</v>
      </c>
      <c r="C4" s="1808" t="s">
        <v>959</v>
      </c>
      <c r="D4" s="2171" t="s">
        <v>45</v>
      </c>
      <c r="E4" s="1907" t="s">
        <v>46</v>
      </c>
      <c r="F4" s="1909" t="s">
        <v>47</v>
      </c>
      <c r="G4" s="1905" t="s">
        <v>48</v>
      </c>
      <c r="H4" s="1907" t="s">
        <v>49</v>
      </c>
      <c r="I4" s="1911" t="s">
        <v>50</v>
      </c>
    </row>
    <row r="5" spans="1:9" ht="34.9" customHeight="1">
      <c r="A5" s="1900"/>
      <c r="B5" s="1903"/>
      <c r="C5" s="1809"/>
      <c r="D5" s="2266"/>
      <c r="E5" s="2267"/>
      <c r="F5" s="2268"/>
      <c r="G5" s="2269"/>
      <c r="H5" s="2267"/>
      <c r="I5" s="2270"/>
    </row>
    <row r="6" spans="1:9" ht="13.5">
      <c r="A6" s="2128"/>
      <c r="B6" s="2259"/>
      <c r="C6" s="1809"/>
      <c r="D6" s="2271" t="s">
        <v>4</v>
      </c>
      <c r="E6" s="2119"/>
      <c r="F6" s="658" t="s">
        <v>5</v>
      </c>
      <c r="G6" s="2118" t="s">
        <v>4</v>
      </c>
      <c r="H6" s="2119"/>
      <c r="I6" s="605" t="s">
        <v>5</v>
      </c>
    </row>
    <row r="7" spans="1:9">
      <c r="A7" s="398" t="s">
        <v>887</v>
      </c>
      <c r="B7" s="403" t="s">
        <v>888</v>
      </c>
      <c r="C7" s="428" t="s">
        <v>889</v>
      </c>
      <c r="D7" s="399" t="s">
        <v>890</v>
      </c>
      <c r="E7" s="400" t="s">
        <v>891</v>
      </c>
      <c r="F7" s="401" t="s">
        <v>892</v>
      </c>
      <c r="G7" s="398" t="s">
        <v>893</v>
      </c>
      <c r="H7" s="400" t="s">
        <v>894</v>
      </c>
      <c r="I7" s="402" t="s">
        <v>932</v>
      </c>
    </row>
    <row r="8" spans="1:9" ht="19.899999999999999" customHeight="1">
      <c r="A8" s="420"/>
      <c r="B8" s="1563" t="s">
        <v>933</v>
      </c>
      <c r="C8" s="429">
        <v>38265013</v>
      </c>
      <c r="D8" s="182">
        <v>7511419380.9799995</v>
      </c>
      <c r="E8" s="189">
        <v>196.3</v>
      </c>
      <c r="F8" s="191">
        <v>36.1</v>
      </c>
      <c r="G8" s="414">
        <v>7097420258.1999998</v>
      </c>
      <c r="H8" s="189">
        <v>185.5</v>
      </c>
      <c r="I8" s="421">
        <v>34.1</v>
      </c>
    </row>
    <row r="9" spans="1:9" ht="19.899999999999999" customHeight="1">
      <c r="A9" s="389" t="s">
        <v>6</v>
      </c>
      <c r="B9" s="193" t="s">
        <v>26</v>
      </c>
      <c r="C9" s="430">
        <v>2891321</v>
      </c>
      <c r="D9" s="185">
        <v>436450257.80000001</v>
      </c>
      <c r="E9" s="190">
        <v>150.94999999999999</v>
      </c>
      <c r="F9" s="192">
        <v>33.1</v>
      </c>
      <c r="G9" s="416">
        <v>357762257.80000001</v>
      </c>
      <c r="H9" s="190">
        <v>123.7</v>
      </c>
      <c r="I9" s="422">
        <v>27.1</v>
      </c>
    </row>
    <row r="10" spans="1:9" ht="19.899999999999999" customHeight="1">
      <c r="A10" s="389" t="s">
        <v>7</v>
      </c>
      <c r="B10" s="193" t="s">
        <v>42</v>
      </c>
      <c r="C10" s="430">
        <v>2061942</v>
      </c>
      <c r="D10" s="185">
        <v>510986464.94</v>
      </c>
      <c r="E10" s="190">
        <v>247.82</v>
      </c>
      <c r="F10" s="192">
        <v>42</v>
      </c>
      <c r="G10" s="416">
        <v>415492695.94</v>
      </c>
      <c r="H10" s="190">
        <v>201.5</v>
      </c>
      <c r="I10" s="422">
        <v>34.200000000000003</v>
      </c>
    </row>
    <row r="11" spans="1:9" ht="19.899999999999999" customHeight="1">
      <c r="A11" s="389" t="s">
        <v>8</v>
      </c>
      <c r="B11" s="193" t="s">
        <v>27</v>
      </c>
      <c r="C11" s="430">
        <v>2095258</v>
      </c>
      <c r="D11" s="185">
        <v>521975690.69999999</v>
      </c>
      <c r="E11" s="190">
        <v>249.12</v>
      </c>
      <c r="F11" s="192">
        <v>44.2</v>
      </c>
      <c r="G11" s="416">
        <v>502916090.69999999</v>
      </c>
      <c r="H11" s="190">
        <v>240</v>
      </c>
      <c r="I11" s="422">
        <v>42.6</v>
      </c>
    </row>
    <row r="12" spans="1:9" ht="19.899999999999999" customHeight="1">
      <c r="A12" s="389" t="s">
        <v>9</v>
      </c>
      <c r="B12" s="193" t="s">
        <v>28</v>
      </c>
      <c r="C12" s="430">
        <v>1007145</v>
      </c>
      <c r="D12" s="185">
        <v>159422724.47</v>
      </c>
      <c r="E12" s="190">
        <v>158.29</v>
      </c>
      <c r="F12" s="192">
        <v>29.1</v>
      </c>
      <c r="G12" s="416">
        <v>159422724.47</v>
      </c>
      <c r="H12" s="190">
        <v>158.30000000000001</v>
      </c>
      <c r="I12" s="422">
        <v>29.1</v>
      </c>
    </row>
    <row r="13" spans="1:9" ht="19.899999999999999" customHeight="1">
      <c r="A13" s="389" t="s">
        <v>1</v>
      </c>
      <c r="B13" s="193" t="s">
        <v>29</v>
      </c>
      <c r="C13" s="430">
        <v>2437970</v>
      </c>
      <c r="D13" s="185">
        <v>254138438.72</v>
      </c>
      <c r="E13" s="190">
        <v>104.24</v>
      </c>
      <c r="F13" s="192">
        <v>23.8</v>
      </c>
      <c r="G13" s="416">
        <v>217133538.72</v>
      </c>
      <c r="H13" s="190">
        <v>89.1</v>
      </c>
      <c r="I13" s="422">
        <v>20.399999999999999</v>
      </c>
    </row>
    <row r="14" spans="1:9" ht="19.899999999999999" customHeight="1">
      <c r="A14" s="389" t="s">
        <v>2</v>
      </c>
      <c r="B14" s="193" t="s">
        <v>30</v>
      </c>
      <c r="C14" s="430">
        <v>3410441</v>
      </c>
      <c r="D14" s="185">
        <v>877954751.75999999</v>
      </c>
      <c r="E14" s="190">
        <v>257.43</v>
      </c>
      <c r="F14" s="192">
        <v>45</v>
      </c>
      <c r="G14" s="416">
        <v>867407751.75999999</v>
      </c>
      <c r="H14" s="190">
        <v>254.3</v>
      </c>
      <c r="I14" s="422">
        <v>44.5</v>
      </c>
    </row>
    <row r="15" spans="1:9" ht="19.899999999999999" customHeight="1">
      <c r="A15" s="389" t="s">
        <v>10</v>
      </c>
      <c r="B15" s="193" t="s">
        <v>31</v>
      </c>
      <c r="C15" s="430">
        <v>5425028</v>
      </c>
      <c r="D15" s="185">
        <v>1079728458.8099999</v>
      </c>
      <c r="E15" s="190">
        <v>199.03</v>
      </c>
      <c r="F15" s="192">
        <v>28.7</v>
      </c>
      <c r="G15" s="416">
        <v>1067672458.8099999</v>
      </c>
      <c r="H15" s="190">
        <v>196.8</v>
      </c>
      <c r="I15" s="422">
        <v>28.4</v>
      </c>
    </row>
    <row r="16" spans="1:9" ht="19.899999999999999" customHeight="1">
      <c r="A16" s="389" t="s">
        <v>11</v>
      </c>
      <c r="B16" s="193" t="s">
        <v>32</v>
      </c>
      <c r="C16" s="430">
        <v>976774</v>
      </c>
      <c r="D16" s="185">
        <v>126662713.97</v>
      </c>
      <c r="E16" s="190">
        <v>129.66999999999999</v>
      </c>
      <c r="F16" s="192">
        <v>23.4</v>
      </c>
      <c r="G16" s="416">
        <v>120662713.97</v>
      </c>
      <c r="H16" s="190">
        <v>123.5</v>
      </c>
      <c r="I16" s="422">
        <v>22.3</v>
      </c>
    </row>
    <row r="17" spans="1:9" ht="19.899999999999999" customHeight="1">
      <c r="A17" s="389" t="s">
        <v>12</v>
      </c>
      <c r="B17" s="193" t="s">
        <v>33</v>
      </c>
      <c r="C17" s="430">
        <v>2121229</v>
      </c>
      <c r="D17" s="185">
        <v>392967623.48000002</v>
      </c>
      <c r="E17" s="190">
        <v>185.25</v>
      </c>
      <c r="F17" s="192">
        <v>36.9</v>
      </c>
      <c r="G17" s="416">
        <v>382053623.48000002</v>
      </c>
      <c r="H17" s="190">
        <v>180.1</v>
      </c>
      <c r="I17" s="422">
        <v>35.9</v>
      </c>
    </row>
    <row r="18" spans="1:9" ht="19.899999999999999" customHeight="1">
      <c r="A18" s="389" t="s">
        <v>13</v>
      </c>
      <c r="B18" s="193" t="s">
        <v>34</v>
      </c>
      <c r="C18" s="430">
        <v>1173286</v>
      </c>
      <c r="D18" s="185">
        <v>245069502.22999999</v>
      </c>
      <c r="E18" s="190">
        <v>208.87</v>
      </c>
      <c r="F18" s="192">
        <v>35.200000000000003</v>
      </c>
      <c r="G18" s="416">
        <v>236079933.72999999</v>
      </c>
      <c r="H18" s="190">
        <v>201.2</v>
      </c>
      <c r="I18" s="422">
        <v>33.9</v>
      </c>
    </row>
    <row r="19" spans="1:9" ht="19.899999999999999" customHeight="1">
      <c r="A19" s="389" t="s">
        <v>14</v>
      </c>
      <c r="B19" s="193" t="s">
        <v>35</v>
      </c>
      <c r="C19" s="430">
        <v>2346671</v>
      </c>
      <c r="D19" s="185">
        <v>292976821.81999999</v>
      </c>
      <c r="E19" s="190">
        <v>124.85</v>
      </c>
      <c r="F19" s="192">
        <v>25.3</v>
      </c>
      <c r="G19" s="416">
        <v>267579741.53999999</v>
      </c>
      <c r="H19" s="190">
        <v>114</v>
      </c>
      <c r="I19" s="422">
        <v>23.1</v>
      </c>
    </row>
    <row r="20" spans="1:9" ht="19.899999999999999" customHeight="1">
      <c r="A20" s="389" t="s">
        <v>15</v>
      </c>
      <c r="B20" s="193" t="s">
        <v>36</v>
      </c>
      <c r="C20" s="430">
        <v>4492330</v>
      </c>
      <c r="D20" s="185">
        <v>820925587.90999997</v>
      </c>
      <c r="E20" s="190">
        <v>182.74</v>
      </c>
      <c r="F20" s="192">
        <v>40.6</v>
      </c>
      <c r="G20" s="416">
        <v>746466382.90999997</v>
      </c>
      <c r="H20" s="190">
        <v>166.2</v>
      </c>
      <c r="I20" s="422">
        <v>36.9</v>
      </c>
    </row>
    <row r="21" spans="1:9" ht="19.899999999999999" customHeight="1">
      <c r="A21" s="389" t="s">
        <v>16</v>
      </c>
      <c r="B21" s="193" t="s">
        <v>37</v>
      </c>
      <c r="C21" s="430">
        <v>1224626</v>
      </c>
      <c r="D21" s="185">
        <v>182817121.50999999</v>
      </c>
      <c r="E21" s="190">
        <v>149.28</v>
      </c>
      <c r="F21" s="192">
        <v>32.9</v>
      </c>
      <c r="G21" s="416">
        <v>180317121.50999999</v>
      </c>
      <c r="H21" s="190">
        <v>147.19999999999999</v>
      </c>
      <c r="I21" s="422">
        <v>32.5</v>
      </c>
    </row>
    <row r="22" spans="1:9" ht="19.899999999999999" customHeight="1">
      <c r="A22" s="389" t="s">
        <v>17</v>
      </c>
      <c r="B22" s="193" t="s">
        <v>43</v>
      </c>
      <c r="C22" s="430">
        <v>1416495</v>
      </c>
      <c r="D22" s="185">
        <v>386918938.69</v>
      </c>
      <c r="E22" s="190">
        <v>273.14999999999998</v>
      </c>
      <c r="F22" s="192">
        <v>45.2</v>
      </c>
      <c r="G22" s="416">
        <v>365904938.69</v>
      </c>
      <c r="H22" s="190">
        <v>258.3</v>
      </c>
      <c r="I22" s="422">
        <v>42.8</v>
      </c>
    </row>
    <row r="23" spans="1:9" ht="19.899999999999999" customHeight="1">
      <c r="A23" s="389" t="s">
        <v>18</v>
      </c>
      <c r="B23" s="193" t="s">
        <v>38</v>
      </c>
      <c r="C23" s="430">
        <v>3496450</v>
      </c>
      <c r="D23" s="185">
        <v>707924024.50999999</v>
      </c>
      <c r="E23" s="190">
        <v>202.47</v>
      </c>
      <c r="F23" s="192">
        <v>40.299999999999997</v>
      </c>
      <c r="G23" s="416">
        <v>701048024.50999999</v>
      </c>
      <c r="H23" s="190">
        <v>200.5</v>
      </c>
      <c r="I23" s="422">
        <v>39.9</v>
      </c>
    </row>
    <row r="24" spans="1:9" ht="19.899999999999999" customHeight="1">
      <c r="A24" s="392" t="s">
        <v>19</v>
      </c>
      <c r="B24" s="427" t="s">
        <v>39</v>
      </c>
      <c r="C24" s="431">
        <v>1688047</v>
      </c>
      <c r="D24" s="393">
        <v>514500259.66000003</v>
      </c>
      <c r="E24" s="423">
        <v>304.79000000000002</v>
      </c>
      <c r="F24" s="424">
        <v>46.4</v>
      </c>
      <c r="G24" s="418">
        <v>509500259.66000003</v>
      </c>
      <c r="H24" s="423">
        <v>301.8</v>
      </c>
      <c r="I24" s="425">
        <v>46</v>
      </c>
    </row>
    <row r="26" spans="1:9" ht="13.5">
      <c r="A26" s="106" t="s">
        <v>934</v>
      </c>
      <c r="B26" s="106" t="s">
        <v>935</v>
      </c>
      <c r="C26" s="106"/>
      <c r="D26" s="106"/>
      <c r="E26" s="106"/>
      <c r="F26" s="106"/>
      <c r="G26" s="106"/>
      <c r="H26" s="106"/>
      <c r="I26" s="106"/>
    </row>
    <row r="27" spans="1:9" ht="13.5">
      <c r="A27" s="106"/>
      <c r="B27" s="106" t="s">
        <v>936</v>
      </c>
      <c r="C27" s="106"/>
      <c r="D27" s="106"/>
      <c r="E27" s="106"/>
      <c r="F27" s="106"/>
      <c r="G27" s="106"/>
      <c r="H27" s="106"/>
      <c r="I27" s="106"/>
    </row>
  </sheetData>
  <mergeCells count="12">
    <mergeCell ref="A2:I2"/>
    <mergeCell ref="A4:A6"/>
    <mergeCell ref="B4:B6"/>
    <mergeCell ref="D4:D5"/>
    <mergeCell ref="E4:E5"/>
    <mergeCell ref="C4:C6"/>
    <mergeCell ref="F4:F5"/>
    <mergeCell ref="G4:G5"/>
    <mergeCell ref="H4:H5"/>
    <mergeCell ref="I4:I5"/>
    <mergeCell ref="D6:E6"/>
    <mergeCell ref="G6:H6"/>
  </mergeCells>
  <phoneticPr fontId="0" type="noConversion"/>
  <pageMargins left="0.48" right="0.17" top="0.91" bottom="1" header="0.5" footer="0.5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C02B2-BD33-469A-A6B2-115FFCBC10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523B08-15EB-4C01-8ACC-E07E68B85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46D687-7137-4023-B75A-7314AA4B29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107</vt:i4>
      </vt:variant>
      <vt:variant>
        <vt:lpstr>Zakresy nazwane</vt:lpstr>
      </vt:variant>
      <vt:variant>
        <vt:i4>18</vt:i4>
      </vt:variant>
    </vt:vector>
  </HeadingPairs>
  <TitlesOfParts>
    <vt:vector size="125" baseType="lpstr">
      <vt:lpstr>1</vt:lpstr>
      <vt:lpstr>1cd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17cd</vt:lpstr>
      <vt:lpstr>18</vt:lpstr>
      <vt:lpstr>18cd</vt:lpstr>
      <vt:lpstr>19</vt:lpstr>
      <vt:lpstr>19cd</vt:lpstr>
      <vt:lpstr>20</vt:lpstr>
      <vt:lpstr>20cd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38cd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55cd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75cd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92cd</vt:lpstr>
      <vt:lpstr>93</vt:lpstr>
      <vt:lpstr>93cd</vt:lpstr>
      <vt:lpstr>94</vt:lpstr>
      <vt:lpstr>95</vt:lpstr>
      <vt:lpstr>96</vt:lpstr>
      <vt:lpstr>97</vt:lpstr>
      <vt:lpstr>'1'!Obszar_wydruku</vt:lpstr>
      <vt:lpstr>'18'!Obszar_wydruku</vt:lpstr>
      <vt:lpstr>'40'!Obszar_wydruku</vt:lpstr>
      <vt:lpstr>'95'!Obszar_wydruku</vt:lpstr>
      <vt:lpstr>'34'!Tytuły_wydruku</vt:lpstr>
      <vt:lpstr>'35'!Tytuły_wydruku</vt:lpstr>
      <vt:lpstr>'42'!Tytuły_wydruku</vt:lpstr>
      <vt:lpstr>'43'!Tytuły_wydruku</vt:lpstr>
      <vt:lpstr>'44'!Tytuły_wydruku</vt:lpstr>
      <vt:lpstr>'52'!Tytuły_wydruku</vt:lpstr>
      <vt:lpstr>'59'!Tytuły_wydruku</vt:lpstr>
      <vt:lpstr>'60'!Tytuły_wydruku</vt:lpstr>
      <vt:lpstr>'61'!Tytuły_wydruku</vt:lpstr>
      <vt:lpstr>'70'!Tytuły_wydruku</vt:lpstr>
      <vt:lpstr>'72'!Tytuły_wydruku</vt:lpstr>
      <vt:lpstr>'73'!Tytuły_wydruku</vt:lpstr>
      <vt:lpstr>'89'!Tytuły_wydruku</vt:lpstr>
      <vt:lpstr>'94'!Tytuły_wydruku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Broniarek</dc:creator>
  <cp:lastModifiedBy>Chacińska Magdalena</cp:lastModifiedBy>
  <cp:lastPrinted>2022-05-18T07:15:45Z</cp:lastPrinted>
  <dcterms:created xsi:type="dcterms:W3CDTF">2005-04-20T13:12:21Z</dcterms:created>
  <dcterms:modified xsi:type="dcterms:W3CDTF">2022-06-03T10:28:59Z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MF\APBR;Broniarek Piotr</vt:lpwstr>
  </property>
  <property fmtid="{D5CDD505-2E9C-101B-9397-08002B2CF9AE}" pid="5" name="MFClassificationDate">
    <vt:lpwstr>2022-04-25T15:05:03.9507832+02:00</vt:lpwstr>
  </property>
  <property fmtid="{D5CDD505-2E9C-101B-9397-08002B2CF9AE}" pid="6" name="MFClassifiedBySID">
    <vt:lpwstr>MF\S-1-5-21-1525952054-1005573771-2909822258-9457</vt:lpwstr>
  </property>
  <property fmtid="{D5CDD505-2E9C-101B-9397-08002B2CF9AE}" pid="7" name="MFGRNItemId">
    <vt:lpwstr>GRN-4ee80226-64e1-4bab-b46e-1c84418bfa13</vt:lpwstr>
  </property>
  <property fmtid="{D5CDD505-2E9C-101B-9397-08002B2CF9AE}" pid="8" name="MFHash">
    <vt:lpwstr>C7hWYqft2rtheIjJDLuu5OW6OVYJGNb5aSpqt3PO1kM=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