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4\III kwartał\2024.11.14 dane ostateczne\Zbiorówki_2024_k3_20241114\Publikacja\"/>
    </mc:Choice>
  </mc:AlternateContent>
  <xr:revisionPtr revIDLastSave="0" documentId="13_ncr:1_{B2E777D3-0F92-40C4-9882-7F0DABD265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8" i="4" l="1"/>
  <c r="C107" i="4"/>
  <c r="C106" i="4"/>
  <c r="C105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0" i="4"/>
  <c r="H60" i="4"/>
  <c r="G60" i="4"/>
  <c r="F60" i="4"/>
  <c r="E60" i="4"/>
  <c r="D60" i="4"/>
  <c r="C60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2" i="4"/>
  <c r="H52" i="4"/>
  <c r="G52" i="4"/>
  <c r="F52" i="4"/>
  <c r="F55" i="4" s="1"/>
  <c r="F61" i="4" s="1"/>
  <c r="E52" i="4"/>
  <c r="D52" i="4"/>
  <c r="C52" i="4"/>
  <c r="D42" i="4"/>
  <c r="C42" i="4"/>
  <c r="D40" i="4"/>
  <c r="C40" i="4"/>
  <c r="K40" i="4" s="1"/>
  <c r="D39" i="4"/>
  <c r="C39" i="4"/>
  <c r="D38" i="4"/>
  <c r="C38" i="4"/>
  <c r="D37" i="4"/>
  <c r="C37" i="4"/>
  <c r="D36" i="4"/>
  <c r="C36" i="4"/>
  <c r="D34" i="4"/>
  <c r="C34" i="4"/>
  <c r="D33" i="4"/>
  <c r="J33" i="4" s="1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K16" i="4" s="1"/>
  <c r="D15" i="4"/>
  <c r="C15" i="4"/>
  <c r="D14" i="4"/>
  <c r="C14" i="4"/>
  <c r="D13" i="4"/>
  <c r="C13" i="4"/>
  <c r="D9" i="4"/>
  <c r="C9" i="4"/>
  <c r="D8" i="4"/>
  <c r="C8" i="4"/>
  <c r="D7" i="4"/>
  <c r="C7" i="4"/>
  <c r="K7" i="4" s="1"/>
  <c r="D5" i="4"/>
  <c r="C5" i="4"/>
  <c r="K5" i="4" s="1"/>
  <c r="D105" i="4"/>
  <c r="B69" i="4" s="1"/>
  <c r="K30" i="4"/>
  <c r="K37" i="4"/>
  <c r="E55" i="4"/>
  <c r="E61" i="4" s="1"/>
  <c r="K54" i="4"/>
  <c r="I68" i="4"/>
  <c r="K76" i="4"/>
  <c r="K9" i="4"/>
  <c r="K82" i="4"/>
  <c r="K18" i="4"/>
  <c r="K88" i="4"/>
  <c r="K24" i="4"/>
  <c r="K67" i="4"/>
  <c r="C12" i="4"/>
  <c r="C11" i="4" s="1"/>
  <c r="K13" i="4"/>
  <c r="K19" i="4"/>
  <c r="K25" i="4"/>
  <c r="K31" i="4"/>
  <c r="K38" i="4"/>
  <c r="G55" i="4"/>
  <c r="G61" i="4" s="1"/>
  <c r="K57" i="4"/>
  <c r="K77" i="4"/>
  <c r="K83" i="4"/>
  <c r="K89" i="4"/>
  <c r="D12" i="4"/>
  <c r="J12" i="4" s="1"/>
  <c r="H55" i="4"/>
  <c r="H61" i="4" s="1"/>
  <c r="K14" i="4"/>
  <c r="K79" i="4"/>
  <c r="K22" i="4"/>
  <c r="K34" i="4"/>
  <c r="K42" i="4"/>
  <c r="E68" i="4"/>
  <c r="K74" i="4"/>
  <c r="K80" i="4"/>
  <c r="K86" i="4"/>
  <c r="K32" i="4"/>
  <c r="I55" i="4"/>
  <c r="I61" i="4"/>
  <c r="K15" i="4"/>
  <c r="K33" i="4"/>
  <c r="K66" i="4"/>
  <c r="C68" i="4"/>
  <c r="J9" i="4"/>
  <c r="J38" i="4"/>
  <c r="J15" i="4"/>
  <c r="J28" i="4"/>
  <c r="D62" i="4"/>
  <c r="J24" i="4"/>
  <c r="J17" i="4"/>
  <c r="J32" i="4"/>
  <c r="J18" i="4"/>
  <c r="J27" i="4"/>
  <c r="J20" i="4"/>
  <c r="J14" i="4"/>
  <c r="J25" i="4"/>
  <c r="J36" i="4"/>
  <c r="J26" i="4"/>
  <c r="J22" i="4"/>
  <c r="J16" i="4"/>
  <c r="J21" i="4"/>
  <c r="J40" i="4"/>
  <c r="J13" i="4"/>
  <c r="J31" i="4"/>
  <c r="J19" i="4"/>
  <c r="J39" i="4"/>
  <c r="J23" i="4"/>
  <c r="D41" i="4"/>
  <c r="J41" i="4" s="1"/>
  <c r="J8" i="4"/>
  <c r="J30" i="4"/>
  <c r="J37" i="4"/>
  <c r="J34" i="4"/>
  <c r="J7" i="4"/>
  <c r="J29" i="4"/>
  <c r="J5" i="4"/>
  <c r="K56" i="4"/>
  <c r="J66" i="4"/>
  <c r="J67" i="4"/>
  <c r="D68" i="4"/>
  <c r="J68" i="4" s="1"/>
  <c r="J85" i="4"/>
  <c r="J90" i="4"/>
  <c r="J87" i="4"/>
  <c r="J89" i="4"/>
  <c r="J88" i="4"/>
  <c r="J86" i="4"/>
  <c r="K28" i="4"/>
  <c r="K58" i="4"/>
  <c r="F68" i="4"/>
  <c r="J81" i="4"/>
  <c r="J79" i="4"/>
  <c r="J83" i="4"/>
  <c r="J75" i="4"/>
  <c r="J80" i="4"/>
  <c r="J82" i="4"/>
  <c r="J76" i="4"/>
  <c r="J74" i="4"/>
  <c r="J84" i="4"/>
  <c r="J78" i="4"/>
  <c r="J77" i="4"/>
  <c r="K39" i="4"/>
  <c r="K84" i="4"/>
  <c r="K27" i="4"/>
  <c r="K85" i="4"/>
  <c r="K17" i="4"/>
  <c r="G68" i="4"/>
  <c r="K75" i="4"/>
  <c r="K81" i="4"/>
  <c r="K87" i="4"/>
  <c r="K20" i="4"/>
  <c r="K26" i="4"/>
  <c r="K59" i="4"/>
  <c r="K78" i="4"/>
  <c r="K90" i="4"/>
  <c r="K53" i="4"/>
  <c r="C62" i="4"/>
  <c r="C41" i="4"/>
  <c r="K21" i="4"/>
  <c r="K8" i="4"/>
  <c r="K23" i="4"/>
  <c r="K29" i="4"/>
  <c r="K36" i="4"/>
  <c r="C55" i="4"/>
  <c r="K55" i="4" s="1"/>
  <c r="K52" i="4"/>
  <c r="D35" i="4"/>
  <c r="J52" i="4"/>
  <c r="J56" i="4"/>
  <c r="J54" i="4"/>
  <c r="J58" i="4"/>
  <c r="J53" i="4"/>
  <c r="J60" i="4"/>
  <c r="J57" i="4"/>
  <c r="J59" i="4"/>
  <c r="D55" i="4"/>
  <c r="J55" i="4" s="1"/>
  <c r="D61" i="4"/>
  <c r="J61" i="4" s="1"/>
  <c r="K60" i="4"/>
  <c r="H68" i="4"/>
  <c r="B45" i="4"/>
  <c r="B1" i="4"/>
  <c r="C43" i="4"/>
  <c r="D43" i="4" l="1"/>
  <c r="J43" i="4" s="1"/>
  <c r="K68" i="4"/>
  <c r="C61" i="4"/>
  <c r="K61" i="4" s="1"/>
  <c r="C63" i="4"/>
  <c r="C35" i="4"/>
  <c r="K35" i="4" s="1"/>
  <c r="J35" i="4"/>
  <c r="D11" i="4"/>
  <c r="J11" i="4" s="1"/>
  <c r="D6" i="4"/>
  <c r="L9" i="4" s="1"/>
  <c r="K11" i="4"/>
  <c r="K12" i="4"/>
  <c r="J42" i="4"/>
  <c r="K41" i="4"/>
  <c r="D63" i="4" l="1"/>
  <c r="K43" i="4"/>
  <c r="L6" i="4"/>
  <c r="C6" i="4"/>
  <c r="K6" i="4" s="1"/>
  <c r="L7" i="4"/>
  <c r="J6" i="4"/>
  <c r="D10" i="4"/>
  <c r="L8" i="4"/>
  <c r="C10" i="4" l="1"/>
  <c r="K10" i="4" s="1"/>
  <c r="J10" i="4"/>
  <c r="L10" i="4"/>
</calcChain>
</file>

<file path=xl/sharedStrings.xml><?xml version="1.0" encoding="utf-8"?>
<sst xmlns="http://schemas.openxmlformats.org/spreadsheetml/2006/main" count="406" uniqueCount="106">
  <si>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</si>
  <si>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</si>
  <si>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</si>
  <si>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</si>
  <si>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</si>
  <si>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</si>
  <si>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</si>
  <si>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</si>
  <si>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</si>
  <si>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</si>
  <si>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</si>
  <si>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</si>
  <si>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</si>
  <si>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</si>
  <si>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</si>
  <si>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</si>
  <si>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</si>
  <si>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</si>
  <si>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</si>
  <si>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</si>
  <si>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</si>
  <si>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</si>
  <si>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</si>
  <si>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</si>
  <si>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</si>
  <si>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</si>
  <si>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</si>
  <si>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</si>
  <si>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</si>
  <si>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</si>
  <si>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</si>
  <si>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</si>
  <si>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</si>
  <si>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</si>
  <si>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</si>
  <si>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</si>
  <si>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</si>
  <si>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</si>
  <si>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</si>
  <si>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</si>
  <si>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</si>
  <si>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</si>
  <si>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</si>
  <si>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</si>
  <si>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</si>
  <si>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</si>
  <si>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</si>
  <si>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</si>
  <si>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</si>
  <si>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</si>
  <si>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</si>
  <si>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</si>
  <si>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</si>
  <si>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Dotacje §§ 200 i 620</t>
  </si>
  <si>
    <t>w tym: inwestycyjne § 620</t>
  </si>
  <si>
    <t>tytul</t>
  </si>
  <si>
    <t>majątkowe</t>
  </si>
  <si>
    <t>bieżace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</si>
  <si>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</si>
  <si>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</si>
  <si>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</si>
  <si>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</si>
  <si>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</si>
  <si>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</si>
  <si>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</si>
  <si>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</si>
  <si>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</si>
  <si>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</si>
  <si>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</si>
  <si>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Wydatki Ogółem UE                                         z tego: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</si>
  <si>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</si>
  <si>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</si>
  <si>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</si>
  <si>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</si>
  <si>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</si>
  <si>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</si>
  <si>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</si>
  <si>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</si>
  <si>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</si>
  <si>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</si>
  <si>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</si>
  <si>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</si>
  <si>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</si>
  <si>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</si>
  <si>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</si>
  <si>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</si>
  <si>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</si>
  <si>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</si>
  <si>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</si>
  <si>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</si>
  <si>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</si>
  <si>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</si>
  <si>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</si>
  <si>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</si>
  <si>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Dochody bieżace 
minus 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</si>
  <si>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</si>
  <si>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</si>
  <si>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</si>
  <si>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</si>
  <si>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</si>
  <si>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</si>
  <si>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</si>
  <si>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kredyty, pożyczki, emisja papierów wartościowych 
w tym: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</si>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</sst>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3" fillId="0" borderId="0"/>
    <xf numFmtId="0" fontId="33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165" fontId="6" fillId="0" borderId="0" xfId="0" applyNumberFormat="1" applyFont="1"/>
    <xf numFmtId="165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165" fontId="12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8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1" borderId="14" xfId="0" applyNumberFormat="1" applyFont="1" applyFill="1" applyBorder="1" applyAlignment="1">
      <alignment horizontal="right" vertical="center"/>
    </xf>
    <xf numFmtId="4" fontId="11" fillId="22" borderId="14" xfId="0" applyNumberFormat="1" applyFont="1" applyFill="1" applyBorder="1" applyAlignment="1">
      <alignment horizontal="right" vertical="center"/>
    </xf>
    <xf numFmtId="0" fontId="34" fillId="22" borderId="10" xfId="43" applyFont="1" applyFill="1" applyBorder="1" applyAlignment="1">
      <alignment horizontal="left" vertical="center" wrapText="1"/>
    </xf>
    <xf numFmtId="165" fontId="11" fillId="21" borderId="10" xfId="28" applyNumberFormat="1" applyFont="1" applyFill="1" applyBorder="1" applyAlignment="1">
      <alignment horizontal="right" vertical="center"/>
    </xf>
    <xf numFmtId="165" fontId="11" fillId="21" borderId="10" xfId="0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right" vertical="center"/>
    </xf>
    <xf numFmtId="165" fontId="12" fillId="22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4" fillId="22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4" xfId="0" applyNumberFormat="1" applyFont="1" applyFill="1" applyBorder="1" applyAlignment="1">
      <alignment horizontal="right" vertical="center"/>
    </xf>
    <xf numFmtId="165" fontId="11" fillId="0" borderId="10" xfId="28" applyNumberFormat="1" applyFont="1" applyFill="1" applyBorder="1" applyAlignment="1">
      <alignment horizontal="right" vertical="center"/>
    </xf>
    <xf numFmtId="165" fontId="11" fillId="0" borderId="10" xfId="0" applyNumberFormat="1" applyFont="1" applyFill="1" applyBorder="1" applyAlignment="1">
      <alignment horizontal="right" vertical="center"/>
    </xf>
    <xf numFmtId="4" fontId="4" fillId="21" borderId="10" xfId="0" applyNumberFormat="1" applyFont="1" applyFill="1" applyBorder="1" applyAlignment="1">
      <alignment horizontal="right" vertical="center"/>
    </xf>
    <xf numFmtId="165" fontId="4" fillId="21" borderId="10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vertical="center" wrapText="1"/>
    </xf>
    <xf numFmtId="0" fontId="6" fillId="19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vertical="center" wrapText="1"/>
    </xf>
    <xf numFmtId="4" fontId="11" fillId="22" borderId="10" xfId="0" applyNumberFormat="1" applyFont="1" applyFill="1" applyBorder="1" applyAlignment="1">
      <alignment horizontal="right" vertical="center"/>
    </xf>
    <xf numFmtId="4" fontId="11" fillId="22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vertical="center" wrapText="1"/>
    </xf>
    <xf numFmtId="165" fontId="11" fillId="22" borderId="16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/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4" fontId="12" fillId="0" borderId="19" xfId="0" applyNumberFormat="1" applyFont="1" applyFill="1" applyBorder="1" applyAlignment="1">
      <alignment horizontal="right" vertical="center" wrapText="1"/>
    </xf>
    <xf numFmtId="4" fontId="4" fillId="20" borderId="1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horizontal="center"/>
    </xf>
    <xf numFmtId="0" fontId="10" fillId="20" borderId="10" xfId="0" applyFont="1" applyFill="1" applyBorder="1" applyAlignment="1">
      <alignment horizontal="left" vertical="center" wrapText="1"/>
    </xf>
    <xf numFmtId="165" fontId="4" fillId="22" borderId="14" xfId="0" applyNumberFormat="1" applyFont="1" applyFill="1" applyBorder="1" applyAlignment="1">
      <alignment horizontal="right" vertical="center"/>
    </xf>
    <xf numFmtId="165" fontId="4" fillId="0" borderId="14" xfId="0" applyNumberFormat="1" applyFont="1" applyFill="1" applyBorder="1" applyAlignment="1">
      <alignment horizontal="right" vertical="center"/>
    </xf>
    <xf numFmtId="165" fontId="4" fillId="0" borderId="18" xfId="0" applyNumberFormat="1" applyFont="1" applyFill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top" wrapText="1"/>
    </xf>
    <xf numFmtId="0" fontId="7" fillId="22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4" fillId="0" borderId="10" xfId="43" applyFont="1" applyFill="1" applyBorder="1" applyAlignment="1">
      <alignment horizontal="left" vertical="center" wrapText="1" indent="1"/>
    </xf>
    <xf numFmtId="4" fontId="11" fillId="2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166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1" borderId="10" xfId="0" applyFont="1" applyFill="1" applyBorder="1" applyAlignment="1">
      <alignment horizontal="left" vertical="center" wrapText="1" indent="3"/>
    </xf>
    <xf numFmtId="4" fontId="12" fillId="20" borderId="10" xfId="0" applyNumberFormat="1" applyFont="1" applyFill="1" applyBorder="1" applyAlignment="1">
      <alignment horizontal="right" vertical="center" wrapText="1"/>
    </xf>
    <xf numFmtId="0" fontId="10" fillId="0" borderId="20" xfId="43" applyFont="1" applyFill="1" applyBorder="1" applyAlignment="1">
      <alignment horizontal="left" vertical="center"/>
    </xf>
    <xf numFmtId="0" fontId="7" fillId="22" borderId="1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center" vertical="center"/>
    </xf>
    <xf numFmtId="0" fontId="35" fillId="0" borderId="0" xfId="0" applyFont="1"/>
    <xf numFmtId="0" fontId="34" fillId="0" borderId="10" xfId="44" applyFont="1" applyBorder="1" applyAlignment="1">
      <alignment horizontal="left" vertical="center" wrapText="1" indent="1"/>
    </xf>
    <xf numFmtId="166" fontId="6" fillId="0" borderId="14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6" fillId="19" borderId="17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5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4" fontId="12" fillId="0" borderId="19" xfId="0" applyNumberFormat="1" applyFont="1" applyFill="1" applyBorder="1" applyAlignment="1">
      <alignment horizontal="right" vertical="center" wrapText="1"/>
    </xf>
    <xf numFmtId="0" fontId="4" fillId="19" borderId="14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1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</cellXfs>
  <cellStyles count="5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4" xfId="32" xr:uid="{00000000-0005-0000-0000-00001F000000}"/>
    <cellStyle name="Dziesiętny 5" xfId="33" xr:uid="{00000000-0005-0000-0000-000020000000}"/>
    <cellStyle name="Explanatory Text" xfId="34" xr:uid="{00000000-0005-0000-0000-000021000000}"/>
    <cellStyle name="Good" xfId="35" xr:uid="{00000000-0005-0000-0000-000022000000}"/>
    <cellStyle name="Heading 1" xfId="36" xr:uid="{00000000-0005-0000-0000-000023000000}"/>
    <cellStyle name="Heading 2" xfId="37" xr:uid="{00000000-0005-0000-0000-000024000000}"/>
    <cellStyle name="Heading 3" xfId="38" xr:uid="{00000000-0005-0000-0000-000025000000}"/>
    <cellStyle name="Heading 4" xfId="39" xr:uid="{00000000-0005-0000-0000-000026000000}"/>
    <cellStyle name="Input" xfId="40" xr:uid="{00000000-0005-0000-0000-000027000000}"/>
    <cellStyle name="Linked Cell" xfId="41" xr:uid="{00000000-0005-0000-0000-000028000000}"/>
    <cellStyle name="Neutral" xfId="42" xr:uid="{00000000-0005-0000-0000-000029000000}"/>
    <cellStyle name="Normalny" xfId="0" builtinId="0"/>
    <cellStyle name="Normalny 2" xfId="43" xr:uid="{00000000-0005-0000-0000-00002B000000}"/>
    <cellStyle name="Normalny 2 2" xfId="44" xr:uid="{00000000-0005-0000-0000-00002C000000}"/>
    <cellStyle name="Note" xfId="45" xr:uid="{00000000-0005-0000-0000-00002D000000}"/>
    <cellStyle name="Output" xfId="46" xr:uid="{00000000-0005-0000-0000-00002E000000}"/>
    <cellStyle name="Title" xfId="47" xr:uid="{00000000-0005-0000-0000-00002F000000}"/>
    <cellStyle name="Total" xfId="48" xr:uid="{00000000-0005-0000-0000-000030000000}"/>
    <cellStyle name="Warning Text" xfId="49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08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9" width="13" style="1" customWidth="1" outlineLevel="1"/>
    <col min="10" max="10" width="13" style="1" customWidth="1"/>
    <col min="11" max="11" width="7.42578125" style="1" customWidth="1"/>
    <col min="12" max="12" width="8.42578125" style="1" customWidth="1"/>
    <col min="13" max="13" width="8.5703125" style="1" customWidth="1"/>
    <col min="14" max="16384" width="9.140625" style="1"/>
  </cols>
  <sheetData>
    <row r="1" spans="2:17" ht="18" customHeight="1" x14ac:dyDescent="0.2">
      <c r="B1" s="100" t="str">
        <f>CONCATENATE("Informacja z wykonania budżetów województw za ",$D$105," ",$C$106," rok    ",$C$108,"")</f>
        <v xml:space="preserve">Informacja z wykonania budżetów województw za III Kwartały 2024 rok    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2:17" ht="60" customHeight="1" x14ac:dyDescent="0.2">
      <c r="B2" s="150" t="s">
        <v>0</v>
      </c>
      <c r="C2" s="13" t="s">
        <v>26</v>
      </c>
      <c r="D2" s="13" t="s">
        <v>27</v>
      </c>
      <c r="E2" s="13" t="s">
        <v>88</v>
      </c>
      <c r="F2" s="13" t="s">
        <v>89</v>
      </c>
      <c r="G2" s="13" t="s">
        <v>90</v>
      </c>
      <c r="H2" s="13" t="s">
        <v>91</v>
      </c>
      <c r="I2" s="13" t="s">
        <v>92</v>
      </c>
      <c r="J2" s="14" t="s">
        <v>2</v>
      </c>
      <c r="K2" s="13" t="s">
        <v>18</v>
      </c>
      <c r="L2" s="13" t="s">
        <v>3</v>
      </c>
    </row>
    <row r="3" spans="2:17" ht="9.75" customHeight="1" x14ac:dyDescent="0.2">
      <c r="B3" s="150"/>
      <c r="C3" s="142" t="s">
        <v>60</v>
      </c>
      <c r="D3" s="144"/>
      <c r="E3" s="151" t="s">
        <v>86</v>
      </c>
      <c r="F3" s="152"/>
      <c r="G3" s="152"/>
      <c r="H3" s="152"/>
      <c r="I3" s="153"/>
      <c r="J3" s="142" t="s">
        <v>4</v>
      </c>
      <c r="K3" s="143"/>
      <c r="L3" s="144"/>
    </row>
    <row r="4" spans="2:17" ht="9" customHeight="1" x14ac:dyDescent="0.2">
      <c r="B4" s="14">
        <v>1</v>
      </c>
      <c r="C4" s="16">
        <v>2</v>
      </c>
      <c r="D4" s="16">
        <v>3</v>
      </c>
      <c r="E4" s="154"/>
      <c r="F4" s="155"/>
      <c r="G4" s="155"/>
      <c r="H4" s="155"/>
      <c r="I4" s="156"/>
      <c r="J4" s="16">
        <v>4</v>
      </c>
      <c r="K4" s="16">
        <v>5</v>
      </c>
      <c r="L4" s="16">
        <v>6</v>
      </c>
    </row>
    <row r="5" spans="2:17" ht="12.95" customHeight="1" x14ac:dyDescent="0.2">
      <c r="B5" s="98" t="s">
        <v>5</v>
      </c>
      <c r="C5" s="55">
        <f>36374545937.33</f>
        <v>36374545937.330002</v>
      </c>
      <c r="D5" s="55">
        <f>26226867326.3</f>
        <v>26226867326.299999</v>
      </c>
      <c r="E5" s="94" t="s">
        <v>86</v>
      </c>
      <c r="F5" s="94" t="s">
        <v>86</v>
      </c>
      <c r="G5" s="94" t="s">
        <v>86</v>
      </c>
      <c r="H5" s="94" t="s">
        <v>86</v>
      </c>
      <c r="I5" s="94" t="s">
        <v>86</v>
      </c>
      <c r="J5" s="56">
        <f t="shared" ref="J5:J40" si="0">IF($D$5=0,"",100*$D5/$D$5)</f>
        <v>100</v>
      </c>
      <c r="K5" s="56">
        <f t="shared" ref="K5:K43" si="1">IF(C5=0,"",100*D5/C5)</f>
        <v>72.102253513999827</v>
      </c>
      <c r="L5" s="56"/>
      <c r="M5" s="34"/>
      <c r="N5" s="34"/>
      <c r="O5" s="34"/>
      <c r="P5" s="34"/>
      <c r="Q5" s="34"/>
    </row>
    <row r="6" spans="2:17" ht="27" customHeight="1" x14ac:dyDescent="0.2">
      <c r="B6" s="96" t="s">
        <v>41</v>
      </c>
      <c r="C6" s="22">
        <f>C5-C11-C35</f>
        <v>21557539252.580002</v>
      </c>
      <c r="D6" s="22">
        <f>D5-D11-D35</f>
        <v>16300418424.669998</v>
      </c>
      <c r="E6" s="94" t="s">
        <v>86</v>
      </c>
      <c r="F6" s="94" t="s">
        <v>86</v>
      </c>
      <c r="G6" s="94" t="s">
        <v>86</v>
      </c>
      <c r="H6" s="94" t="s">
        <v>86</v>
      </c>
      <c r="I6" s="94" t="s">
        <v>86</v>
      </c>
      <c r="J6" s="29">
        <f t="shared" si="0"/>
        <v>62.151602865372055</v>
      </c>
      <c r="K6" s="29">
        <f t="shared" si="1"/>
        <v>75.613539345494488</v>
      </c>
      <c r="L6" s="29">
        <f>IF($D$6=0,"",100*$D6/$D$6)</f>
        <v>100</v>
      </c>
      <c r="M6" s="34"/>
      <c r="N6" s="34"/>
      <c r="O6" s="34"/>
      <c r="P6" s="34"/>
      <c r="Q6" s="34"/>
    </row>
    <row r="7" spans="2:17" ht="22.5" outlineLevel="1" x14ac:dyDescent="0.2">
      <c r="B7" s="28" t="s">
        <v>25</v>
      </c>
      <c r="C7" s="20">
        <f>16512781578</f>
        <v>16512781578</v>
      </c>
      <c r="D7" s="20">
        <f>12384586125</f>
        <v>12384586125</v>
      </c>
      <c r="E7" s="110" t="s">
        <v>86</v>
      </c>
      <c r="F7" s="110" t="s">
        <v>86</v>
      </c>
      <c r="G7" s="110" t="s">
        <v>86</v>
      </c>
      <c r="H7" s="110" t="s">
        <v>86</v>
      </c>
      <c r="I7" s="110" t="s">
        <v>86</v>
      </c>
      <c r="J7" s="30">
        <f t="shared" si="0"/>
        <v>47.220988961121101</v>
      </c>
      <c r="K7" s="30">
        <f t="shared" si="1"/>
        <v>74.999999645728977</v>
      </c>
      <c r="L7" s="30">
        <f>IF($D$6=0,"",100*$D7/$D$6)</f>
        <v>75.977105632187019</v>
      </c>
      <c r="M7" s="34"/>
      <c r="N7" s="34"/>
      <c r="O7" s="34"/>
      <c r="P7" s="34"/>
      <c r="Q7" s="34"/>
    </row>
    <row r="8" spans="2:17" ht="22.5" outlineLevel="1" x14ac:dyDescent="0.2">
      <c r="B8" s="60" t="s">
        <v>19</v>
      </c>
      <c r="C8" s="21">
        <f>2302395107</f>
        <v>2302395107</v>
      </c>
      <c r="D8" s="21">
        <f>1726796268</f>
        <v>1726796268</v>
      </c>
      <c r="E8" s="110" t="s">
        <v>86</v>
      </c>
      <c r="F8" s="110" t="s">
        <v>86</v>
      </c>
      <c r="G8" s="110" t="s">
        <v>86</v>
      </c>
      <c r="H8" s="110" t="s">
        <v>86</v>
      </c>
      <c r="I8" s="110" t="s">
        <v>86</v>
      </c>
      <c r="J8" s="30">
        <f t="shared" si="0"/>
        <v>6.5840736772568667</v>
      </c>
      <c r="K8" s="30">
        <f t="shared" si="1"/>
        <v>74.99999729629377</v>
      </c>
      <c r="L8" s="30">
        <f>IF($D$6=0,"",100*$D8/$D$6)</f>
        <v>10.593570195637227</v>
      </c>
      <c r="M8" s="34"/>
      <c r="N8" s="34"/>
      <c r="O8" s="34"/>
      <c r="P8" s="34"/>
      <c r="Q8" s="34"/>
    </row>
    <row r="9" spans="2:17" ht="12.75" customHeight="1" outlineLevel="1" x14ac:dyDescent="0.2">
      <c r="B9" s="60" t="s">
        <v>20</v>
      </c>
      <c r="C9" s="21">
        <f>227514135.99</f>
        <v>227514135.99000001</v>
      </c>
      <c r="D9" s="57">
        <f>207591078.61</f>
        <v>207591078.61000001</v>
      </c>
      <c r="E9" s="110" t="s">
        <v>86</v>
      </c>
      <c r="F9" s="110" t="s">
        <v>86</v>
      </c>
      <c r="G9" s="110" t="s">
        <v>86</v>
      </c>
      <c r="H9" s="110" t="s">
        <v>86</v>
      </c>
      <c r="I9" s="110" t="s">
        <v>86</v>
      </c>
      <c r="J9" s="30">
        <f t="shared" si="0"/>
        <v>0.79152068002353471</v>
      </c>
      <c r="K9" s="30">
        <f t="shared" si="1"/>
        <v>91.243156257826683</v>
      </c>
      <c r="L9" s="30">
        <f>IF($D$6=0,"",100*$D9/$D$6)</f>
        <v>1.273532207589344</v>
      </c>
      <c r="M9" s="34"/>
      <c r="N9" s="34"/>
      <c r="O9" s="34"/>
      <c r="P9" s="34"/>
      <c r="Q9" s="34"/>
    </row>
    <row r="10" spans="2:17" ht="12.75" customHeight="1" outlineLevel="1" x14ac:dyDescent="0.2">
      <c r="B10" s="60" t="s">
        <v>21</v>
      </c>
      <c r="C10" s="21">
        <f>C6-C7-C8-C9</f>
        <v>2514848431.5900021</v>
      </c>
      <c r="D10" s="21">
        <f>D6-D7-D8-D9</f>
        <v>1981444953.059998</v>
      </c>
      <c r="E10" s="110" t="s">
        <v>86</v>
      </c>
      <c r="F10" s="110" t="s">
        <v>86</v>
      </c>
      <c r="G10" s="110" t="s">
        <v>86</v>
      </c>
      <c r="H10" s="110" t="s">
        <v>86</v>
      </c>
      <c r="I10" s="110" t="s">
        <v>86</v>
      </c>
      <c r="J10" s="30">
        <f t="shared" si="0"/>
        <v>7.555019546970553</v>
      </c>
      <c r="K10" s="30">
        <f t="shared" si="1"/>
        <v>78.789835926900693</v>
      </c>
      <c r="L10" s="30">
        <f>IF($D$6=0,"",100*$D10/$D$6)</f>
        <v>12.15579196458641</v>
      </c>
      <c r="M10" s="34"/>
      <c r="N10" s="34"/>
      <c r="O10" s="34"/>
      <c r="P10" s="34"/>
      <c r="Q10" s="34"/>
    </row>
    <row r="11" spans="2:17" ht="27" customHeight="1" x14ac:dyDescent="0.2">
      <c r="B11" s="96" t="s">
        <v>87</v>
      </c>
      <c r="C11" s="55">
        <f>C12+C31+C33</f>
        <v>8478241135.75</v>
      </c>
      <c r="D11" s="55">
        <f>D12+D31+D33</f>
        <v>4972746004.6300001</v>
      </c>
      <c r="E11" s="94" t="s">
        <v>86</v>
      </c>
      <c r="F11" s="94" t="s">
        <v>86</v>
      </c>
      <c r="G11" s="94" t="s">
        <v>86</v>
      </c>
      <c r="H11" s="94" t="s">
        <v>86</v>
      </c>
      <c r="I11" s="94" t="s">
        <v>86</v>
      </c>
      <c r="J11" s="56">
        <f t="shared" si="0"/>
        <v>18.960503146494311</v>
      </c>
      <c r="K11" s="56">
        <f t="shared" si="1"/>
        <v>58.653038112604968</v>
      </c>
      <c r="L11" s="58"/>
      <c r="M11" s="34"/>
      <c r="N11" s="34"/>
      <c r="O11" s="34"/>
      <c r="P11" s="34"/>
      <c r="Q11" s="34"/>
    </row>
    <row r="12" spans="2:17" ht="27" customHeight="1" outlineLevel="1" x14ac:dyDescent="0.2">
      <c r="B12" s="102" t="s">
        <v>42</v>
      </c>
      <c r="C12" s="55">
        <f>C13+C15+C17+C19+C21+C23+C25+C27+C29</f>
        <v>3270593995.0599999</v>
      </c>
      <c r="D12" s="55">
        <f>D13+D15+D17+D19+D21+D23+D25+D27+D29</f>
        <v>2214681042.3200002</v>
      </c>
      <c r="E12" s="94" t="s">
        <v>86</v>
      </c>
      <c r="F12" s="94" t="s">
        <v>86</v>
      </c>
      <c r="G12" s="94" t="s">
        <v>86</v>
      </c>
      <c r="H12" s="94" t="s">
        <v>86</v>
      </c>
      <c r="I12" s="94" t="s">
        <v>86</v>
      </c>
      <c r="J12" s="56">
        <f t="shared" si="0"/>
        <v>8.4443216750448258</v>
      </c>
      <c r="K12" s="56">
        <f t="shared" si="1"/>
        <v>67.714948589311874</v>
      </c>
      <c r="L12" s="26"/>
      <c r="M12" s="34"/>
      <c r="N12" s="34"/>
      <c r="O12" s="34"/>
      <c r="P12" s="34"/>
      <c r="Q12" s="34"/>
    </row>
    <row r="13" spans="2:17" ht="22.5" outlineLevel="1" x14ac:dyDescent="0.2">
      <c r="B13" s="103" t="s">
        <v>9</v>
      </c>
      <c r="C13" s="21">
        <f>1790501649.53</f>
        <v>1790501649.53</v>
      </c>
      <c r="D13" s="21">
        <f>1471078351.28</f>
        <v>1471078351.28</v>
      </c>
      <c r="E13" s="110" t="s">
        <v>86</v>
      </c>
      <c r="F13" s="110" t="s">
        <v>86</v>
      </c>
      <c r="G13" s="110" t="s">
        <v>86</v>
      </c>
      <c r="H13" s="110" t="s">
        <v>86</v>
      </c>
      <c r="I13" s="110" t="s">
        <v>86</v>
      </c>
      <c r="J13" s="30">
        <f t="shared" si="0"/>
        <v>5.6090509513685598</v>
      </c>
      <c r="K13" s="30">
        <f t="shared" si="1"/>
        <v>82.16012264865283</v>
      </c>
      <c r="L13" s="26"/>
      <c r="M13" s="34"/>
      <c r="N13" s="34"/>
      <c r="O13" s="34"/>
      <c r="P13" s="34"/>
      <c r="Q13" s="34"/>
    </row>
    <row r="14" spans="2:17" ht="12.75" customHeight="1" outlineLevel="1" x14ac:dyDescent="0.2">
      <c r="B14" s="113" t="s">
        <v>6</v>
      </c>
      <c r="C14" s="21">
        <f>150465</f>
        <v>150465</v>
      </c>
      <c r="D14" s="21">
        <f>0</f>
        <v>0</v>
      </c>
      <c r="E14" s="110" t="s">
        <v>86</v>
      </c>
      <c r="F14" s="110" t="s">
        <v>86</v>
      </c>
      <c r="G14" s="110" t="s">
        <v>86</v>
      </c>
      <c r="H14" s="110" t="s">
        <v>86</v>
      </c>
      <c r="I14" s="110" t="s">
        <v>86</v>
      </c>
      <c r="J14" s="30">
        <f t="shared" si="0"/>
        <v>0</v>
      </c>
      <c r="K14" s="30">
        <f t="shared" si="1"/>
        <v>0</v>
      </c>
      <c r="L14" s="26"/>
      <c r="M14" s="34"/>
      <c r="N14" s="34"/>
      <c r="O14" s="34"/>
      <c r="P14" s="34"/>
      <c r="Q14" s="34"/>
    </row>
    <row r="15" spans="2:17" ht="12.75" customHeight="1" outlineLevel="1" x14ac:dyDescent="0.2">
      <c r="B15" s="103" t="s">
        <v>7</v>
      </c>
      <c r="C15" s="21">
        <f>129789006.8</f>
        <v>129789006.8</v>
      </c>
      <c r="D15" s="21">
        <f>49734732.17</f>
        <v>49734732.170000002</v>
      </c>
      <c r="E15" s="110" t="s">
        <v>86</v>
      </c>
      <c r="F15" s="110" t="s">
        <v>86</v>
      </c>
      <c r="G15" s="110" t="s">
        <v>86</v>
      </c>
      <c r="H15" s="110" t="s">
        <v>86</v>
      </c>
      <c r="I15" s="110" t="s">
        <v>86</v>
      </c>
      <c r="J15" s="30">
        <f t="shared" si="0"/>
        <v>0.18963275922826889</v>
      </c>
      <c r="K15" s="30">
        <f t="shared" si="1"/>
        <v>38.319680068620421</v>
      </c>
      <c r="L15" s="26"/>
      <c r="M15" s="34"/>
      <c r="N15" s="34"/>
      <c r="O15" s="34"/>
      <c r="P15" s="34"/>
      <c r="Q15" s="34"/>
    </row>
    <row r="16" spans="2:17" ht="12.75" customHeight="1" outlineLevel="1" x14ac:dyDescent="0.2">
      <c r="B16" s="113" t="s">
        <v>6</v>
      </c>
      <c r="C16" s="21">
        <f>95702292.8</f>
        <v>95702292.799999997</v>
      </c>
      <c r="D16" s="21">
        <f>27071693.68</f>
        <v>27071693.68</v>
      </c>
      <c r="E16" s="110" t="s">
        <v>86</v>
      </c>
      <c r="F16" s="110" t="s">
        <v>86</v>
      </c>
      <c r="G16" s="110" t="s">
        <v>86</v>
      </c>
      <c r="H16" s="110" t="s">
        <v>86</v>
      </c>
      <c r="I16" s="110" t="s">
        <v>86</v>
      </c>
      <c r="J16" s="30">
        <f t="shared" si="0"/>
        <v>0.10322122479665277</v>
      </c>
      <c r="K16" s="30">
        <f t="shared" si="1"/>
        <v>28.287403454977621</v>
      </c>
      <c r="L16" s="26"/>
      <c r="M16" s="34"/>
      <c r="N16" s="34"/>
      <c r="O16" s="34"/>
      <c r="P16" s="34"/>
      <c r="Q16" s="34"/>
    </row>
    <row r="17" spans="2:17" ht="33.75" outlineLevel="1" x14ac:dyDescent="0.2">
      <c r="B17" s="103" t="s">
        <v>10</v>
      </c>
      <c r="C17" s="21">
        <f>91291390.19</f>
        <v>91291390.189999998</v>
      </c>
      <c r="D17" s="21">
        <f>35506368.41</f>
        <v>35506368.409999996</v>
      </c>
      <c r="E17" s="110" t="s">
        <v>86</v>
      </c>
      <c r="F17" s="110" t="s">
        <v>86</v>
      </c>
      <c r="G17" s="110" t="s">
        <v>86</v>
      </c>
      <c r="H17" s="110" t="s">
        <v>86</v>
      </c>
      <c r="I17" s="110" t="s">
        <v>86</v>
      </c>
      <c r="J17" s="30">
        <f t="shared" si="0"/>
        <v>0.13538166021984113</v>
      </c>
      <c r="K17" s="30">
        <f t="shared" si="1"/>
        <v>38.893446946204286</v>
      </c>
      <c r="L17" s="26"/>
      <c r="M17" s="34"/>
      <c r="N17" s="34"/>
      <c r="O17" s="34"/>
      <c r="P17" s="34"/>
      <c r="Q17" s="34"/>
    </row>
    <row r="18" spans="2:17" ht="12.75" customHeight="1" outlineLevel="1" x14ac:dyDescent="0.2">
      <c r="B18" s="113" t="s">
        <v>6</v>
      </c>
      <c r="C18" s="21">
        <f>13727449</f>
        <v>13727449</v>
      </c>
      <c r="D18" s="21">
        <f>185000</f>
        <v>185000</v>
      </c>
      <c r="E18" s="110" t="s">
        <v>86</v>
      </c>
      <c r="F18" s="110" t="s">
        <v>86</v>
      </c>
      <c r="G18" s="110" t="s">
        <v>86</v>
      </c>
      <c r="H18" s="110" t="s">
        <v>86</v>
      </c>
      <c r="I18" s="110" t="s">
        <v>86</v>
      </c>
      <c r="J18" s="30">
        <f t="shared" si="0"/>
        <v>7.0538352025933395E-4</v>
      </c>
      <c r="K18" s="30">
        <f t="shared" si="1"/>
        <v>1.3476648137611</v>
      </c>
      <c r="L18" s="26"/>
      <c r="M18" s="34"/>
      <c r="N18" s="34"/>
      <c r="O18" s="34"/>
      <c r="P18" s="34"/>
      <c r="Q18" s="34"/>
    </row>
    <row r="19" spans="2:17" ht="24" customHeight="1" outlineLevel="1" x14ac:dyDescent="0.2">
      <c r="B19" s="103" t="s">
        <v>11</v>
      </c>
      <c r="C19" s="21">
        <f>61156081.76</f>
        <v>61156081.759999998</v>
      </c>
      <c r="D19" s="21">
        <f>45974767.64</f>
        <v>45974767.640000001</v>
      </c>
      <c r="E19" s="110" t="s">
        <v>86</v>
      </c>
      <c r="F19" s="110" t="s">
        <v>86</v>
      </c>
      <c r="G19" s="110" t="s">
        <v>86</v>
      </c>
      <c r="H19" s="110" t="s">
        <v>86</v>
      </c>
      <c r="I19" s="110" t="s">
        <v>86</v>
      </c>
      <c r="J19" s="30">
        <f t="shared" si="0"/>
        <v>0.17529645103247629</v>
      </c>
      <c r="K19" s="30">
        <f t="shared" si="1"/>
        <v>75.176117103811009</v>
      </c>
      <c r="L19" s="26"/>
      <c r="M19" s="34"/>
      <c r="N19" s="34"/>
      <c r="O19" s="34"/>
      <c r="P19" s="34"/>
      <c r="Q19" s="34"/>
    </row>
    <row r="20" spans="2:17" ht="12.75" customHeight="1" outlineLevel="1" x14ac:dyDescent="0.2">
      <c r="B20" s="113" t="s">
        <v>6</v>
      </c>
      <c r="C20" s="21">
        <f>2686730</f>
        <v>2686730</v>
      </c>
      <c r="D20" s="21">
        <f>2143981.58</f>
        <v>2143981.58</v>
      </c>
      <c r="E20" s="110" t="s">
        <v>86</v>
      </c>
      <c r="F20" s="110" t="s">
        <v>86</v>
      </c>
      <c r="G20" s="110" t="s">
        <v>86</v>
      </c>
      <c r="H20" s="110" t="s">
        <v>86</v>
      </c>
      <c r="I20" s="110" t="s">
        <v>86</v>
      </c>
      <c r="J20" s="30">
        <f t="shared" si="0"/>
        <v>8.1747528339003728E-3</v>
      </c>
      <c r="K20" s="30">
        <f t="shared" si="1"/>
        <v>79.798922109776569</v>
      </c>
      <c r="L20" s="26"/>
      <c r="M20" s="34"/>
      <c r="N20" s="34"/>
      <c r="O20" s="34"/>
      <c r="P20" s="34"/>
      <c r="Q20" s="34"/>
    </row>
    <row r="21" spans="2:17" ht="33.75" customHeight="1" outlineLevel="1" x14ac:dyDescent="0.2">
      <c r="B21" s="103" t="s">
        <v>61</v>
      </c>
      <c r="C21" s="21">
        <f>279299626.63</f>
        <v>279299626.63</v>
      </c>
      <c r="D21" s="21">
        <f>147376125.58</f>
        <v>147376125.58000001</v>
      </c>
      <c r="E21" s="110" t="s">
        <v>86</v>
      </c>
      <c r="F21" s="110" t="s">
        <v>86</v>
      </c>
      <c r="G21" s="110" t="s">
        <v>86</v>
      </c>
      <c r="H21" s="110" t="s">
        <v>86</v>
      </c>
      <c r="I21" s="110" t="s">
        <v>86</v>
      </c>
      <c r="J21" s="30">
        <f t="shared" si="0"/>
        <v>0.56192805548001135</v>
      </c>
      <c r="K21" s="30">
        <f t="shared" si="1"/>
        <v>52.76631671807975</v>
      </c>
      <c r="L21" s="26"/>
      <c r="M21" s="34"/>
      <c r="N21" s="34"/>
      <c r="O21" s="34"/>
      <c r="P21" s="34"/>
      <c r="Q21" s="34"/>
    </row>
    <row r="22" spans="2:17" ht="12.75" customHeight="1" outlineLevel="1" x14ac:dyDescent="0.2">
      <c r="B22" s="113" t="s">
        <v>6</v>
      </c>
      <c r="C22" s="21">
        <f>184505660.53</f>
        <v>184505660.53</v>
      </c>
      <c r="D22" s="21">
        <f>69949178.69</f>
        <v>69949178.689999998</v>
      </c>
      <c r="E22" s="110" t="s">
        <v>86</v>
      </c>
      <c r="F22" s="110" t="s">
        <v>86</v>
      </c>
      <c r="G22" s="110" t="s">
        <v>86</v>
      </c>
      <c r="H22" s="110" t="s">
        <v>86</v>
      </c>
      <c r="I22" s="110" t="s">
        <v>86</v>
      </c>
      <c r="J22" s="30">
        <f t="shared" si="0"/>
        <v>0.2667080967762237</v>
      </c>
      <c r="K22" s="30">
        <f t="shared" si="1"/>
        <v>37.911670833874766</v>
      </c>
      <c r="L22" s="26"/>
      <c r="M22" s="34"/>
      <c r="N22" s="34"/>
      <c r="O22" s="34"/>
      <c r="P22" s="34"/>
      <c r="Q22" s="34"/>
    </row>
    <row r="23" spans="2:17" outlineLevel="1" x14ac:dyDescent="0.2">
      <c r="B23" s="103" t="s">
        <v>8</v>
      </c>
      <c r="C23" s="21">
        <f>51607055</f>
        <v>51607055</v>
      </c>
      <c r="D23" s="21">
        <f>41299671.49</f>
        <v>41299671.490000002</v>
      </c>
      <c r="E23" s="110" t="s">
        <v>86</v>
      </c>
      <c r="F23" s="110" t="s">
        <v>86</v>
      </c>
      <c r="G23" s="110" t="s">
        <v>86</v>
      </c>
      <c r="H23" s="110" t="s">
        <v>86</v>
      </c>
      <c r="I23" s="110" t="s">
        <v>86</v>
      </c>
      <c r="J23" s="30">
        <f t="shared" si="0"/>
        <v>0.1574708522225419</v>
      </c>
      <c r="K23" s="30">
        <f t="shared" si="1"/>
        <v>80.027181341775844</v>
      </c>
      <c r="L23" s="26"/>
      <c r="M23" s="34"/>
      <c r="N23" s="34"/>
      <c r="O23" s="34"/>
      <c r="P23" s="34"/>
      <c r="Q23" s="34"/>
    </row>
    <row r="24" spans="2:17" ht="12.75" customHeight="1" outlineLevel="1" x14ac:dyDescent="0.2">
      <c r="B24" s="113" t="s">
        <v>6</v>
      </c>
      <c r="C24" s="21">
        <f>13063030</f>
        <v>13063030</v>
      </c>
      <c r="D24" s="21">
        <f>11031493.66</f>
        <v>11031493.66</v>
      </c>
      <c r="E24" s="110" t="s">
        <v>86</v>
      </c>
      <c r="F24" s="110" t="s">
        <v>86</v>
      </c>
      <c r="G24" s="110" t="s">
        <v>86</v>
      </c>
      <c r="H24" s="110" t="s">
        <v>86</v>
      </c>
      <c r="I24" s="110" t="s">
        <v>86</v>
      </c>
      <c r="J24" s="30">
        <f t="shared" si="0"/>
        <v>4.206180449518554E-2</v>
      </c>
      <c r="K24" s="30">
        <f t="shared" si="1"/>
        <v>84.44819969027094</v>
      </c>
      <c r="L24" s="26"/>
      <c r="M24" s="34"/>
      <c r="N24" s="34"/>
      <c r="O24" s="34"/>
      <c r="P24" s="34"/>
      <c r="Q24" s="34"/>
    </row>
    <row r="25" spans="2:17" ht="67.5" outlineLevel="1" x14ac:dyDescent="0.2">
      <c r="B25" s="103" t="s">
        <v>77</v>
      </c>
      <c r="C25" s="21">
        <f>306200</f>
        <v>306200</v>
      </c>
      <c r="D25" s="21">
        <f>0</f>
        <v>0</v>
      </c>
      <c r="E25" s="110" t="s">
        <v>86</v>
      </c>
      <c r="F25" s="110" t="s">
        <v>86</v>
      </c>
      <c r="G25" s="110" t="s">
        <v>86</v>
      </c>
      <c r="H25" s="110" t="s">
        <v>86</v>
      </c>
      <c r="I25" s="110" t="s">
        <v>86</v>
      </c>
      <c r="J25" s="30">
        <f t="shared" si="0"/>
        <v>0</v>
      </c>
      <c r="K25" s="30">
        <f t="shared" si="1"/>
        <v>0</v>
      </c>
      <c r="L25" s="26"/>
      <c r="M25" s="34"/>
      <c r="N25" s="34"/>
      <c r="O25" s="34"/>
      <c r="P25" s="34"/>
      <c r="Q25" s="34"/>
    </row>
    <row r="26" spans="2:17" ht="12.75" customHeight="1" outlineLevel="1" x14ac:dyDescent="0.2">
      <c r="B26" s="113" t="s">
        <v>78</v>
      </c>
      <c r="C26" s="21">
        <f>306200</f>
        <v>306200</v>
      </c>
      <c r="D26" s="21">
        <f>0</f>
        <v>0</v>
      </c>
      <c r="E26" s="110" t="s">
        <v>86</v>
      </c>
      <c r="F26" s="110" t="s">
        <v>86</v>
      </c>
      <c r="G26" s="110" t="s">
        <v>86</v>
      </c>
      <c r="H26" s="110" t="s">
        <v>86</v>
      </c>
      <c r="I26" s="110" t="s">
        <v>86</v>
      </c>
      <c r="J26" s="30">
        <f t="shared" si="0"/>
        <v>0</v>
      </c>
      <c r="K26" s="30">
        <f t="shared" si="1"/>
        <v>0</v>
      </c>
      <c r="L26" s="26"/>
      <c r="M26" s="34"/>
      <c r="N26" s="34"/>
      <c r="O26" s="34"/>
      <c r="P26" s="34"/>
      <c r="Q26" s="34"/>
    </row>
    <row r="27" spans="2:17" ht="45" outlineLevel="1" x14ac:dyDescent="0.2">
      <c r="B27" s="114" t="s">
        <v>76</v>
      </c>
      <c r="C27" s="67">
        <f>836511025.15</f>
        <v>836511025.14999998</v>
      </c>
      <c r="D27" s="67">
        <f>390514796.6</f>
        <v>390514796.60000002</v>
      </c>
      <c r="E27" s="110" t="s">
        <v>86</v>
      </c>
      <c r="F27" s="110" t="s">
        <v>86</v>
      </c>
      <c r="G27" s="110" t="s">
        <v>86</v>
      </c>
      <c r="H27" s="110" t="s">
        <v>86</v>
      </c>
      <c r="I27" s="110" t="s">
        <v>86</v>
      </c>
      <c r="J27" s="68">
        <f t="shared" si="0"/>
        <v>1.4889875780490043</v>
      </c>
      <c r="K27" s="68">
        <f t="shared" si="1"/>
        <v>46.683759670707794</v>
      </c>
      <c r="L27" s="26"/>
      <c r="M27" s="34"/>
      <c r="N27" s="34"/>
      <c r="O27" s="34"/>
      <c r="P27" s="34"/>
      <c r="Q27" s="34"/>
    </row>
    <row r="28" spans="2:17" ht="12.75" customHeight="1" outlineLevel="1" x14ac:dyDescent="0.2">
      <c r="B28" s="113" t="s">
        <v>6</v>
      </c>
      <c r="C28" s="21">
        <f>836511025.15</f>
        <v>836511025.14999998</v>
      </c>
      <c r="D28" s="21">
        <f>390514796.6</f>
        <v>390514796.60000002</v>
      </c>
      <c r="E28" s="110" t="s">
        <v>86</v>
      </c>
      <c r="F28" s="110" t="s">
        <v>86</v>
      </c>
      <c r="G28" s="110" t="s">
        <v>86</v>
      </c>
      <c r="H28" s="110" t="s">
        <v>86</v>
      </c>
      <c r="I28" s="110" t="s">
        <v>86</v>
      </c>
      <c r="J28" s="30">
        <f t="shared" si="0"/>
        <v>1.4889875780490043</v>
      </c>
      <c r="K28" s="30">
        <f t="shared" si="1"/>
        <v>46.683759670707794</v>
      </c>
      <c r="L28" s="26"/>
      <c r="M28" s="34"/>
      <c r="N28" s="34"/>
      <c r="O28" s="34"/>
      <c r="P28" s="34"/>
      <c r="Q28" s="34"/>
    </row>
    <row r="29" spans="2:17" ht="22.5" outlineLevel="1" x14ac:dyDescent="0.2">
      <c r="B29" s="114" t="s">
        <v>95</v>
      </c>
      <c r="C29" s="21">
        <f>30131960</f>
        <v>30131960</v>
      </c>
      <c r="D29" s="21">
        <f>33196229.15</f>
        <v>33196229.149999999</v>
      </c>
      <c r="E29" s="110" t="s">
        <v>86</v>
      </c>
      <c r="F29" s="110" t="s">
        <v>86</v>
      </c>
      <c r="G29" s="110" t="s">
        <v>86</v>
      </c>
      <c r="H29" s="110" t="s">
        <v>86</v>
      </c>
      <c r="I29" s="110" t="s">
        <v>86</v>
      </c>
      <c r="J29" s="30">
        <f t="shared" si="0"/>
        <v>0.12657336744412173</v>
      </c>
      <c r="K29" s="30">
        <f t="shared" si="1"/>
        <v>110.16949826695641</v>
      </c>
      <c r="L29" s="26"/>
      <c r="M29" s="34"/>
      <c r="N29" s="34"/>
      <c r="O29" s="34"/>
      <c r="P29" s="34"/>
      <c r="Q29" s="34"/>
    </row>
    <row r="30" spans="2:17" ht="12.75" customHeight="1" outlineLevel="1" x14ac:dyDescent="0.2">
      <c r="B30" s="113" t="s">
        <v>6</v>
      </c>
      <c r="C30" s="21">
        <f>0</f>
        <v>0</v>
      </c>
      <c r="D30" s="21">
        <f>0</f>
        <v>0</v>
      </c>
      <c r="E30" s="110" t="s">
        <v>86</v>
      </c>
      <c r="F30" s="110" t="s">
        <v>86</v>
      </c>
      <c r="G30" s="110" t="s">
        <v>86</v>
      </c>
      <c r="H30" s="110" t="s">
        <v>86</v>
      </c>
      <c r="I30" s="110" t="s">
        <v>86</v>
      </c>
      <c r="J30" s="30">
        <f t="shared" si="0"/>
        <v>0</v>
      </c>
      <c r="K30" s="30" t="str">
        <f t="shared" si="1"/>
        <v/>
      </c>
      <c r="L30" s="26"/>
      <c r="M30" s="34"/>
      <c r="N30" s="34"/>
      <c r="O30" s="34"/>
      <c r="P30" s="34"/>
      <c r="Q30" s="34"/>
    </row>
    <row r="31" spans="2:17" ht="13.5" customHeight="1" outlineLevel="1" x14ac:dyDescent="0.2">
      <c r="B31" s="102" t="s">
        <v>53</v>
      </c>
      <c r="C31" s="55">
        <f>1172945553.57</f>
        <v>1172945553.5699999</v>
      </c>
      <c r="D31" s="55">
        <f>490133166.75</f>
        <v>490133166.75</v>
      </c>
      <c r="E31" s="94" t="s">
        <v>86</v>
      </c>
      <c r="F31" s="94" t="s">
        <v>86</v>
      </c>
      <c r="G31" s="94" t="s">
        <v>86</v>
      </c>
      <c r="H31" s="94" t="s">
        <v>86</v>
      </c>
      <c r="I31" s="94" t="s">
        <v>86</v>
      </c>
      <c r="J31" s="56">
        <f t="shared" si="0"/>
        <v>1.8688208570701088</v>
      </c>
      <c r="K31" s="56">
        <f t="shared" si="1"/>
        <v>41.786523275374648</v>
      </c>
      <c r="L31" s="26"/>
      <c r="M31" s="34"/>
      <c r="N31" s="34"/>
      <c r="O31" s="34"/>
      <c r="P31" s="34"/>
      <c r="Q31" s="34"/>
    </row>
    <row r="32" spans="2:17" ht="12.75" customHeight="1" outlineLevel="1" x14ac:dyDescent="0.2">
      <c r="B32" s="104" t="s">
        <v>54</v>
      </c>
      <c r="C32" s="20">
        <f>472318678</f>
        <v>472318678</v>
      </c>
      <c r="D32" s="20">
        <f>166122521.37</f>
        <v>166122521.37</v>
      </c>
      <c r="E32" s="110" t="s">
        <v>86</v>
      </c>
      <c r="F32" s="110" t="s">
        <v>86</v>
      </c>
      <c r="G32" s="110" t="s">
        <v>86</v>
      </c>
      <c r="H32" s="110" t="s">
        <v>86</v>
      </c>
      <c r="I32" s="110" t="s">
        <v>86</v>
      </c>
      <c r="J32" s="30">
        <f t="shared" si="0"/>
        <v>0.63340588604501102</v>
      </c>
      <c r="K32" s="30">
        <f t="shared" si="1"/>
        <v>35.171702731180154</v>
      </c>
      <c r="L32" s="26"/>
      <c r="M32" s="34"/>
      <c r="N32" s="34"/>
      <c r="O32" s="34"/>
      <c r="P32" s="34"/>
      <c r="Q32" s="34"/>
    </row>
    <row r="33" spans="1:26" ht="14.25" customHeight="1" outlineLevel="1" x14ac:dyDescent="0.2">
      <c r="B33" s="102" t="s">
        <v>66</v>
      </c>
      <c r="C33" s="55">
        <f>4034701587.12</f>
        <v>4034701587.1199999</v>
      </c>
      <c r="D33" s="55">
        <f>2267931795.56</f>
        <v>2267931795.5599999</v>
      </c>
      <c r="E33" s="94" t="s">
        <v>86</v>
      </c>
      <c r="F33" s="94" t="s">
        <v>86</v>
      </c>
      <c r="G33" s="94" t="s">
        <v>86</v>
      </c>
      <c r="H33" s="94" t="s">
        <v>86</v>
      </c>
      <c r="I33" s="94" t="s">
        <v>86</v>
      </c>
      <c r="J33" s="59">
        <f t="shared" si="0"/>
        <v>8.6473606143793784</v>
      </c>
      <c r="K33" s="59">
        <f t="shared" si="1"/>
        <v>56.21064523829795</v>
      </c>
      <c r="L33" s="26"/>
      <c r="M33" s="34"/>
      <c r="N33" s="34"/>
      <c r="O33" s="34"/>
      <c r="P33" s="34"/>
      <c r="Q33" s="34"/>
    </row>
    <row r="34" spans="1:26" ht="12.75" customHeight="1" outlineLevel="1" x14ac:dyDescent="0.2">
      <c r="B34" s="104" t="s">
        <v>67</v>
      </c>
      <c r="C34" s="20">
        <f>2081215402.21</f>
        <v>2081215402.21</v>
      </c>
      <c r="D34" s="20">
        <f>984213476.43</f>
        <v>984213476.42999995</v>
      </c>
      <c r="E34" s="110" t="s">
        <v>86</v>
      </c>
      <c r="F34" s="110" t="s">
        <v>86</v>
      </c>
      <c r="G34" s="110" t="s">
        <v>86</v>
      </c>
      <c r="H34" s="110" t="s">
        <v>86</v>
      </c>
      <c r="I34" s="110" t="s">
        <v>86</v>
      </c>
      <c r="J34" s="30">
        <f t="shared" si="0"/>
        <v>3.7526917118425427</v>
      </c>
      <c r="K34" s="30">
        <f t="shared" si="1"/>
        <v>47.290322538689836</v>
      </c>
      <c r="L34" s="26"/>
      <c r="M34" s="34"/>
      <c r="N34" s="34"/>
      <c r="O34" s="34"/>
      <c r="P34" s="34"/>
      <c r="Q34" s="34"/>
    </row>
    <row r="35" spans="1:26" s="5" customFormat="1" ht="27" customHeight="1" x14ac:dyDescent="0.2">
      <c r="B35" s="96" t="s">
        <v>43</v>
      </c>
      <c r="C35" s="22">
        <f>C36+C37+C38+C39+C40</f>
        <v>6338765549</v>
      </c>
      <c r="D35" s="22">
        <f>D36+D37+D38+D39+D40</f>
        <v>4953702897</v>
      </c>
      <c r="E35" s="94" t="s">
        <v>86</v>
      </c>
      <c r="F35" s="94" t="s">
        <v>86</v>
      </c>
      <c r="G35" s="94" t="s">
        <v>86</v>
      </c>
      <c r="H35" s="94" t="s">
        <v>86</v>
      </c>
      <c r="I35" s="94" t="s">
        <v>86</v>
      </c>
      <c r="J35" s="29">
        <f t="shared" si="0"/>
        <v>18.887893988133627</v>
      </c>
      <c r="K35" s="29">
        <f t="shared" si="1"/>
        <v>78.149331422764064</v>
      </c>
      <c r="L35" s="27"/>
      <c r="M35" s="48"/>
      <c r="N35" s="48"/>
      <c r="O35" s="48"/>
      <c r="P35" s="48"/>
      <c r="Q35" s="48"/>
    </row>
    <row r="36" spans="1:26" ht="12.75" customHeight="1" outlineLevel="1" x14ac:dyDescent="0.2">
      <c r="B36" s="60" t="s">
        <v>29</v>
      </c>
      <c r="C36" s="21">
        <f>1087116135</f>
        <v>1087116135</v>
      </c>
      <c r="D36" s="21">
        <f>919867498</f>
        <v>919867498</v>
      </c>
      <c r="E36" s="110" t="s">
        <v>86</v>
      </c>
      <c r="F36" s="110" t="s">
        <v>86</v>
      </c>
      <c r="G36" s="110" t="s">
        <v>86</v>
      </c>
      <c r="H36" s="110" t="s">
        <v>86</v>
      </c>
      <c r="I36" s="110" t="s">
        <v>86</v>
      </c>
      <c r="J36" s="30">
        <f t="shared" si="0"/>
        <v>3.5073479670885721</v>
      </c>
      <c r="K36" s="30">
        <f t="shared" si="1"/>
        <v>84.615384537549886</v>
      </c>
      <c r="L36" s="27"/>
      <c r="M36" s="34"/>
      <c r="N36" s="34"/>
      <c r="O36" s="34"/>
      <c r="P36" s="34"/>
      <c r="Q36" s="34"/>
    </row>
    <row r="37" spans="1:26" ht="12.75" customHeight="1" outlineLevel="1" x14ac:dyDescent="0.2">
      <c r="B37" s="60" t="s">
        <v>40</v>
      </c>
      <c r="C37" s="21">
        <f>1257099546</f>
        <v>1257099546</v>
      </c>
      <c r="D37" s="21">
        <f>942824655</f>
        <v>942824655</v>
      </c>
      <c r="E37" s="110" t="s">
        <v>86</v>
      </c>
      <c r="F37" s="110" t="s">
        <v>86</v>
      </c>
      <c r="G37" s="110" t="s">
        <v>86</v>
      </c>
      <c r="H37" s="110" t="s">
        <v>86</v>
      </c>
      <c r="I37" s="110" t="s">
        <v>86</v>
      </c>
      <c r="J37" s="30">
        <f t="shared" si="0"/>
        <v>3.5948809412496869</v>
      </c>
      <c r="K37" s="30">
        <f t="shared" si="1"/>
        <v>74.999999642033117</v>
      </c>
      <c r="L37" s="27"/>
      <c r="M37" s="34"/>
      <c r="N37" s="34"/>
      <c r="O37" s="34"/>
      <c r="P37" s="34"/>
      <c r="Q37" s="34"/>
    </row>
    <row r="38" spans="1:26" ht="12.75" customHeight="1" outlineLevel="1" x14ac:dyDescent="0.2">
      <c r="B38" s="60" t="s">
        <v>30</v>
      </c>
      <c r="C38" s="21">
        <f>3511396385</f>
        <v>3511396385</v>
      </c>
      <c r="D38" s="21">
        <f>2633547294</f>
        <v>2633547294</v>
      </c>
      <c r="E38" s="110" t="s">
        <v>86</v>
      </c>
      <c r="F38" s="110" t="s">
        <v>86</v>
      </c>
      <c r="G38" s="110" t="s">
        <v>86</v>
      </c>
      <c r="H38" s="110" t="s">
        <v>86</v>
      </c>
      <c r="I38" s="110" t="s">
        <v>86</v>
      </c>
      <c r="J38" s="30">
        <f t="shared" si="0"/>
        <v>10.041410059519801</v>
      </c>
      <c r="K38" s="30">
        <f t="shared" si="1"/>
        <v>75.00000014951317</v>
      </c>
      <c r="L38" s="27"/>
      <c r="M38" s="34"/>
      <c r="N38" s="34"/>
      <c r="O38" s="34"/>
      <c r="P38" s="34"/>
      <c r="Q38" s="34"/>
    </row>
    <row r="39" spans="1:26" ht="12.75" customHeight="1" outlineLevel="1" x14ac:dyDescent="0.2">
      <c r="B39" s="60" t="s">
        <v>105</v>
      </c>
      <c r="C39" s="21">
        <f>102760201</f>
        <v>102760201</v>
      </c>
      <c r="D39" s="21">
        <f>77070168</f>
        <v>77070168</v>
      </c>
      <c r="E39" s="110" t="s">
        <v>86</v>
      </c>
      <c r="F39" s="110" t="s">
        <v>86</v>
      </c>
      <c r="G39" s="110" t="s">
        <v>86</v>
      </c>
      <c r="H39" s="110" t="s">
        <v>86</v>
      </c>
      <c r="I39" s="110" t="s">
        <v>86</v>
      </c>
      <c r="J39" s="30">
        <f t="shared" si="0"/>
        <v>0.29385960222063934</v>
      </c>
      <c r="K39" s="30">
        <f>IF(C39=0,"",100*D39/C39)</f>
        <v>75.000016786654598</v>
      </c>
      <c r="L39" s="27"/>
      <c r="M39" s="34"/>
      <c r="N39" s="34"/>
      <c r="O39" s="34"/>
      <c r="P39" s="34"/>
      <c r="Q39" s="34"/>
    </row>
    <row r="40" spans="1:26" s="5" customFormat="1" ht="12.75" customHeight="1" outlineLevel="1" x14ac:dyDescent="0.2">
      <c r="B40" s="60" t="s">
        <v>28</v>
      </c>
      <c r="C40" s="21">
        <f>380393282</f>
        <v>380393282</v>
      </c>
      <c r="D40" s="21">
        <f>380393282</f>
        <v>380393282</v>
      </c>
      <c r="E40" s="110" t="s">
        <v>86</v>
      </c>
      <c r="F40" s="110" t="s">
        <v>86</v>
      </c>
      <c r="G40" s="110" t="s">
        <v>86</v>
      </c>
      <c r="H40" s="110" t="s">
        <v>86</v>
      </c>
      <c r="I40" s="110" t="s">
        <v>86</v>
      </c>
      <c r="J40" s="30">
        <f t="shared" si="0"/>
        <v>1.4503954180549272</v>
      </c>
      <c r="K40" s="30">
        <f>IF(C40=0,"",100*D40/C40)</f>
        <v>100</v>
      </c>
      <c r="L40" s="27"/>
      <c r="M40" s="48"/>
      <c r="N40" s="48"/>
      <c r="O40" s="48"/>
      <c r="P40" s="48"/>
      <c r="Q40" s="48"/>
    </row>
    <row r="41" spans="1:26" s="5" customFormat="1" x14ac:dyDescent="0.2">
      <c r="B41" s="98" t="s">
        <v>93</v>
      </c>
      <c r="C41" s="55">
        <f>+C5</f>
        <v>36374545937.330002</v>
      </c>
      <c r="D41" s="55">
        <f>+D5</f>
        <v>26226867326.299999</v>
      </c>
      <c r="E41" s="94" t="s">
        <v>86</v>
      </c>
      <c r="F41" s="94" t="s">
        <v>86</v>
      </c>
      <c r="G41" s="94" t="s">
        <v>86</v>
      </c>
      <c r="H41" s="94" t="s">
        <v>86</v>
      </c>
      <c r="I41" s="94" t="s">
        <v>86</v>
      </c>
      <c r="J41" s="59">
        <f>IF($D$5=0,"",100*$D41/$D$41)</f>
        <v>100</v>
      </c>
      <c r="K41" s="91">
        <f t="shared" si="1"/>
        <v>72.102253513999827</v>
      </c>
      <c r="L41" s="93"/>
      <c r="M41" s="48"/>
      <c r="N41" s="48"/>
      <c r="O41" s="48"/>
      <c r="P41" s="48"/>
      <c r="Q41" s="48"/>
    </row>
    <row r="42" spans="1:26" s="5" customFormat="1" x14ac:dyDescent="0.2">
      <c r="B42" s="99" t="s">
        <v>56</v>
      </c>
      <c r="C42" s="21">
        <f>4866431668.95</f>
        <v>4866431668.9499998</v>
      </c>
      <c r="D42" s="21">
        <f>2373515152.09</f>
        <v>2373515152.0900002</v>
      </c>
      <c r="E42" s="110" t="s">
        <v>86</v>
      </c>
      <c r="F42" s="110" t="s">
        <v>86</v>
      </c>
      <c r="G42" s="110" t="s">
        <v>86</v>
      </c>
      <c r="H42" s="110" t="s">
        <v>86</v>
      </c>
      <c r="I42" s="110" t="s">
        <v>86</v>
      </c>
      <c r="J42" s="30">
        <f>IF($D$5=0,"",100*$D42/$D$41)</f>
        <v>9.0499376938925007</v>
      </c>
      <c r="K42" s="92">
        <f t="shared" si="1"/>
        <v>48.773214411579701</v>
      </c>
      <c r="L42" s="93"/>
      <c r="M42" s="48"/>
      <c r="N42" s="48"/>
      <c r="O42" s="48"/>
      <c r="P42" s="48"/>
      <c r="Q42" s="48"/>
    </row>
    <row r="43" spans="1:26" s="5" customFormat="1" x14ac:dyDescent="0.2">
      <c r="A43" s="2"/>
      <c r="B43" s="99" t="s">
        <v>57</v>
      </c>
      <c r="C43" s="21">
        <f>C41-C42</f>
        <v>31508114268.380001</v>
      </c>
      <c r="D43" s="21">
        <f>D41-D42</f>
        <v>23853352174.209999</v>
      </c>
      <c r="E43" s="110" t="s">
        <v>86</v>
      </c>
      <c r="F43" s="110" t="s">
        <v>86</v>
      </c>
      <c r="G43" s="110" t="s">
        <v>86</v>
      </c>
      <c r="H43" s="110" t="s">
        <v>86</v>
      </c>
      <c r="I43" s="110" t="s">
        <v>86</v>
      </c>
      <c r="J43" s="30">
        <f>IF($D$5=0,"",100*$D43/$D$41)</f>
        <v>90.950062306107498</v>
      </c>
      <c r="K43" s="92">
        <f t="shared" si="1"/>
        <v>75.705426135730548</v>
      </c>
      <c r="L43" s="93"/>
      <c r="M43" s="49"/>
      <c r="N43" s="49"/>
      <c r="O43" s="50"/>
      <c r="P43" s="50"/>
      <c r="Q43" s="19"/>
    </row>
    <row r="44" spans="1:26" s="5" customFormat="1" x14ac:dyDescent="0.2">
      <c r="A44" s="2"/>
      <c r="B44" s="119" t="s">
        <v>96</v>
      </c>
      <c r="C44" s="87"/>
      <c r="D44" s="87"/>
      <c r="E44" s="118"/>
      <c r="F44" s="118"/>
      <c r="G44" s="118"/>
      <c r="H44" s="118"/>
      <c r="I44" s="118"/>
      <c r="J44" s="58"/>
      <c r="K44" s="58"/>
      <c r="L44" s="58"/>
      <c r="M44" s="49"/>
      <c r="N44" s="49"/>
      <c r="O44" s="50"/>
      <c r="P44" s="50"/>
      <c r="Q44" s="19"/>
    </row>
    <row r="45" spans="1:26" ht="18" customHeight="1" x14ac:dyDescent="0.2">
      <c r="B45" s="100" t="str">
        <f>CONCATENATE("Informacja z wykonania budżetów województw za ",$D$105," ",$C$106," rok    ",$C$108,"")</f>
        <v xml:space="preserve">Informacja z wykonania budżetów województw za III Kwartały 2024 rok    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</row>
    <row r="46" spans="1:26" s="5" customFormat="1" ht="10.5" customHeight="1" x14ac:dyDescent="0.2">
      <c r="B46" s="6"/>
      <c r="C46" s="7"/>
      <c r="D46" s="8"/>
      <c r="E46" s="8"/>
      <c r="F46" s="4"/>
      <c r="G46" s="4"/>
      <c r="H46" s="4"/>
      <c r="I46" s="4"/>
      <c r="J46" s="4"/>
      <c r="K46" s="9"/>
      <c r="L46" s="9"/>
      <c r="M46" s="3"/>
    </row>
    <row r="47" spans="1:26" ht="29.25" customHeight="1" x14ac:dyDescent="0.2">
      <c r="B47" s="150" t="s">
        <v>0</v>
      </c>
      <c r="C47" s="123" t="s">
        <v>36</v>
      </c>
      <c r="D47" s="123" t="s">
        <v>38</v>
      </c>
      <c r="E47" s="123" t="s">
        <v>37</v>
      </c>
      <c r="F47" s="123" t="s">
        <v>12</v>
      </c>
      <c r="G47" s="123"/>
      <c r="H47" s="123"/>
      <c r="I47" s="145" t="s">
        <v>68</v>
      </c>
      <c r="J47" s="123" t="s">
        <v>2</v>
      </c>
      <c r="K47" s="149" t="s">
        <v>18</v>
      </c>
      <c r="M47" s="10"/>
      <c r="N47" s="4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8" customHeight="1" x14ac:dyDescent="0.2">
      <c r="B48" s="150"/>
      <c r="C48" s="123"/>
      <c r="D48" s="123"/>
      <c r="E48" s="125"/>
      <c r="F48" s="126" t="s">
        <v>39</v>
      </c>
      <c r="G48" s="124" t="s">
        <v>24</v>
      </c>
      <c r="H48" s="125"/>
      <c r="I48" s="146"/>
      <c r="J48" s="123"/>
      <c r="K48" s="149"/>
      <c r="L48" s="11"/>
      <c r="M48" s="12"/>
      <c r="N48" s="49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55.5" customHeight="1" x14ac:dyDescent="0.2">
      <c r="B49" s="150"/>
      <c r="C49" s="123"/>
      <c r="D49" s="123"/>
      <c r="E49" s="125"/>
      <c r="F49" s="125"/>
      <c r="G49" s="15" t="s">
        <v>34</v>
      </c>
      <c r="H49" s="15" t="s">
        <v>35</v>
      </c>
      <c r="I49" s="147"/>
      <c r="J49" s="123"/>
      <c r="K49" s="149"/>
      <c r="L49" s="11"/>
      <c r="M49" s="10"/>
      <c r="N49" s="49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3.5" customHeight="1" x14ac:dyDescent="0.2">
      <c r="B50" s="150"/>
      <c r="C50" s="142" t="s">
        <v>60</v>
      </c>
      <c r="D50" s="143"/>
      <c r="E50" s="143"/>
      <c r="F50" s="143"/>
      <c r="G50" s="143"/>
      <c r="H50" s="143"/>
      <c r="I50" s="144"/>
      <c r="J50" s="148" t="s">
        <v>4</v>
      </c>
      <c r="K50" s="148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11.25" customHeight="1" x14ac:dyDescent="0.2">
      <c r="B51" s="14">
        <v>1</v>
      </c>
      <c r="C51" s="16">
        <v>2</v>
      </c>
      <c r="D51" s="16">
        <v>3</v>
      </c>
      <c r="E51" s="16">
        <v>4</v>
      </c>
      <c r="F51" s="14">
        <v>5</v>
      </c>
      <c r="G51" s="14">
        <v>6</v>
      </c>
      <c r="H51" s="16">
        <v>7</v>
      </c>
      <c r="I51" s="16">
        <v>8</v>
      </c>
      <c r="J51" s="14">
        <v>9</v>
      </c>
      <c r="K51" s="16">
        <v>10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2:26" ht="27" customHeight="1" x14ac:dyDescent="0.2">
      <c r="B52" s="95" t="s">
        <v>44</v>
      </c>
      <c r="C52" s="61">
        <f>39024102145.33</f>
        <v>39024102145.330002</v>
      </c>
      <c r="D52" s="72">
        <f>19853599131.53</f>
        <v>19853599131.529999</v>
      </c>
      <c r="E52" s="72">
        <f>31266878089.19</f>
        <v>31266878089.189999</v>
      </c>
      <c r="F52" s="61">
        <f>728843690.32</f>
        <v>728843690.32000005</v>
      </c>
      <c r="G52" s="61">
        <f>199.43</f>
        <v>199.43</v>
      </c>
      <c r="H52" s="61">
        <f>161548.5</f>
        <v>161548.5</v>
      </c>
      <c r="I52" s="73">
        <f>0</f>
        <v>0</v>
      </c>
      <c r="J52" s="47">
        <f>IF($D$52=0,"",100*$D52/$D$52)</f>
        <v>100</v>
      </c>
      <c r="K52" s="47">
        <f>IF(C52=0,"",100*D52/C52)</f>
        <v>50.875223362200714</v>
      </c>
      <c r="L52" s="34"/>
      <c r="O52" s="88"/>
    </row>
    <row r="53" spans="2:26" x14ac:dyDescent="0.2">
      <c r="B53" s="96" t="s">
        <v>14</v>
      </c>
      <c r="C53" s="23">
        <f>14424871857.38</f>
        <v>14424871857.379999</v>
      </c>
      <c r="D53" s="23">
        <f>4840202462.49</f>
        <v>4840202462.4899998</v>
      </c>
      <c r="E53" s="23">
        <f>11081835496.55</f>
        <v>11081835496.549999</v>
      </c>
      <c r="F53" s="23">
        <f>395604000.04</f>
        <v>395604000.04000002</v>
      </c>
      <c r="G53" s="23">
        <f>0</f>
        <v>0</v>
      </c>
      <c r="H53" s="23">
        <f>56497.04</f>
        <v>56497.04</v>
      </c>
      <c r="I53" s="74">
        <f>0</f>
        <v>0</v>
      </c>
      <c r="J53" s="47">
        <f t="shared" ref="J53:J61" si="2">IF($D$52=0,"",100*$D53/$D$52)</f>
        <v>24.379471099540602</v>
      </c>
      <c r="K53" s="47">
        <f t="shared" ref="K53:K61" si="3">IF(C53=0,"",100*D53/C53)</f>
        <v>33.554561249108595</v>
      </c>
      <c r="L53" s="34"/>
      <c r="O53" s="81"/>
    </row>
    <row r="54" spans="2:26" ht="12.75" customHeight="1" outlineLevel="1" x14ac:dyDescent="0.2">
      <c r="B54" s="28" t="s">
        <v>13</v>
      </c>
      <c r="C54" s="20">
        <f>13818800787.38</f>
        <v>13818800787.379999</v>
      </c>
      <c r="D54" s="20">
        <f>4496828314</f>
        <v>4496828314</v>
      </c>
      <c r="E54" s="20">
        <f>10705794813.5</f>
        <v>10705794813.5</v>
      </c>
      <c r="F54" s="20">
        <f>395604000.04</f>
        <v>395604000.04000002</v>
      </c>
      <c r="G54" s="20">
        <f>0</f>
        <v>0</v>
      </c>
      <c r="H54" s="20">
        <f>56497.04</f>
        <v>56497.04</v>
      </c>
      <c r="I54" s="75">
        <f>0</f>
        <v>0</v>
      </c>
      <c r="J54" s="47">
        <f t="shared" si="2"/>
        <v>22.649940115182815</v>
      </c>
      <c r="K54" s="47">
        <f t="shared" si="3"/>
        <v>32.541378830113267</v>
      </c>
      <c r="L54" s="34"/>
      <c r="O54" s="87"/>
    </row>
    <row r="55" spans="2:26" ht="27" customHeight="1" x14ac:dyDescent="0.2">
      <c r="B55" s="96" t="s">
        <v>45</v>
      </c>
      <c r="C55" s="23">
        <f t="shared" ref="C55:I55" si="4">C52-C53</f>
        <v>24599230287.950005</v>
      </c>
      <c r="D55" s="23">
        <f>D52-D53</f>
        <v>15013396669.039999</v>
      </c>
      <c r="E55" s="23">
        <f>E52-E53</f>
        <v>20185042592.639999</v>
      </c>
      <c r="F55" s="23">
        <f t="shared" si="4"/>
        <v>333239690.28000003</v>
      </c>
      <c r="G55" s="23">
        <f t="shared" si="4"/>
        <v>199.43</v>
      </c>
      <c r="H55" s="23">
        <f t="shared" si="4"/>
        <v>105051.45999999999</v>
      </c>
      <c r="I55" s="74">
        <f t="shared" si="4"/>
        <v>0</v>
      </c>
      <c r="J55" s="47">
        <f t="shared" si="2"/>
        <v>75.620528900459405</v>
      </c>
      <c r="K55" s="47">
        <f t="shared" si="3"/>
        <v>61.031977396440531</v>
      </c>
      <c r="L55" s="34"/>
      <c r="O55" s="81"/>
    </row>
    <row r="56" spans="2:26" ht="22.5" outlineLevel="1" x14ac:dyDescent="0.2">
      <c r="B56" s="28" t="s">
        <v>79</v>
      </c>
      <c r="C56" s="20">
        <f>5800759604.98</f>
        <v>5800759604.9799995</v>
      </c>
      <c r="D56" s="20">
        <f>3976400041.78</f>
        <v>3976400041.7800002</v>
      </c>
      <c r="E56" s="20">
        <f>5260306177.02</f>
        <v>5260306177.0200005</v>
      </c>
      <c r="F56" s="20">
        <f>73464141.16</f>
        <v>73464141.159999996</v>
      </c>
      <c r="G56" s="20">
        <f>199.43</f>
        <v>199.43</v>
      </c>
      <c r="H56" s="20">
        <f>3258.97</f>
        <v>3258.97</v>
      </c>
      <c r="I56" s="75">
        <f>0</f>
        <v>0</v>
      </c>
      <c r="J56" s="47">
        <f t="shared" si="2"/>
        <v>20.028610507527471</v>
      </c>
      <c r="K56" s="47">
        <f t="shared" si="3"/>
        <v>68.54964371159646</v>
      </c>
      <c r="L56" s="34"/>
      <c r="O56" s="87"/>
    </row>
    <row r="57" spans="2:26" ht="12.75" customHeight="1" outlineLevel="1" x14ac:dyDescent="0.2">
      <c r="B57" s="60" t="s">
        <v>33</v>
      </c>
      <c r="C57" s="62">
        <f>9496280077.57</f>
        <v>9496280077.5699997</v>
      </c>
      <c r="D57" s="62">
        <f>6519904444.42</f>
        <v>6519904444.4200001</v>
      </c>
      <c r="E57" s="62">
        <f>8518011048.17</f>
        <v>8518011048.1700001</v>
      </c>
      <c r="F57" s="62">
        <f>2046452.92</f>
        <v>2046452.92</v>
      </c>
      <c r="G57" s="62">
        <f>0</f>
        <v>0</v>
      </c>
      <c r="H57" s="62">
        <f>0</f>
        <v>0</v>
      </c>
      <c r="I57" s="76">
        <f>0</f>
        <v>0</v>
      </c>
      <c r="J57" s="47">
        <f t="shared" si="2"/>
        <v>32.839911802518344</v>
      </c>
      <c r="K57" s="47">
        <f t="shared" si="3"/>
        <v>68.657457353431141</v>
      </c>
      <c r="L57" s="34"/>
      <c r="O57" s="81"/>
    </row>
    <row r="58" spans="2:26" ht="12.75" customHeight="1" outlineLevel="1" x14ac:dyDescent="0.2">
      <c r="B58" s="60" t="s">
        <v>32</v>
      </c>
      <c r="C58" s="21">
        <f>396765515.42</f>
        <v>396765515.42000002</v>
      </c>
      <c r="D58" s="21">
        <f>186897499.5</f>
        <v>186897499.5</v>
      </c>
      <c r="E58" s="21">
        <f>252722514.86</f>
        <v>252722514.86000001</v>
      </c>
      <c r="F58" s="21">
        <f>11270547.53</f>
        <v>11270547.529999999</v>
      </c>
      <c r="G58" s="21">
        <f>0</f>
        <v>0</v>
      </c>
      <c r="H58" s="21">
        <f>0</f>
        <v>0</v>
      </c>
      <c r="I58" s="77">
        <f>0</f>
        <v>0</v>
      </c>
      <c r="J58" s="47">
        <f t="shared" si="2"/>
        <v>0.94137842847437869</v>
      </c>
      <c r="K58" s="47">
        <f t="shared" si="3"/>
        <v>47.105278114242822</v>
      </c>
      <c r="L58" s="34"/>
      <c r="O58" s="87"/>
    </row>
    <row r="59" spans="2:26" ht="22.5" customHeight="1" outlineLevel="1" x14ac:dyDescent="0.2">
      <c r="B59" s="60" t="s">
        <v>51</v>
      </c>
      <c r="C59" s="62">
        <f>79738469.39</f>
        <v>79738469.390000001</v>
      </c>
      <c r="D59" s="62">
        <f>17023165.85</f>
        <v>17023165.850000001</v>
      </c>
      <c r="E59" s="62">
        <f>24623321.43</f>
        <v>24623321.43</v>
      </c>
      <c r="F59" s="62">
        <f>0</f>
        <v>0</v>
      </c>
      <c r="G59" s="62">
        <f>0</f>
        <v>0</v>
      </c>
      <c r="H59" s="62">
        <f>0</f>
        <v>0</v>
      </c>
      <c r="I59" s="76">
        <f>0</f>
        <v>0</v>
      </c>
      <c r="J59" s="47">
        <f t="shared" si="2"/>
        <v>8.5743475211832426E-2</v>
      </c>
      <c r="K59" s="47">
        <f t="shared" si="3"/>
        <v>21.348749205029105</v>
      </c>
      <c r="L59" s="34"/>
      <c r="O59" s="81"/>
    </row>
    <row r="60" spans="2:26" ht="22.5" outlineLevel="1" x14ac:dyDescent="0.2">
      <c r="B60" s="60" t="s">
        <v>52</v>
      </c>
      <c r="C60" s="62">
        <f>206198148.05</f>
        <v>206198148.05000001</v>
      </c>
      <c r="D60" s="62">
        <f>114540085.94</f>
        <v>114540085.94</v>
      </c>
      <c r="E60" s="62">
        <f>126693669.73</f>
        <v>126693669.73</v>
      </c>
      <c r="F60" s="62">
        <f>658285.37</f>
        <v>658285.37</v>
      </c>
      <c r="G60" s="62">
        <f>0</f>
        <v>0</v>
      </c>
      <c r="H60" s="62">
        <f>0</f>
        <v>0</v>
      </c>
      <c r="I60" s="69">
        <f>0</f>
        <v>0</v>
      </c>
      <c r="J60" s="47">
        <f t="shared" si="2"/>
        <v>0.5769235350284474</v>
      </c>
      <c r="K60" s="47">
        <f t="shared" si="3"/>
        <v>55.548552216980006</v>
      </c>
      <c r="L60" s="34"/>
      <c r="O60" s="81"/>
    </row>
    <row r="61" spans="2:26" ht="12.75" customHeight="1" outlineLevel="1" x14ac:dyDescent="0.2">
      <c r="B61" s="60" t="s">
        <v>31</v>
      </c>
      <c r="C61" s="21">
        <f t="shared" ref="C61:I61" si="5">C55-C56-C57-C58-C59-C60</f>
        <v>8619488472.5400066</v>
      </c>
      <c r="D61" s="21">
        <f>D55-D56-D57-D58-D59-D60</f>
        <v>4198631431.5499978</v>
      </c>
      <c r="E61" s="78">
        <f>E55-E56-E57-E58-E59-E60</f>
        <v>6002685861.4299994</v>
      </c>
      <c r="F61" s="78">
        <f t="shared" si="5"/>
        <v>245800263.30000004</v>
      </c>
      <c r="G61" s="78">
        <f t="shared" si="5"/>
        <v>0</v>
      </c>
      <c r="H61" s="78">
        <f t="shared" si="5"/>
        <v>101792.48999999999</v>
      </c>
      <c r="I61" s="79">
        <f t="shared" si="5"/>
        <v>0</v>
      </c>
      <c r="J61" s="80">
        <f t="shared" si="2"/>
        <v>21.147961151698915</v>
      </c>
      <c r="K61" s="47">
        <f t="shared" si="3"/>
        <v>48.710911847333058</v>
      </c>
      <c r="L61" s="34"/>
      <c r="O61" s="87"/>
    </row>
    <row r="62" spans="2:26" x14ac:dyDescent="0.2">
      <c r="B62" s="17" t="s">
        <v>15</v>
      </c>
      <c r="C62" s="115">
        <f>C5-C52</f>
        <v>-2649556208</v>
      </c>
      <c r="D62" s="115">
        <f>D5-D52</f>
        <v>6373268194.7700005</v>
      </c>
      <c r="E62" s="84"/>
      <c r="F62" s="85"/>
      <c r="G62" s="85"/>
      <c r="H62" s="85"/>
      <c r="I62" s="141"/>
      <c r="J62" s="141"/>
      <c r="K62" s="25"/>
      <c r="L62" s="25"/>
      <c r="M62" s="51"/>
    </row>
    <row r="63" spans="2:26" ht="38.25" x14ac:dyDescent="0.2">
      <c r="B63" s="97" t="s">
        <v>94</v>
      </c>
      <c r="C63" s="115">
        <f>+C43-C55</f>
        <v>6908883980.4299965</v>
      </c>
      <c r="D63" s="115">
        <f>+D43-D55</f>
        <v>8839955505.1700001</v>
      </c>
      <c r="E63" s="83"/>
      <c r="F63" s="82"/>
      <c r="G63" s="82"/>
      <c r="H63" s="82"/>
      <c r="I63" s="128"/>
      <c r="J63" s="129"/>
      <c r="K63" s="34"/>
      <c r="L63" s="52"/>
      <c r="M63" s="52"/>
    </row>
    <row r="64" spans="2:26" ht="13.5" customHeight="1" x14ac:dyDescent="0.2">
      <c r="B64" s="53"/>
      <c r="C64" s="54"/>
      <c r="D64" s="54"/>
      <c r="E64" s="54"/>
      <c r="F64" s="18"/>
      <c r="G64" s="18"/>
      <c r="H64" s="18"/>
      <c r="I64" s="18"/>
      <c r="J64" s="34"/>
      <c r="K64" s="34"/>
      <c r="L64" s="52"/>
      <c r="M64" s="52"/>
    </row>
    <row r="65" spans="2:13" ht="12" customHeight="1" x14ac:dyDescent="0.2">
      <c r="B65" s="116" t="s">
        <v>97</v>
      </c>
      <c r="C65" s="54"/>
      <c r="D65" s="54"/>
      <c r="E65" s="54"/>
      <c r="F65" s="18"/>
      <c r="G65" s="18"/>
      <c r="H65" s="18"/>
      <c r="I65" s="18"/>
      <c r="J65" s="34"/>
      <c r="K65" s="34"/>
      <c r="L65" s="52"/>
      <c r="M65" s="52"/>
    </row>
    <row r="66" spans="2:13" ht="27" customHeight="1" x14ac:dyDescent="0.2">
      <c r="B66" s="117" t="s">
        <v>69</v>
      </c>
      <c r="C66" s="115">
        <f>6300311135.44</f>
        <v>6300311135.4399996</v>
      </c>
      <c r="D66" s="115">
        <f>2391053362.86</f>
        <v>2391053362.8600001</v>
      </c>
      <c r="E66" s="23">
        <f>4226801022.84</f>
        <v>4226801022.8400002</v>
      </c>
      <c r="F66" s="23">
        <f>142733216.18</f>
        <v>142733216.18000001</v>
      </c>
      <c r="G66" s="23">
        <f>0</f>
        <v>0</v>
      </c>
      <c r="H66" s="23">
        <f>0</f>
        <v>0</v>
      </c>
      <c r="I66" s="86">
        <f>0</f>
        <v>0</v>
      </c>
      <c r="J66" s="32">
        <f>IF($D$66=0,"",100*$D66/$D$66)</f>
        <v>100</v>
      </c>
      <c r="K66" s="32">
        <f>IF(C66=0,"",100*D66/C66)</f>
        <v>37.951353694423766</v>
      </c>
      <c r="L66" s="52"/>
    </row>
    <row r="67" spans="2:13" ht="12.75" customHeight="1" x14ac:dyDescent="0.2">
      <c r="B67" s="101" t="s">
        <v>58</v>
      </c>
      <c r="C67" s="62">
        <f>3106917717.66</f>
        <v>3106917717.6599998</v>
      </c>
      <c r="D67" s="62">
        <f>866779954.45</f>
        <v>866779954.45000005</v>
      </c>
      <c r="E67" s="62">
        <f>2084837938.85</f>
        <v>2084837938.8499999</v>
      </c>
      <c r="F67" s="62">
        <f>126802882.37</f>
        <v>126802882.37</v>
      </c>
      <c r="G67" s="62">
        <f>0</f>
        <v>0</v>
      </c>
      <c r="H67" s="62">
        <f>0</f>
        <v>0</v>
      </c>
      <c r="I67" s="69">
        <f>0</f>
        <v>0</v>
      </c>
      <c r="J67" s="32">
        <f>IF($D$66=0,"",100*$D67/$D$66)</f>
        <v>36.250966536908329</v>
      </c>
      <c r="K67" s="32">
        <f>IF(C67=0,"",100*D67/C67)</f>
        <v>27.898387830586717</v>
      </c>
      <c r="L67" s="34"/>
    </row>
    <row r="68" spans="2:13" ht="12.75" customHeight="1" x14ac:dyDescent="0.2">
      <c r="B68" s="101" t="s">
        <v>59</v>
      </c>
      <c r="C68" s="62">
        <f t="shared" ref="C68:I68" si="6">C66-C67</f>
        <v>3193393417.7799997</v>
      </c>
      <c r="D68" s="62">
        <f t="shared" si="6"/>
        <v>1524273408.4100001</v>
      </c>
      <c r="E68" s="62">
        <f t="shared" si="6"/>
        <v>2141963083.9900002</v>
      </c>
      <c r="F68" s="62">
        <f t="shared" si="6"/>
        <v>15930333.810000002</v>
      </c>
      <c r="G68" s="62">
        <f t="shared" si="6"/>
        <v>0</v>
      </c>
      <c r="H68" s="62">
        <f t="shared" si="6"/>
        <v>0</v>
      </c>
      <c r="I68" s="71">
        <f t="shared" si="6"/>
        <v>0</v>
      </c>
      <c r="J68" s="32">
        <f>IF($D$66=0,"",100*$D68/$D$66)</f>
        <v>63.749033463091664</v>
      </c>
      <c r="K68" s="32">
        <f>IF(C68=0,"",100*D68/C68)</f>
        <v>47.732089629897608</v>
      </c>
      <c r="L68" s="34"/>
    </row>
    <row r="69" spans="2:13" ht="18" customHeight="1" x14ac:dyDescent="0.2">
      <c r="B69" s="100" t="str">
        <f>CONCATENATE("Informacja z wykonania budżetów województw za ",$D$105," ",$C$106," rok    ",$C$108,"")</f>
        <v xml:space="preserve">Informacja z wykonania budżetów województw za III Kwartały 2024 rok    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</row>
    <row r="70" spans="2:13" ht="6" customHeight="1" x14ac:dyDescent="0.2"/>
    <row r="71" spans="2:13" x14ac:dyDescent="0.2">
      <c r="B71" s="37" t="s">
        <v>16</v>
      </c>
      <c r="C71" s="70" t="s">
        <v>17</v>
      </c>
      <c r="D71" s="70" t="s">
        <v>1</v>
      </c>
      <c r="E71" s="130" t="s">
        <v>86</v>
      </c>
      <c r="F71" s="131"/>
      <c r="G71" s="131"/>
      <c r="H71" s="131"/>
      <c r="I71" s="132"/>
      <c r="J71" s="16" t="s">
        <v>22</v>
      </c>
      <c r="K71" s="16" t="s">
        <v>23</v>
      </c>
    </row>
    <row r="72" spans="2:13" x14ac:dyDescent="0.2">
      <c r="B72" s="37"/>
      <c r="C72" s="126" t="s">
        <v>60</v>
      </c>
      <c r="D72" s="127"/>
      <c r="E72" s="133"/>
      <c r="F72" s="134"/>
      <c r="G72" s="134"/>
      <c r="H72" s="134"/>
      <c r="I72" s="135"/>
      <c r="J72" s="139" t="s">
        <v>4</v>
      </c>
      <c r="K72" s="140"/>
    </row>
    <row r="73" spans="2:13" x14ac:dyDescent="0.2">
      <c r="B73" s="35">
        <v>1</v>
      </c>
      <c r="C73" s="89">
        <v>2</v>
      </c>
      <c r="D73" s="89">
        <v>3</v>
      </c>
      <c r="E73" s="136"/>
      <c r="F73" s="137"/>
      <c r="G73" s="137"/>
      <c r="H73" s="137"/>
      <c r="I73" s="138"/>
      <c r="J73" s="36">
        <v>4</v>
      </c>
      <c r="K73" s="36">
        <v>5</v>
      </c>
    </row>
    <row r="74" spans="2:13" ht="27" customHeight="1" x14ac:dyDescent="0.2">
      <c r="B74" s="90" t="s">
        <v>46</v>
      </c>
      <c r="C74" s="39">
        <f>4051591826</f>
        <v>4051591826</v>
      </c>
      <c r="D74" s="39">
        <f>4441609414.76</f>
        <v>4441609414.7600002</v>
      </c>
      <c r="E74" s="108" t="s">
        <v>86</v>
      </c>
      <c r="F74" s="108" t="s">
        <v>86</v>
      </c>
      <c r="G74" s="108" t="s">
        <v>86</v>
      </c>
      <c r="H74" s="108" t="s">
        <v>86</v>
      </c>
      <c r="I74" s="108" t="s">
        <v>86</v>
      </c>
      <c r="J74" s="38">
        <f>IF($D$74=0,"",100*$D74/$D$74)</f>
        <v>100</v>
      </c>
      <c r="K74" s="31">
        <f t="shared" ref="K74:K88" si="7">IF(C74=0,"",100*D74/C74)</f>
        <v>109.62628037348597</v>
      </c>
    </row>
    <row r="75" spans="2:13" ht="33.75" x14ac:dyDescent="0.2">
      <c r="B75" s="105" t="s">
        <v>102</v>
      </c>
      <c r="C75" s="40">
        <f>2026000000</f>
        <v>2026000000</v>
      </c>
      <c r="D75" s="40">
        <f>0</f>
        <v>0</v>
      </c>
      <c r="E75" s="109" t="s">
        <v>86</v>
      </c>
      <c r="F75" s="109" t="s">
        <v>86</v>
      </c>
      <c r="G75" s="109" t="s">
        <v>86</v>
      </c>
      <c r="H75" s="109" t="s">
        <v>86</v>
      </c>
      <c r="I75" s="109" t="s">
        <v>86</v>
      </c>
      <c r="J75" s="45">
        <f t="shared" ref="J75:J84" si="8">IF($D$74=0,"",100*$D75/$D$74)</f>
        <v>0</v>
      </c>
      <c r="K75" s="46">
        <f t="shared" si="7"/>
        <v>0</v>
      </c>
    </row>
    <row r="76" spans="2:13" ht="22.5" x14ac:dyDescent="0.2">
      <c r="B76" s="106" t="s">
        <v>70</v>
      </c>
      <c r="C76" s="64">
        <f>1000000000</f>
        <v>1000000000</v>
      </c>
      <c r="D76" s="64">
        <f>0</f>
        <v>0</v>
      </c>
      <c r="E76" s="109" t="s">
        <v>86</v>
      </c>
      <c r="F76" s="109" t="s">
        <v>86</v>
      </c>
      <c r="G76" s="109" t="s">
        <v>86</v>
      </c>
      <c r="H76" s="109" t="s">
        <v>86</v>
      </c>
      <c r="I76" s="109" t="s">
        <v>86</v>
      </c>
      <c r="J76" s="65">
        <f t="shared" si="8"/>
        <v>0</v>
      </c>
      <c r="K76" s="66">
        <f t="shared" si="7"/>
        <v>0</v>
      </c>
    </row>
    <row r="77" spans="2:13" ht="12.75" customHeight="1" x14ac:dyDescent="0.2">
      <c r="B77" s="63" t="s">
        <v>71</v>
      </c>
      <c r="C77" s="64">
        <f>137830237</f>
        <v>137830237</v>
      </c>
      <c r="D77" s="64">
        <f>58811146.82</f>
        <v>58811146.82</v>
      </c>
      <c r="E77" s="109" t="s">
        <v>86</v>
      </c>
      <c r="F77" s="109" t="s">
        <v>86</v>
      </c>
      <c r="G77" s="109" t="s">
        <v>86</v>
      </c>
      <c r="H77" s="109" t="s">
        <v>86</v>
      </c>
      <c r="I77" s="109" t="s">
        <v>86</v>
      </c>
      <c r="J77" s="65">
        <f t="shared" si="8"/>
        <v>1.3240954196594485</v>
      </c>
      <c r="K77" s="66">
        <f t="shared" si="7"/>
        <v>42.669263363451954</v>
      </c>
    </row>
    <row r="78" spans="2:13" ht="46.5" customHeight="1" x14ac:dyDescent="0.2">
      <c r="B78" s="63" t="s">
        <v>80</v>
      </c>
      <c r="C78" s="64">
        <f>564681445.14</f>
        <v>564681445.13999999</v>
      </c>
      <c r="D78" s="64">
        <f>1706908688.9</f>
        <v>1706908688.9000001</v>
      </c>
      <c r="E78" s="109" t="s">
        <v>86</v>
      </c>
      <c r="F78" s="109" t="s">
        <v>86</v>
      </c>
      <c r="G78" s="109" t="s">
        <v>86</v>
      </c>
      <c r="H78" s="109" t="s">
        <v>86</v>
      </c>
      <c r="I78" s="109" t="s">
        <v>86</v>
      </c>
      <c r="J78" s="65">
        <f t="shared" si="8"/>
        <v>38.429959267191258</v>
      </c>
      <c r="K78" s="66">
        <f t="shared" si="7"/>
        <v>302.27816118109047</v>
      </c>
    </row>
    <row r="79" spans="2:13" ht="35.25" customHeight="1" x14ac:dyDescent="0.2">
      <c r="B79" s="63" t="s">
        <v>81</v>
      </c>
      <c r="C79" s="64">
        <f>257517528.23</f>
        <v>257517528.22999999</v>
      </c>
      <c r="D79" s="64">
        <f>451098041.61</f>
        <v>451098041.61000001</v>
      </c>
      <c r="E79" s="109" t="s">
        <v>86</v>
      </c>
      <c r="F79" s="109" t="s">
        <v>86</v>
      </c>
      <c r="G79" s="109" t="s">
        <v>86</v>
      </c>
      <c r="H79" s="109" t="s">
        <v>86</v>
      </c>
      <c r="I79" s="109" t="s">
        <v>86</v>
      </c>
      <c r="J79" s="65">
        <f t="shared" si="8"/>
        <v>10.156184380169655</v>
      </c>
      <c r="K79" s="66">
        <f t="shared" si="7"/>
        <v>175.17178139699482</v>
      </c>
    </row>
    <row r="80" spans="2:13" ht="12.75" customHeight="1" x14ac:dyDescent="0.2">
      <c r="B80" s="63" t="s">
        <v>72</v>
      </c>
      <c r="C80" s="64">
        <f>0</f>
        <v>0</v>
      </c>
      <c r="D80" s="64">
        <f>0</f>
        <v>0</v>
      </c>
      <c r="E80" s="109" t="s">
        <v>86</v>
      </c>
      <c r="F80" s="109" t="s">
        <v>86</v>
      </c>
      <c r="G80" s="109" t="s">
        <v>86</v>
      </c>
      <c r="H80" s="109" t="s">
        <v>86</v>
      </c>
      <c r="I80" s="109" t="s">
        <v>86</v>
      </c>
      <c r="J80" s="65">
        <f t="shared" si="8"/>
        <v>0</v>
      </c>
      <c r="K80" s="66" t="str">
        <f t="shared" si="7"/>
        <v/>
      </c>
    </row>
    <row r="81" spans="2:11" ht="33.75" x14ac:dyDescent="0.2">
      <c r="B81" s="63" t="s">
        <v>75</v>
      </c>
      <c r="C81" s="64">
        <f>765562615.63</f>
        <v>765562615.63</v>
      </c>
      <c r="D81" s="64">
        <f>2224791537.43</f>
        <v>2224791537.4299998</v>
      </c>
      <c r="E81" s="109" t="s">
        <v>86</v>
      </c>
      <c r="F81" s="109" t="s">
        <v>86</v>
      </c>
      <c r="G81" s="109" t="s">
        <v>86</v>
      </c>
      <c r="H81" s="109" t="s">
        <v>86</v>
      </c>
      <c r="I81" s="109" t="s">
        <v>86</v>
      </c>
      <c r="J81" s="65">
        <f t="shared" si="8"/>
        <v>50.08976093297963</v>
      </c>
      <c r="K81" s="66">
        <f t="shared" si="7"/>
        <v>290.60869640286251</v>
      </c>
    </row>
    <row r="82" spans="2:11" ht="56.25" x14ac:dyDescent="0.2">
      <c r="B82" s="63" t="s">
        <v>103</v>
      </c>
      <c r="C82" s="64">
        <f>0</f>
        <v>0</v>
      </c>
      <c r="D82" s="64">
        <f>0</f>
        <v>0</v>
      </c>
      <c r="E82" s="109" t="s">
        <v>86</v>
      </c>
      <c r="F82" s="109" t="s">
        <v>86</v>
      </c>
      <c r="G82" s="109" t="s">
        <v>86</v>
      </c>
      <c r="H82" s="109" t="s">
        <v>86</v>
      </c>
      <c r="I82" s="109" t="s">
        <v>86</v>
      </c>
      <c r="J82" s="65">
        <f t="shared" si="8"/>
        <v>0</v>
      </c>
      <c r="K82" s="66" t="str">
        <f>IF(C82=0,"",100*D82/C82)</f>
        <v/>
      </c>
    </row>
    <row r="83" spans="2:11" x14ac:dyDescent="0.2">
      <c r="B83" s="63" t="s">
        <v>98</v>
      </c>
      <c r="C83" s="64">
        <f>300000000</f>
        <v>300000000</v>
      </c>
      <c r="D83" s="64">
        <f>0</f>
        <v>0</v>
      </c>
      <c r="E83" s="109" t="s">
        <v>86</v>
      </c>
      <c r="F83" s="109" t="s">
        <v>86</v>
      </c>
      <c r="G83" s="109" t="s">
        <v>86</v>
      </c>
      <c r="H83" s="109" t="s">
        <v>86</v>
      </c>
      <c r="I83" s="109" t="s">
        <v>86</v>
      </c>
      <c r="J83" s="65">
        <f t="shared" si="8"/>
        <v>0</v>
      </c>
      <c r="K83" s="66">
        <f>IF(C83=0,"",100*D83/C83)</f>
        <v>0</v>
      </c>
    </row>
    <row r="84" spans="2:11" ht="22.5" x14ac:dyDescent="0.2">
      <c r="B84" s="106" t="s">
        <v>99</v>
      </c>
      <c r="C84" s="64">
        <f>0</f>
        <v>0</v>
      </c>
      <c r="D84" s="64">
        <f>0</f>
        <v>0</v>
      </c>
      <c r="E84" s="109" t="s">
        <v>86</v>
      </c>
      <c r="F84" s="109" t="s">
        <v>86</v>
      </c>
      <c r="G84" s="109" t="s">
        <v>86</v>
      </c>
      <c r="H84" s="109" t="s">
        <v>86</v>
      </c>
      <c r="I84" s="109" t="s">
        <v>86</v>
      </c>
      <c r="J84" s="65">
        <f t="shared" si="8"/>
        <v>0</v>
      </c>
      <c r="K84" s="66" t="str">
        <f>IF(C84=0,"",100*D84/C84)</f>
        <v/>
      </c>
    </row>
    <row r="85" spans="2:11" ht="27" customHeight="1" x14ac:dyDescent="0.2">
      <c r="B85" s="90" t="s">
        <v>47</v>
      </c>
      <c r="C85" s="43">
        <f>1197730846</f>
        <v>1197730846</v>
      </c>
      <c r="D85" s="43">
        <f>1041089543.67</f>
        <v>1041089543.67</v>
      </c>
      <c r="E85" s="108" t="s">
        <v>86</v>
      </c>
      <c r="F85" s="108" t="s">
        <v>86</v>
      </c>
      <c r="G85" s="108" t="s">
        <v>86</v>
      </c>
      <c r="H85" s="108" t="s">
        <v>86</v>
      </c>
      <c r="I85" s="108" t="s">
        <v>86</v>
      </c>
      <c r="J85" s="38">
        <f t="shared" ref="J85:J90" si="9">IF($D$85=0,"",100*$D85/$D$85)</f>
        <v>100</v>
      </c>
      <c r="K85" s="31">
        <f t="shared" si="7"/>
        <v>86.921827816898357</v>
      </c>
    </row>
    <row r="86" spans="2:11" ht="24.75" customHeight="1" x14ac:dyDescent="0.2">
      <c r="B86" s="105" t="s">
        <v>73</v>
      </c>
      <c r="C86" s="40">
        <f>679677309</f>
        <v>679677309</v>
      </c>
      <c r="D86" s="42">
        <f>312475870.4</f>
        <v>312475870.39999998</v>
      </c>
      <c r="E86" s="109" t="s">
        <v>86</v>
      </c>
      <c r="F86" s="109" t="s">
        <v>86</v>
      </c>
      <c r="G86" s="109" t="s">
        <v>86</v>
      </c>
      <c r="H86" s="109" t="s">
        <v>86</v>
      </c>
      <c r="I86" s="109" t="s">
        <v>86</v>
      </c>
      <c r="J86" s="45">
        <f t="shared" si="9"/>
        <v>30.014312630446245</v>
      </c>
      <c r="K86" s="46">
        <f t="shared" si="7"/>
        <v>45.974150712746535</v>
      </c>
    </row>
    <row r="87" spans="2:11" ht="12.75" customHeight="1" x14ac:dyDescent="0.2">
      <c r="B87" s="106" t="s">
        <v>74</v>
      </c>
      <c r="C87" s="64">
        <f>27000000</f>
        <v>27000000</v>
      </c>
      <c r="D87" s="64">
        <f>10000000</f>
        <v>10000000</v>
      </c>
      <c r="E87" s="109" t="s">
        <v>86</v>
      </c>
      <c r="F87" s="109" t="s">
        <v>86</v>
      </c>
      <c r="G87" s="109" t="s">
        <v>86</v>
      </c>
      <c r="H87" s="109" t="s">
        <v>86</v>
      </c>
      <c r="I87" s="109" t="s">
        <v>86</v>
      </c>
      <c r="J87" s="65">
        <f t="shared" si="9"/>
        <v>0.96053217139694536</v>
      </c>
      <c r="K87" s="66">
        <f t="shared" si="7"/>
        <v>37.037037037037038</v>
      </c>
    </row>
    <row r="88" spans="2:11" ht="12.75" customHeight="1" x14ac:dyDescent="0.2">
      <c r="B88" s="63" t="s">
        <v>82</v>
      </c>
      <c r="C88" s="64">
        <f>154553537</f>
        <v>154553537</v>
      </c>
      <c r="D88" s="64">
        <f>128613673.27</f>
        <v>128613673.27</v>
      </c>
      <c r="E88" s="109" t="s">
        <v>86</v>
      </c>
      <c r="F88" s="109" t="s">
        <v>86</v>
      </c>
      <c r="G88" s="109" t="s">
        <v>86</v>
      </c>
      <c r="H88" s="109" t="s">
        <v>86</v>
      </c>
      <c r="I88" s="109" t="s">
        <v>86</v>
      </c>
      <c r="J88" s="65">
        <f t="shared" si="9"/>
        <v>12.353757085737037</v>
      </c>
      <c r="K88" s="66">
        <f t="shared" si="7"/>
        <v>83.216260052333837</v>
      </c>
    </row>
    <row r="89" spans="2:11" ht="12.75" customHeight="1" x14ac:dyDescent="0.2">
      <c r="B89" s="63" t="s">
        <v>100</v>
      </c>
      <c r="C89" s="64">
        <f>363500000</f>
        <v>363500000</v>
      </c>
      <c r="D89" s="64">
        <f>600000000</f>
        <v>600000000</v>
      </c>
      <c r="E89" s="109" t="s">
        <v>86</v>
      </c>
      <c r="F89" s="109" t="s">
        <v>86</v>
      </c>
      <c r="G89" s="109" t="s">
        <v>86</v>
      </c>
      <c r="H89" s="109" t="s">
        <v>86</v>
      </c>
      <c r="I89" s="109" t="s">
        <v>86</v>
      </c>
      <c r="J89" s="65">
        <f t="shared" si="9"/>
        <v>57.631930283816722</v>
      </c>
      <c r="K89" s="66">
        <f>IF(C89=0,"",100*D89/C89)</f>
        <v>165.06189821182943</v>
      </c>
    </row>
    <row r="90" spans="2:11" ht="22.5" x14ac:dyDescent="0.2">
      <c r="B90" s="106" t="s">
        <v>101</v>
      </c>
      <c r="C90" s="64">
        <f>63500000</f>
        <v>63500000</v>
      </c>
      <c r="D90" s="64">
        <f>0</f>
        <v>0</v>
      </c>
      <c r="E90" s="109" t="s">
        <v>86</v>
      </c>
      <c r="F90" s="109" t="s">
        <v>86</v>
      </c>
      <c r="G90" s="109" t="s">
        <v>86</v>
      </c>
      <c r="H90" s="109" t="s">
        <v>86</v>
      </c>
      <c r="I90" s="109" t="s">
        <v>86</v>
      </c>
      <c r="J90" s="65">
        <f t="shared" si="9"/>
        <v>0</v>
      </c>
      <c r="K90" s="66">
        <f>IF(C90=0,"",100*D90/C90)</f>
        <v>0</v>
      </c>
    </row>
    <row r="92" spans="2:11" x14ac:dyDescent="0.2">
      <c r="B92" s="37" t="s">
        <v>16</v>
      </c>
      <c r="C92" s="70" t="s">
        <v>17</v>
      </c>
      <c r="D92" s="16" t="s">
        <v>1</v>
      </c>
    </row>
    <row r="93" spans="2:11" x14ac:dyDescent="0.2">
      <c r="B93" s="37"/>
      <c r="C93" s="126" t="s">
        <v>60</v>
      </c>
      <c r="D93" s="127"/>
    </row>
    <row r="94" spans="2:11" x14ac:dyDescent="0.2">
      <c r="B94" s="35">
        <v>1</v>
      </c>
      <c r="C94" s="89">
        <v>2</v>
      </c>
      <c r="D94" s="36">
        <v>3</v>
      </c>
    </row>
    <row r="95" spans="2:11" ht="36" customHeight="1" x14ac:dyDescent="0.2">
      <c r="B95" s="44" t="s">
        <v>104</v>
      </c>
      <c r="C95" s="41">
        <f>2877082353</f>
        <v>2877082353</v>
      </c>
      <c r="D95" s="24">
        <f>0</f>
        <v>0</v>
      </c>
    </row>
    <row r="96" spans="2:11" ht="33.75" x14ac:dyDescent="0.2">
      <c r="B96" s="107" t="s">
        <v>62</v>
      </c>
      <c r="C96" s="64">
        <f>844413543</f>
        <v>844413543</v>
      </c>
      <c r="D96" s="57">
        <f>0</f>
        <v>0</v>
      </c>
    </row>
    <row r="97" spans="2:4" ht="12.75" customHeight="1" x14ac:dyDescent="0.2">
      <c r="B97" s="107" t="s">
        <v>63</v>
      </c>
      <c r="C97" s="64">
        <f>992023345</f>
        <v>992023345</v>
      </c>
      <c r="D97" s="57">
        <f>0</f>
        <v>0</v>
      </c>
    </row>
    <row r="98" spans="2:4" ht="22.5" x14ac:dyDescent="0.2">
      <c r="B98" s="107" t="s">
        <v>64</v>
      </c>
      <c r="C98" s="64">
        <f>0</f>
        <v>0</v>
      </c>
      <c r="D98" s="57">
        <f>0</f>
        <v>0</v>
      </c>
    </row>
    <row r="99" spans="2:4" ht="56.25" x14ac:dyDescent="0.2">
      <c r="B99" s="107" t="s">
        <v>83</v>
      </c>
      <c r="C99" s="64">
        <f>338190510.14</f>
        <v>338190510.13999999</v>
      </c>
      <c r="D99" s="57">
        <f>0</f>
        <v>0</v>
      </c>
    </row>
    <row r="100" spans="2:4" ht="81" customHeight="1" x14ac:dyDescent="0.2">
      <c r="B100" s="107" t="s">
        <v>65</v>
      </c>
      <c r="C100" s="64">
        <f>496831108.71</f>
        <v>496831108.70999998</v>
      </c>
      <c r="D100" s="57">
        <f>0</f>
        <v>0</v>
      </c>
    </row>
    <row r="101" spans="2:4" ht="151.5" customHeight="1" x14ac:dyDescent="0.2">
      <c r="B101" s="107" t="s">
        <v>84</v>
      </c>
      <c r="C101" s="64">
        <f>187674209.15</f>
        <v>187674209.15000001</v>
      </c>
      <c r="D101" s="57">
        <f>0</f>
        <v>0</v>
      </c>
    </row>
    <row r="102" spans="2:4" ht="23.25" customHeight="1" x14ac:dyDescent="0.2">
      <c r="B102" s="107" t="s">
        <v>85</v>
      </c>
      <c r="C102" s="64">
        <f>17949637</f>
        <v>17949637</v>
      </c>
      <c r="D102" s="57">
        <f>0</f>
        <v>0</v>
      </c>
    </row>
    <row r="103" spans="2:4" ht="23.25" customHeight="1" x14ac:dyDescent="0.2">
      <c r="B103" s="120" t="s">
        <v>99</v>
      </c>
      <c r="C103" s="64">
        <f>0</f>
        <v>0</v>
      </c>
      <c r="D103" s="57">
        <f>0</f>
        <v>0</v>
      </c>
    </row>
    <row r="105" spans="2:4" x14ac:dyDescent="0.2">
      <c r="B105" s="33" t="s">
        <v>48</v>
      </c>
      <c r="C105" s="33">
        <f>3</f>
        <v>3</v>
      </c>
      <c r="D105" s="33" t="str">
        <f>IF(C105=1,"I Kwartał",IF(C105=2,"II Kwartały",IF(C105=3,"III Kwartały",IF(C105=4,"IV Kwartały",IF(C105="M1","Styczeń",IF(C105="M11","Listopad",IF(C105="M12","Grudzień","-")))))))</f>
        <v>III Kwartały</v>
      </c>
    </row>
    <row r="106" spans="2:4" x14ac:dyDescent="0.2">
      <c r="B106" s="33" t="s">
        <v>49</v>
      </c>
      <c r="C106" s="111">
        <f>2024</f>
        <v>2024</v>
      </c>
      <c r="D106" s="34"/>
    </row>
    <row r="107" spans="2:4" x14ac:dyDescent="0.2">
      <c r="B107" s="33" t="s">
        <v>50</v>
      </c>
      <c r="C107" s="121" t="str">
        <f>"Nov 14 2024 12:00AM"</f>
        <v>Nov 14 2024 12:00AM</v>
      </c>
      <c r="D107" s="122"/>
    </row>
    <row r="108" spans="2:4" hidden="1" x14ac:dyDescent="0.2">
      <c r="B108" s="33" t="s">
        <v>55</v>
      </c>
      <c r="C108" s="112" t="str">
        <f>""</f>
        <v/>
      </c>
      <c r="D108" s="34"/>
    </row>
  </sheetData>
  <mergeCells count="23">
    <mergeCell ref="B2:B3"/>
    <mergeCell ref="C47:C49"/>
    <mergeCell ref="B47:B50"/>
    <mergeCell ref="F48:F49"/>
    <mergeCell ref="E3:I4"/>
    <mergeCell ref="J3:L3"/>
    <mergeCell ref="C3:D3"/>
    <mergeCell ref="I47:I49"/>
    <mergeCell ref="C50:I50"/>
    <mergeCell ref="E47:E49"/>
    <mergeCell ref="J50:K50"/>
    <mergeCell ref="K47:K49"/>
    <mergeCell ref="C107:D107"/>
    <mergeCell ref="F47:H47"/>
    <mergeCell ref="G48:H48"/>
    <mergeCell ref="C72:D72"/>
    <mergeCell ref="J47:J49"/>
    <mergeCell ref="D47:D49"/>
    <mergeCell ref="C93:D93"/>
    <mergeCell ref="I63:J63"/>
    <mergeCell ref="E71:I73"/>
    <mergeCell ref="J72:K72"/>
    <mergeCell ref="I62:J62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4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doch_wyd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2022-10-25T14:07:59Z</cp:lastPrinted>
  <dcterms:created xsi:type="dcterms:W3CDTF">2001-05-17T08:58:03Z</dcterms:created>
  <dcterms:modified xsi:type="dcterms:W3CDTF">2024-12-09T09:24:35Z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