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HHCY\Documents\```ST7\Besti@\2024\II kwartał\2024.08.14 Ostateczne wygenerował Piotr\II KWARTAŁ\Zbiorówki_2024_k2_20230814\MF\"/>
    </mc:Choice>
  </mc:AlternateContent>
  <xr:revisionPtr revIDLastSave="0" documentId="8_{8F2EAF2D-DD9B-4C31-9072-1DBABF0A0BDD}" xr6:coauthVersionLast="47" xr6:coauthVersionMax="47" xr10:uidLastSave="{00000000-0000-0000-0000-000000000000}"/>
  <bookViews>
    <workbookView xWindow="-120" yWindow="-120" windowWidth="29040" windowHeight="15720"/>
  </bookViews>
  <sheets>
    <sheet name="doch_wyd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8" i="4" l="1"/>
  <c r="B69" i="4"/>
  <c r="C107" i="4"/>
  <c r="C106" i="4"/>
  <c r="C105" i="4"/>
  <c r="D103" i="4"/>
  <c r="C103" i="4"/>
  <c r="D102" i="4"/>
  <c r="C102" i="4"/>
  <c r="D101" i="4"/>
  <c r="C101" i="4"/>
  <c r="D100" i="4"/>
  <c r="C100" i="4"/>
  <c r="D99" i="4"/>
  <c r="C99" i="4"/>
  <c r="D98" i="4"/>
  <c r="C98" i="4"/>
  <c r="D97" i="4"/>
  <c r="C97" i="4"/>
  <c r="D96" i="4"/>
  <c r="C96" i="4"/>
  <c r="D95" i="4"/>
  <c r="C95" i="4"/>
  <c r="D90" i="4"/>
  <c r="C90" i="4"/>
  <c r="K90" i="4"/>
  <c r="D89" i="4"/>
  <c r="C89" i="4"/>
  <c r="K89" i="4"/>
  <c r="D88" i="4"/>
  <c r="C88" i="4"/>
  <c r="K88" i="4"/>
  <c r="D87" i="4"/>
  <c r="C87" i="4"/>
  <c r="D86" i="4"/>
  <c r="C86" i="4"/>
  <c r="D85" i="4"/>
  <c r="J90" i="4"/>
  <c r="C85" i="4"/>
  <c r="D84" i="4"/>
  <c r="C84" i="4"/>
  <c r="D83" i="4"/>
  <c r="K83" i="4"/>
  <c r="C83" i="4"/>
  <c r="D82" i="4"/>
  <c r="C82" i="4"/>
  <c r="D81" i="4"/>
  <c r="J81" i="4"/>
  <c r="C81" i="4"/>
  <c r="D80" i="4"/>
  <c r="C80" i="4"/>
  <c r="K80" i="4"/>
  <c r="D79" i="4"/>
  <c r="C79" i="4"/>
  <c r="D78" i="4"/>
  <c r="J78" i="4"/>
  <c r="C78" i="4"/>
  <c r="D77" i="4"/>
  <c r="C77" i="4"/>
  <c r="D76" i="4"/>
  <c r="C76" i="4"/>
  <c r="D75" i="4"/>
  <c r="C75" i="4"/>
  <c r="D74" i="4"/>
  <c r="C74" i="4"/>
  <c r="I67" i="4"/>
  <c r="H67" i="4"/>
  <c r="G67" i="4"/>
  <c r="G68" i="4"/>
  <c r="F67" i="4"/>
  <c r="E67" i="4"/>
  <c r="E68" i="4"/>
  <c r="D67" i="4"/>
  <c r="C67" i="4"/>
  <c r="I66" i="4"/>
  <c r="H66" i="4"/>
  <c r="G66" i="4"/>
  <c r="F66" i="4"/>
  <c r="E66" i="4"/>
  <c r="D66" i="4"/>
  <c r="C66" i="4"/>
  <c r="K66" i="4"/>
  <c r="I60" i="4"/>
  <c r="H60" i="4"/>
  <c r="G60" i="4"/>
  <c r="F60" i="4"/>
  <c r="F61" i="4"/>
  <c r="E60" i="4"/>
  <c r="D60" i="4"/>
  <c r="C60" i="4"/>
  <c r="I59" i="4"/>
  <c r="H59" i="4"/>
  <c r="G59" i="4"/>
  <c r="F59" i="4"/>
  <c r="E59" i="4"/>
  <c r="D59" i="4"/>
  <c r="C59" i="4"/>
  <c r="I58" i="4"/>
  <c r="H58" i="4"/>
  <c r="G58" i="4"/>
  <c r="F58" i="4"/>
  <c r="E58" i="4"/>
  <c r="D58" i="4"/>
  <c r="C58" i="4"/>
  <c r="I57" i="4"/>
  <c r="H57" i="4"/>
  <c r="G57" i="4"/>
  <c r="F57" i="4"/>
  <c r="E57" i="4"/>
  <c r="D57" i="4"/>
  <c r="C57" i="4"/>
  <c r="I56" i="4"/>
  <c r="H56" i="4"/>
  <c r="G56" i="4"/>
  <c r="F56" i="4"/>
  <c r="E56" i="4"/>
  <c r="D56" i="4"/>
  <c r="C56" i="4"/>
  <c r="I54" i="4"/>
  <c r="H54" i="4"/>
  <c r="G54" i="4"/>
  <c r="F54" i="4"/>
  <c r="E54" i="4"/>
  <c r="D54" i="4"/>
  <c r="C54" i="4"/>
  <c r="I53" i="4"/>
  <c r="H53" i="4"/>
  <c r="G53" i="4"/>
  <c r="F53" i="4"/>
  <c r="E53" i="4"/>
  <c r="D53" i="4"/>
  <c r="C53" i="4"/>
  <c r="I52" i="4"/>
  <c r="H52" i="4"/>
  <c r="G52" i="4"/>
  <c r="F52" i="4"/>
  <c r="E52" i="4"/>
  <c r="D52" i="4"/>
  <c r="C52" i="4"/>
  <c r="D42" i="4"/>
  <c r="C42" i="4"/>
  <c r="D40" i="4"/>
  <c r="C40" i="4"/>
  <c r="C35" i="4"/>
  <c r="D39" i="4"/>
  <c r="C39" i="4"/>
  <c r="D38" i="4"/>
  <c r="K38" i="4"/>
  <c r="C38" i="4"/>
  <c r="D37" i="4"/>
  <c r="C37" i="4"/>
  <c r="D36" i="4"/>
  <c r="D35" i="4"/>
  <c r="C36" i="4"/>
  <c r="D34" i="4"/>
  <c r="C34" i="4"/>
  <c r="D33" i="4"/>
  <c r="J33" i="4"/>
  <c r="C33" i="4"/>
  <c r="D32" i="4"/>
  <c r="C32" i="4"/>
  <c r="K32" i="4"/>
  <c r="D31" i="4"/>
  <c r="C31" i="4"/>
  <c r="D30" i="4"/>
  <c r="J30" i="4"/>
  <c r="C30" i="4"/>
  <c r="D29" i="4"/>
  <c r="D12" i="4"/>
  <c r="J12" i="4"/>
  <c r="C29" i="4"/>
  <c r="D28" i="4"/>
  <c r="C28" i="4"/>
  <c r="D27" i="4"/>
  <c r="C27" i="4"/>
  <c r="D26" i="4"/>
  <c r="C26" i="4"/>
  <c r="D25" i="4"/>
  <c r="C25" i="4"/>
  <c r="D24" i="4"/>
  <c r="C24" i="4"/>
  <c r="D23" i="4"/>
  <c r="C23" i="4"/>
  <c r="D22" i="4"/>
  <c r="C22" i="4"/>
  <c r="D21" i="4"/>
  <c r="C21" i="4"/>
  <c r="D20" i="4"/>
  <c r="C20" i="4"/>
  <c r="D19" i="4"/>
  <c r="C19" i="4"/>
  <c r="D18" i="4"/>
  <c r="C18" i="4"/>
  <c r="D17" i="4"/>
  <c r="C17" i="4"/>
  <c r="D16" i="4"/>
  <c r="K16" i="4"/>
  <c r="C16" i="4"/>
  <c r="D15" i="4"/>
  <c r="J15" i="4"/>
  <c r="C15" i="4"/>
  <c r="D14" i="4"/>
  <c r="C14" i="4"/>
  <c r="D13" i="4"/>
  <c r="C13" i="4"/>
  <c r="D9" i="4"/>
  <c r="C9" i="4"/>
  <c r="D8" i="4"/>
  <c r="K8" i="4"/>
  <c r="C8" i="4"/>
  <c r="D7" i="4"/>
  <c r="K7" i="4"/>
  <c r="C7" i="4"/>
  <c r="D5" i="4"/>
  <c r="C5" i="4"/>
  <c r="J39" i="4"/>
  <c r="J40" i="4"/>
  <c r="K39" i="4"/>
  <c r="K40" i="4"/>
  <c r="G55" i="4"/>
  <c r="G61" i="4"/>
  <c r="J9" i="4"/>
  <c r="J28" i="4"/>
  <c r="J14" i="4"/>
  <c r="J23" i="4"/>
  <c r="J5" i="4"/>
  <c r="J38" i="4"/>
  <c r="D62" i="4"/>
  <c r="J17" i="4"/>
  <c r="J32" i="4"/>
  <c r="J25" i="4"/>
  <c r="D41" i="4"/>
  <c r="D43" i="4"/>
  <c r="D63" i="4"/>
  <c r="J24" i="4"/>
  <c r="J36" i="4"/>
  <c r="J21" i="4"/>
  <c r="J8" i="4"/>
  <c r="J37" i="4"/>
  <c r="J75" i="4"/>
  <c r="J80" i="4"/>
  <c r="J79" i="4"/>
  <c r="J82" i="4"/>
  <c r="J76" i="4"/>
  <c r="J74" i="4"/>
  <c r="J84" i="4"/>
  <c r="J77" i="4"/>
  <c r="K75" i="4"/>
  <c r="K36" i="4"/>
  <c r="K76" i="4"/>
  <c r="K9" i="4"/>
  <c r="K37" i="4"/>
  <c r="K30" i="4"/>
  <c r="K67" i="4"/>
  <c r="K22" i="4"/>
  <c r="K54" i="4"/>
  <c r="K24" i="4"/>
  <c r="K28" i="4"/>
  <c r="K52" i="4"/>
  <c r="F68" i="4"/>
  <c r="K82" i="4"/>
  <c r="K29" i="4"/>
  <c r="E55" i="4"/>
  <c r="K57" i="4"/>
  <c r="D105" i="4"/>
  <c r="F55" i="4"/>
  <c r="K58" i="4"/>
  <c r="I68" i="4"/>
  <c r="H55" i="4"/>
  <c r="K13" i="4"/>
  <c r="K19" i="4"/>
  <c r="K25" i="4"/>
  <c r="K31" i="4"/>
  <c r="I55" i="4"/>
  <c r="I61" i="4"/>
  <c r="K59" i="4"/>
  <c r="K78" i="4"/>
  <c r="K84" i="4"/>
  <c r="C55" i="4"/>
  <c r="K53" i="4"/>
  <c r="K20" i="4"/>
  <c r="K26" i="4"/>
  <c r="C68" i="4"/>
  <c r="K79" i="4"/>
  <c r="K56" i="4"/>
  <c r="J67" i="4"/>
  <c r="J66" i="4"/>
  <c r="D68" i="4"/>
  <c r="J68" i="4"/>
  <c r="J89" i="4"/>
  <c r="J88" i="4"/>
  <c r="J85" i="4"/>
  <c r="J87" i="4"/>
  <c r="C41" i="4"/>
  <c r="K5" i="4"/>
  <c r="K15" i="4"/>
  <c r="K27" i="4"/>
  <c r="K33" i="4"/>
  <c r="K42" i="4"/>
  <c r="K74" i="4"/>
  <c r="K86" i="4"/>
  <c r="J60" i="4"/>
  <c r="J54" i="4"/>
  <c r="J58" i="4"/>
  <c r="J57" i="4"/>
  <c r="D55" i="4"/>
  <c r="D61" i="4"/>
  <c r="J61" i="4"/>
  <c r="J59" i="4"/>
  <c r="J52" i="4"/>
  <c r="J56" i="4"/>
  <c r="J53" i="4"/>
  <c r="K60" i="4"/>
  <c r="H68" i="4"/>
  <c r="J41" i="4"/>
  <c r="K55" i="4"/>
  <c r="B45" i="4"/>
  <c r="B1" i="4"/>
  <c r="K87" i="4"/>
  <c r="J86" i="4"/>
  <c r="K85" i="4"/>
  <c r="J83" i="4"/>
  <c r="K81" i="4"/>
  <c r="K77" i="4"/>
  <c r="K68" i="4"/>
  <c r="H61" i="4"/>
  <c r="E61" i="4"/>
  <c r="J55" i="4"/>
  <c r="C61" i="4"/>
  <c r="K61" i="4"/>
  <c r="K35" i="4"/>
  <c r="K34" i="4"/>
  <c r="J29" i="4"/>
  <c r="K23" i="4"/>
  <c r="K21" i="4"/>
  <c r="C12" i="4"/>
  <c r="C11" i="4"/>
  <c r="C6" i="4"/>
  <c r="C10" i="4"/>
  <c r="J18" i="4"/>
  <c r="K18" i="4"/>
  <c r="K17" i="4"/>
  <c r="J16" i="4"/>
  <c r="K14" i="4"/>
  <c r="D11" i="4"/>
  <c r="K41" i="4"/>
  <c r="J42" i="4"/>
  <c r="J22" i="4"/>
  <c r="J20" i="4"/>
  <c r="J34" i="4"/>
  <c r="J19" i="4"/>
  <c r="J31" i="4"/>
  <c r="J7" i="4"/>
  <c r="J26" i="4"/>
  <c r="J13" i="4"/>
  <c r="J27" i="4"/>
  <c r="J43" i="4"/>
  <c r="J35" i="4"/>
  <c r="C43" i="4"/>
  <c r="C62" i="4"/>
  <c r="K12" i="4"/>
  <c r="D6" i="4"/>
  <c r="J11" i="4"/>
  <c r="K11" i="4"/>
  <c r="K43" i="4"/>
  <c r="C63" i="4"/>
  <c r="L6" i="4"/>
  <c r="K6" i="4"/>
  <c r="J6" i="4"/>
  <c r="L7" i="4"/>
  <c r="L8" i="4"/>
  <c r="L9" i="4"/>
  <c r="D10" i="4"/>
  <c r="J10" i="4"/>
  <c r="K10" i="4"/>
  <c r="L10" i="4"/>
</calcChain>
</file>

<file path=xl/sharedStrings.xml><?xml version="1.0" encoding="utf-8"?>
<sst xmlns="http://schemas.openxmlformats.org/spreadsheetml/2006/main" count="406" uniqueCount="106">
  <si>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</si>
  <si>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</si>
  <si>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</si>
  <si>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</si>
  <si>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</si>
  <si>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</si>
  <si>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</si>
  <si>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</si>
  <si>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</si>
  <si>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</si>
  <si>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</si>
  <si>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</si>
  <si>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</si>
  <si>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</si>
  <si>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</si>
  <si>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</si>
  <si>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</si>
  <si>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</si>
  <si>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</si>
  <si>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 xml:space="preserve">podatek dochodowy od osób fizycznych </t>
  </si>
  <si>
    <t>dochody z majątku</t>
  </si>
  <si>
    <t xml:space="preserve">pozostałe dochody </t>
  </si>
  <si>
    <t>Struktura</t>
  </si>
  <si>
    <t>Wskaźnik</t>
  </si>
  <si>
    <t>w tym wymagalne:</t>
  </si>
  <si>
    <t xml:space="preserve">podatek dochodowy od osób prawnych 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</si>
  <si>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</si>
  <si>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</si>
  <si>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t>uzupełnienie subwencji ogólnej</t>
  </si>
  <si>
    <t>część oświatowa</t>
  </si>
  <si>
    <t>część wyrównawcza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</si>
  <si>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</si>
  <si>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</si>
  <si>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</si>
  <si>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</si>
  <si>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</si>
  <si>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</si>
  <si>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</si>
  <si>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</si>
  <si>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</si>
  <si>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część regionalna</t>
  </si>
  <si>
    <t>Razem dochody własne 
z tego:</t>
  </si>
  <si>
    <t>Dotacje celowe 
z tego:</t>
  </si>
  <si>
    <t>Subwencja ogólna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</si>
  <si>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</si>
  <si>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</si>
  <si>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</si>
  <si>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</si>
  <si>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</si>
  <si>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</si>
  <si>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</si>
  <si>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</si>
  <si>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</si>
  <si>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Dotacje §§ 200 i 620</t>
  </si>
  <si>
    <t>w tym: inwestycyjne § 620</t>
  </si>
  <si>
    <t>tytul</t>
  </si>
  <si>
    <t>majątkowe</t>
  </si>
  <si>
    <t>bieżace</t>
  </si>
  <si>
    <t>wydatki majątkowe</t>
  </si>
  <si>
    <t>wydatki bieżące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</si>
  <si>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</si>
  <si>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</si>
  <si>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</si>
  <si>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</si>
  <si>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</si>
  <si>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</si>
  <si>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t>Dotacje §§ 205 i 625</t>
  </si>
  <si>
    <t>w tym: inwestycyjne § 625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</si>
  <si>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</si>
  <si>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Wydatki Ogółem UE                                         z tego:</t>
  </si>
  <si>
    <t>ze sprzedaży papierów wartościowych</t>
  </si>
  <si>
    <t>spłata  udzielonych pożyczek</t>
  </si>
  <si>
    <t>prywatyzacja majątku JST</t>
  </si>
  <si>
    <t>spłaty kredytów i pożyczek, wykup papierów wartościowych w tym:</t>
  </si>
  <si>
    <t>wykup papierów wartościowych</t>
  </si>
  <si>
    <t>wolne środki, o których mowa w art. 217 ust. 2 pkt 6 ustawy o finansach publicznych</t>
  </si>
  <si>
    <t>otrzymane ze środków z Funduszu Przeciwdziałania COVID-19 (m.in. z Rządowego Funduszu Inwestycji Lokalnych)</t>
  </si>
  <si>
    <t>na finansowanie lub dofinansowanie zadań inwestycyjnych obiektów zabytkowych oraz prac remontowych i konserwatorskich przy zabytkach</t>
  </si>
  <si>
    <t>w tym: inwestycyjne</t>
  </si>
  <si>
    <t>wynagrodzenia i składki od nich naliczane</t>
  </si>
  <si>
    <t>nadwyżka z lat ubiegłych, pomniejszona o niewykorzystane środki pieniężne, o których mowa w art. 217 ust. 2 pkt 8 ustawy o finansach publicznych</t>
  </si>
  <si>
    <t>niewykorzystane środki pieniężne, o których mowa w art. 217 ust. 2 pkt 8 ustawy o finansach publicznych</t>
  </si>
  <si>
    <t>udzielone pożyczki</t>
  </si>
  <si>
    <t>nadwyżka budżetu jednostki samorządu terytorialnego z lat ubiegłych, pomniejszona o środki określone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</si>
  <si>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</si>
  <si>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</si>
  <si>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#</t>
  </si>
  <si>
    <t>Dotacje ogółem 
z tego:</t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</si>
  <si>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</si>
  <si>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</si>
  <si>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</si>
  <si>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</si>
  <si>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</si>
  <si>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 xml:space="preserve">DOCHODY OGÓŁEM </t>
  </si>
  <si>
    <t>Dochody bieżace 
minus 
wydatki bieżące</t>
  </si>
  <si>
    <t>otrzymane z Funduszu Pomocy lub z innych środków (*)</t>
  </si>
  <si>
    <t>(*) na finansowanie lub dofinansowanie realizacji zadań w zakresie pomocy obywatelom Ukrainy</t>
  </si>
  <si>
    <t>WYDATKI Z UDZIAŁEM ŚRODKÓW, O KTÓRYCH MOWA W ART. 5 UST. 1 pkt 2</t>
  </si>
  <si>
    <t>inne źródła, w tym:</t>
  </si>
  <si>
    <t>środki z lokat dokonanych w latach ubiegłych</t>
  </si>
  <si>
    <t>inne cele, w tym:</t>
  </si>
  <si>
    <t>lokaty na okres wykraczający poza rok budżetowy</t>
  </si>
  <si>
    <t>kredyty, pożyczki, emisja papierów wartościowych 
w tym:</t>
  </si>
  <si>
    <t>stan niespłaconych na koniec okresu sprawozdawczego zobowiązań przeznaczonych na cel , o którym mowa w art. 89 ust. 1 pkt 1 ustawy o finansach publicznych</t>
  </si>
  <si>
    <t>FINANSOWANIE DEFICYTU (E1+E2+E3+E4+E5+E6+E7+E8) 
z tego:</t>
  </si>
  <si>
    <t>część rozwojowa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</si>
</sst>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_-* #,##0.00\ _z_ł_-;\-* #,##0.00\ _z_ł_-;_-* &quot;-&quot;??\ _z_ł_-;_-@_-"/>
    <numFmt numFmtId="166" formatCode="#,##0.0"/>
    <numFmt numFmtId="168" formatCode="dd/mm/yy\ h:mm;@"/>
  </numFmts>
  <fonts count="36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 CE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242424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0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3" borderId="0" applyNumberFormat="0" applyBorder="0" applyAlignment="0" applyProtection="0"/>
    <xf numFmtId="0" fontId="13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3" borderId="0" applyNumberFormat="0" applyBorder="0" applyAlignment="0" applyProtection="0"/>
    <xf numFmtId="0" fontId="14" fillId="10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0" fontId="14" fillId="13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5" fillId="18" borderId="0" applyNumberFormat="0" applyBorder="0" applyAlignment="0" applyProtection="0"/>
    <xf numFmtId="0" fontId="16" fillId="7" borderId="1" applyNumberFormat="0" applyAlignment="0" applyProtection="0"/>
    <xf numFmtId="0" fontId="17" fillId="17" borderId="2" applyNumberFormat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1" applyNumberFormat="0" applyAlignment="0" applyProtection="0"/>
    <xf numFmtId="0" fontId="24" fillId="0" borderId="7" applyNumberFormat="0" applyFill="0" applyAlignment="0" applyProtection="0"/>
    <xf numFmtId="0" fontId="25" fillId="10" borderId="0" applyNumberFormat="0" applyBorder="0" applyAlignment="0" applyProtection="0"/>
    <xf numFmtId="0" fontId="33" fillId="0" borderId="0"/>
    <xf numFmtId="0" fontId="33" fillId="0" borderId="0"/>
    <xf numFmtId="0" fontId="1" fillId="4" borderId="8" applyNumberFormat="0" applyFont="0" applyAlignment="0" applyProtection="0"/>
    <xf numFmtId="0" fontId="26" fillId="7" borderId="3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57">
    <xf numFmtId="0" fontId="0" fillId="0" borderId="0" xfId="0"/>
    <xf numFmtId="0" fontId="2" fillId="0" borderId="0" xfId="0" applyFont="1"/>
    <xf numFmtId="0" fontId="6" fillId="0" borderId="0" xfId="0" applyFont="1" applyFill="1" applyAlignment="1">
      <alignment horizontal="left" vertical="center"/>
    </xf>
    <xf numFmtId="166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6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7" fillId="20" borderId="10" xfId="0" applyFont="1" applyFill="1" applyBorder="1" applyAlignment="1">
      <alignment horizontal="left" vertical="center" wrapText="1"/>
    </xf>
    <xf numFmtId="166" fontId="6" fillId="0" borderId="0" xfId="0" applyNumberFormat="1" applyFont="1"/>
    <xf numFmtId="166" fontId="6" fillId="0" borderId="0" xfId="0" applyNumberFormat="1" applyFont="1" applyFill="1"/>
    <xf numFmtId="4" fontId="4" fillId="0" borderId="10" xfId="0" applyNumberFormat="1" applyFont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/>
    </xf>
    <xf numFmtId="4" fontId="12" fillId="20" borderId="10" xfId="0" applyNumberFormat="1" applyFont="1" applyFill="1" applyBorder="1" applyAlignment="1">
      <alignment horizontal="right" vertical="center"/>
    </xf>
    <xf numFmtId="4" fontId="4" fillId="20" borderId="10" xfId="0" applyNumberFormat="1" applyFont="1" applyFill="1" applyBorder="1" applyAlignment="1">
      <alignment horizontal="right" vertical="center" wrapText="1"/>
    </xf>
    <xf numFmtId="4" fontId="6" fillId="20" borderId="10" xfId="0" applyNumberFormat="1" applyFont="1" applyFill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166" fontId="6" fillId="0" borderId="0" xfId="0" applyNumberFormat="1" applyFont="1" applyAlignment="1">
      <alignment horizontal="right" vertical="center"/>
    </xf>
    <xf numFmtId="166" fontId="6" fillId="0" borderId="0" xfId="0" applyNumberFormat="1" applyFont="1" applyFill="1" applyAlignment="1">
      <alignment horizontal="right" vertical="center"/>
    </xf>
    <xf numFmtId="0" fontId="4" fillId="0" borderId="10" xfId="0" applyFont="1" applyBorder="1" applyAlignment="1">
      <alignment horizontal="left" vertical="center" wrapText="1" indent="2"/>
    </xf>
    <xf numFmtId="166" fontId="12" fillId="20" borderId="10" xfId="0" applyNumberFormat="1" applyFont="1" applyFill="1" applyBorder="1" applyAlignment="1">
      <alignment horizontal="right" vertical="center"/>
    </xf>
    <xf numFmtId="166" fontId="4" fillId="0" borderId="10" xfId="0" applyNumberFormat="1" applyFont="1" applyFill="1" applyBorder="1" applyAlignment="1">
      <alignment horizontal="right" vertical="center"/>
    </xf>
    <xf numFmtId="166" fontId="11" fillId="20" borderId="10" xfId="0" applyNumberFormat="1" applyFont="1" applyFill="1" applyBorder="1" applyAlignment="1">
      <alignment horizontal="right" vertical="center"/>
    </xf>
    <xf numFmtId="166" fontId="6" fillId="0" borderId="10" xfId="0" applyNumberFormat="1" applyFont="1" applyBorder="1" applyAlignment="1">
      <alignment horizontal="right" vertical="center"/>
    </xf>
    <xf numFmtId="0" fontId="6" fillId="0" borderId="10" xfId="0" applyFont="1" applyBorder="1"/>
    <xf numFmtId="0" fontId="6" fillId="0" borderId="0" xfId="0" applyFont="1"/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166" fontId="11" fillId="20" borderId="10" xfId="28" applyNumberFormat="1" applyFont="1" applyFill="1" applyBorder="1" applyAlignment="1">
      <alignment horizontal="right" vertical="center"/>
    </xf>
    <xf numFmtId="4" fontId="11" fillId="20" borderId="14" xfId="0" applyNumberFormat="1" applyFont="1" applyFill="1" applyBorder="1" applyAlignment="1">
      <alignment horizontal="right" vertical="center"/>
    </xf>
    <xf numFmtId="4" fontId="6" fillId="0" borderId="14" xfId="0" applyNumberFormat="1" applyFont="1" applyBorder="1" applyAlignment="1">
      <alignment horizontal="right" vertical="center"/>
    </xf>
    <xf numFmtId="4" fontId="6" fillId="20" borderId="14" xfId="0" applyNumberFormat="1" applyFont="1" applyFill="1" applyBorder="1" applyAlignment="1">
      <alignment horizontal="right" vertical="center"/>
    </xf>
    <xf numFmtId="4" fontId="6" fillId="21" borderId="14" xfId="0" applyNumberFormat="1" applyFont="1" applyFill="1" applyBorder="1" applyAlignment="1">
      <alignment horizontal="right" vertical="center"/>
    </xf>
    <xf numFmtId="4" fontId="11" fillId="22" borderId="14" xfId="0" applyNumberFormat="1" applyFont="1" applyFill="1" applyBorder="1" applyAlignment="1">
      <alignment horizontal="right" vertical="center"/>
    </xf>
    <xf numFmtId="0" fontId="34" fillId="22" borderId="10" xfId="43" applyFont="1" applyFill="1" applyBorder="1" applyAlignment="1">
      <alignment horizontal="left" vertical="center" wrapText="1"/>
    </xf>
    <xf numFmtId="166" fontId="11" fillId="21" borderId="10" xfId="28" applyNumberFormat="1" applyFont="1" applyFill="1" applyBorder="1" applyAlignment="1">
      <alignment horizontal="right" vertical="center"/>
    </xf>
    <xf numFmtId="166" fontId="11" fillId="21" borderId="10" xfId="0" applyNumberFormat="1" applyFont="1" applyFill="1" applyBorder="1" applyAlignment="1">
      <alignment horizontal="right" vertical="center"/>
    </xf>
    <xf numFmtId="166" fontId="11" fillId="22" borderId="10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6" fillId="0" borderId="0" xfId="0" applyFont="1" applyFill="1" applyBorder="1" applyAlignment="1">
      <alignment vertical="center"/>
    </xf>
    <xf numFmtId="166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/>
    <xf numFmtId="0" fontId="12" fillId="0" borderId="0" xfId="0" applyFont="1" applyBorder="1" applyAlignment="1">
      <alignment horizontal="left" vertical="center"/>
    </xf>
    <xf numFmtId="3" fontId="12" fillId="0" borderId="0" xfId="0" applyNumberFormat="1" applyFont="1" applyBorder="1" applyAlignment="1">
      <alignment horizontal="right" vertical="center"/>
    </xf>
    <xf numFmtId="4" fontId="12" fillId="22" borderId="10" xfId="0" applyNumberFormat="1" applyFont="1" applyFill="1" applyBorder="1" applyAlignment="1">
      <alignment horizontal="right" vertical="center"/>
    </xf>
    <xf numFmtId="166" fontId="12" fillId="22" borderId="10" xfId="0" applyNumberFormat="1" applyFont="1" applyFill="1" applyBorder="1" applyAlignment="1">
      <alignment horizontal="right" vertical="center"/>
    </xf>
    <xf numFmtId="4" fontId="6" fillId="0" borderId="10" xfId="0" applyNumberFormat="1" applyFont="1" applyFill="1" applyBorder="1" applyAlignment="1">
      <alignment horizontal="right" vertical="center"/>
    </xf>
    <xf numFmtId="166" fontId="4" fillId="0" borderId="0" xfId="0" applyNumberFormat="1" applyFont="1" applyFill="1" applyBorder="1" applyAlignment="1">
      <alignment horizontal="right" vertical="center"/>
    </xf>
    <xf numFmtId="166" fontId="4" fillId="22" borderId="10" xfId="0" applyNumberFormat="1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left" vertical="center" wrapText="1" indent="2"/>
    </xf>
    <xf numFmtId="4" fontId="11" fillId="22" borderId="10" xfId="0" applyNumberFormat="1" applyFont="1" applyFill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horizontal="left" vertical="center" wrapText="1" indent="1"/>
    </xf>
    <xf numFmtId="4" fontId="6" fillId="0" borderId="14" xfId="0" applyNumberFormat="1" applyFont="1" applyFill="1" applyBorder="1" applyAlignment="1">
      <alignment horizontal="right" vertical="center"/>
    </xf>
    <xf numFmtId="166" fontId="11" fillId="0" borderId="10" xfId="28" applyNumberFormat="1" applyFont="1" applyFill="1" applyBorder="1" applyAlignment="1">
      <alignment horizontal="right" vertical="center"/>
    </xf>
    <xf numFmtId="166" fontId="11" fillId="0" borderId="10" xfId="0" applyNumberFormat="1" applyFont="1" applyFill="1" applyBorder="1" applyAlignment="1">
      <alignment horizontal="right" vertical="center"/>
    </xf>
    <xf numFmtId="4" fontId="4" fillId="21" borderId="10" xfId="0" applyNumberFormat="1" applyFont="1" applyFill="1" applyBorder="1" applyAlignment="1">
      <alignment horizontal="right" vertical="center"/>
    </xf>
    <xf numFmtId="166" fontId="4" fillId="21" borderId="10" xfId="0" applyNumberFormat="1" applyFont="1" applyFill="1" applyBorder="1" applyAlignment="1">
      <alignment horizontal="right" vertical="center"/>
    </xf>
    <xf numFmtId="4" fontId="4" fillId="0" borderId="14" xfId="0" applyNumberFormat="1" applyFont="1" applyFill="1" applyBorder="1" applyAlignment="1">
      <alignment vertical="center" wrapText="1"/>
    </xf>
    <xf numFmtId="0" fontId="6" fillId="19" borderId="14" xfId="0" applyFont="1" applyFill="1" applyBorder="1" applyAlignment="1">
      <alignment horizontal="center" vertical="center"/>
    </xf>
    <xf numFmtId="4" fontId="6" fillId="0" borderId="14" xfId="0" applyNumberFormat="1" applyFont="1" applyFill="1" applyBorder="1" applyAlignment="1">
      <alignment vertical="center" wrapText="1"/>
    </xf>
    <xf numFmtId="4" fontId="11" fillId="22" borderId="10" xfId="0" applyNumberFormat="1" applyFont="1" applyFill="1" applyBorder="1" applyAlignment="1">
      <alignment horizontal="right" vertical="center"/>
    </xf>
    <xf numFmtId="4" fontId="11" fillId="22" borderId="10" xfId="0" applyNumberFormat="1" applyFont="1" applyFill="1" applyBorder="1" applyAlignment="1">
      <alignment vertical="center"/>
    </xf>
    <xf numFmtId="4" fontId="4" fillId="20" borderId="10" xfId="0" applyNumberFormat="1" applyFont="1" applyFill="1" applyBorder="1" applyAlignment="1">
      <alignment vertical="center" wrapText="1"/>
    </xf>
    <xf numFmtId="4" fontId="4" fillId="0" borderId="10" xfId="0" applyNumberFormat="1" applyFont="1" applyBorder="1" applyAlignment="1">
      <alignment vertical="center"/>
    </xf>
    <xf numFmtId="4" fontId="4" fillId="0" borderId="10" xfId="0" applyNumberFormat="1" applyFont="1" applyFill="1" applyBorder="1" applyAlignment="1">
      <alignment vertical="center" wrapText="1"/>
    </xf>
    <xf numFmtId="4" fontId="4" fillId="0" borderId="10" xfId="0" applyNumberFormat="1" applyFont="1" applyFill="1" applyBorder="1" applyAlignment="1">
      <alignment vertical="center"/>
    </xf>
    <xf numFmtId="4" fontId="4" fillId="0" borderId="16" xfId="0" applyNumberFormat="1" applyFont="1" applyFill="1" applyBorder="1" applyAlignment="1">
      <alignment horizontal="right" vertical="center"/>
    </xf>
    <xf numFmtId="4" fontId="4" fillId="0" borderId="17" xfId="0" applyNumberFormat="1" applyFont="1" applyFill="1" applyBorder="1" applyAlignment="1">
      <alignment vertical="center" wrapText="1"/>
    </xf>
    <xf numFmtId="166" fontId="11" fillId="22" borderId="16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 wrapText="1"/>
    </xf>
    <xf numFmtId="166" fontId="6" fillId="0" borderId="0" xfId="0" applyNumberFormat="1" applyFont="1" applyFill="1" applyBorder="1"/>
    <xf numFmtId="4" fontId="4" fillId="0" borderId="18" xfId="0" applyNumberFormat="1" applyFont="1" applyFill="1" applyBorder="1" applyAlignment="1">
      <alignment horizontal="right" vertical="center" wrapText="1"/>
    </xf>
    <xf numFmtId="4" fontId="4" fillId="0" borderId="17" xfId="0" applyNumberFormat="1" applyFont="1" applyFill="1" applyBorder="1" applyAlignment="1">
      <alignment horizontal="right" vertical="center" wrapText="1"/>
    </xf>
    <xf numFmtId="4" fontId="12" fillId="0" borderId="19" xfId="0" applyNumberFormat="1" applyFont="1" applyFill="1" applyBorder="1" applyAlignment="1">
      <alignment horizontal="right" vertical="center" wrapText="1"/>
    </xf>
    <xf numFmtId="4" fontId="4" fillId="20" borderId="14" xfId="0" applyNumberFormat="1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 applyAlignment="1">
      <alignment horizontal="right" vertical="center"/>
    </xf>
    <xf numFmtId="0" fontId="6" fillId="19" borderId="14" xfId="0" applyFont="1" applyFill="1" applyBorder="1" applyAlignment="1">
      <alignment horizontal="center"/>
    </xf>
    <xf numFmtId="0" fontId="10" fillId="20" borderId="10" xfId="0" applyFont="1" applyFill="1" applyBorder="1" applyAlignment="1">
      <alignment horizontal="left" vertical="center" wrapText="1"/>
    </xf>
    <xf numFmtId="166" fontId="4" fillId="22" borderId="14" xfId="0" applyNumberFormat="1" applyFont="1" applyFill="1" applyBorder="1" applyAlignment="1">
      <alignment horizontal="right" vertical="center"/>
    </xf>
    <xf numFmtId="166" fontId="4" fillId="0" borderId="14" xfId="0" applyNumberFormat="1" applyFont="1" applyFill="1" applyBorder="1" applyAlignment="1">
      <alignment horizontal="right" vertical="center"/>
    </xf>
    <xf numFmtId="166" fontId="4" fillId="0" borderId="18" xfId="0" applyNumberFormat="1" applyFont="1" applyFill="1" applyBorder="1" applyAlignment="1">
      <alignment horizontal="right" vertical="center"/>
    </xf>
    <xf numFmtId="4" fontId="12" fillId="22" borderId="10" xfId="0" applyNumberFormat="1" applyFont="1" applyFill="1" applyBorder="1" applyAlignment="1">
      <alignment horizontal="center" vertical="center"/>
    </xf>
    <xf numFmtId="0" fontId="7" fillId="22" borderId="10" xfId="0" applyFont="1" applyFill="1" applyBorder="1" applyAlignment="1">
      <alignment horizontal="left" vertical="center" wrapText="1"/>
    </xf>
    <xf numFmtId="0" fontId="7" fillId="22" borderId="10" xfId="0" applyFont="1" applyFill="1" applyBorder="1" applyAlignment="1">
      <alignment horizontal="left" vertical="center" wrapText="1" indent="1"/>
    </xf>
    <xf numFmtId="0" fontId="7" fillId="0" borderId="10" xfId="0" applyFont="1" applyBorder="1" applyAlignment="1">
      <alignment horizontal="center" vertical="top" wrapText="1"/>
    </xf>
    <xf numFmtId="0" fontId="7" fillId="22" borderId="10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right" vertical="center" wrapText="1"/>
    </xf>
    <xf numFmtId="0" fontId="32" fillId="0" borderId="0" xfId="0" applyFont="1" applyAlignment="1">
      <alignment vertical="center"/>
    </xf>
    <xf numFmtId="0" fontId="10" fillId="0" borderId="10" xfId="0" applyFont="1" applyFill="1" applyBorder="1" applyAlignment="1">
      <alignment horizontal="right" vertical="center"/>
    </xf>
    <xf numFmtId="0" fontId="7" fillId="22" borderId="10" xfId="0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3"/>
    </xf>
    <xf numFmtId="0" fontId="4" fillId="0" borderId="10" xfId="0" applyFont="1" applyBorder="1" applyAlignment="1">
      <alignment horizontal="left" vertical="center" wrapText="1" indent="3"/>
    </xf>
    <xf numFmtId="0" fontId="6" fillId="0" borderId="10" xfId="0" applyFont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2"/>
    </xf>
    <xf numFmtId="0" fontId="34" fillId="0" borderId="10" xfId="43" applyFont="1" applyFill="1" applyBorder="1" applyAlignment="1">
      <alignment horizontal="left" vertical="center" wrapText="1" indent="1"/>
    </xf>
    <xf numFmtId="4" fontId="11" fillId="20" borderId="14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2" fillId="0" borderId="10" xfId="0" applyNumberFormat="1" applyFont="1" applyFill="1" applyBorder="1" applyAlignment="1">
      <alignment horizontal="center" vertical="center"/>
    </xf>
    <xf numFmtId="0" fontId="6" fillId="0" borderId="16" xfId="0" applyFont="1" applyBorder="1"/>
    <xf numFmtId="168" fontId="6" fillId="0" borderId="11" xfId="0" applyNumberFormat="1" applyFont="1" applyBorder="1"/>
    <xf numFmtId="0" fontId="4" fillId="0" borderId="10" xfId="0" applyFont="1" applyFill="1" applyBorder="1" applyAlignment="1">
      <alignment horizontal="left" vertical="center" wrapText="1" indent="4"/>
    </xf>
    <xf numFmtId="0" fontId="4" fillId="21" borderId="10" xfId="0" applyFont="1" applyFill="1" applyBorder="1" applyAlignment="1">
      <alignment horizontal="left" vertical="center" wrapText="1" indent="3"/>
    </xf>
    <xf numFmtId="4" fontId="12" fillId="20" borderId="10" xfId="0" applyNumberFormat="1" applyFont="1" applyFill="1" applyBorder="1" applyAlignment="1">
      <alignment horizontal="right" vertical="center" wrapText="1"/>
    </xf>
    <xf numFmtId="0" fontId="10" fillId="0" borderId="20" xfId="43" applyFont="1" applyFill="1" applyBorder="1" applyAlignment="1">
      <alignment horizontal="left" vertical="center"/>
    </xf>
    <xf numFmtId="0" fontId="7" fillId="22" borderId="10" xfId="0" applyFont="1" applyFill="1" applyBorder="1" applyAlignment="1">
      <alignment horizontal="left" vertical="top" wrapText="1"/>
    </xf>
    <xf numFmtId="4" fontId="12" fillId="0" borderId="0" xfId="0" applyNumberFormat="1" applyFont="1" applyFill="1" applyBorder="1" applyAlignment="1">
      <alignment horizontal="center" vertical="center"/>
    </xf>
    <xf numFmtId="0" fontId="35" fillId="0" borderId="0" xfId="0" applyFont="1"/>
    <xf numFmtId="0" fontId="34" fillId="0" borderId="10" xfId="44" applyFont="1" applyBorder="1" applyAlignment="1">
      <alignment horizontal="left" vertical="center" wrapText="1" indent="1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7" fillId="19" borderId="10" xfId="0" applyFont="1" applyFill="1" applyBorder="1" applyAlignment="1">
      <alignment horizontal="center" vertical="center"/>
    </xf>
    <xf numFmtId="0" fontId="6" fillId="19" borderId="14" xfId="0" applyFont="1" applyFill="1" applyBorder="1" applyAlignment="1">
      <alignment horizontal="center" vertical="center" wrapText="1"/>
    </xf>
    <xf numFmtId="0" fontId="4" fillId="19" borderId="17" xfId="0" applyFont="1" applyFill="1" applyBorder="1" applyAlignment="1">
      <alignment horizontal="center" vertical="center"/>
    </xf>
    <xf numFmtId="0" fontId="4" fillId="19" borderId="19" xfId="0" applyFont="1" applyFill="1" applyBorder="1" applyAlignment="1">
      <alignment horizontal="center" vertical="center"/>
    </xf>
    <xf numFmtId="0" fontId="4" fillId="19" borderId="22" xfId="0" applyFont="1" applyFill="1" applyBorder="1" applyAlignment="1">
      <alignment horizontal="center" vertical="center"/>
    </xf>
    <xf numFmtId="0" fontId="4" fillId="19" borderId="23" xfId="0" applyFont="1" applyFill="1" applyBorder="1" applyAlignment="1">
      <alignment horizontal="center" vertical="center"/>
    </xf>
    <xf numFmtId="0" fontId="4" fillId="19" borderId="24" xfId="0" applyFont="1" applyFill="1" applyBorder="1" applyAlignment="1">
      <alignment horizontal="center" vertical="center"/>
    </xf>
    <xf numFmtId="0" fontId="4" fillId="19" borderId="13" xfId="0" applyFont="1" applyFill="1" applyBorder="1" applyAlignment="1">
      <alignment horizontal="center" vertical="center"/>
    </xf>
    <xf numFmtId="0" fontId="6" fillId="19" borderId="12" xfId="0" applyFont="1" applyFill="1" applyBorder="1" applyAlignment="1">
      <alignment horizontal="center" vertical="center" wrapText="1"/>
    </xf>
    <xf numFmtId="166" fontId="6" fillId="0" borderId="0" xfId="0" applyNumberFormat="1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 wrapText="1"/>
    </xf>
    <xf numFmtId="0" fontId="6" fillId="19" borderId="17" xfId="0" applyFont="1" applyFill="1" applyBorder="1" applyAlignment="1">
      <alignment horizontal="center" vertical="center"/>
    </xf>
    <xf numFmtId="0" fontId="6" fillId="19" borderId="19" xfId="0" applyFont="1" applyFill="1" applyBorder="1" applyAlignment="1">
      <alignment horizontal="center" vertical="center"/>
    </xf>
    <xf numFmtId="0" fontId="6" fillId="19" borderId="22" xfId="0" applyFont="1" applyFill="1" applyBorder="1" applyAlignment="1">
      <alignment horizontal="center" vertical="center"/>
    </xf>
    <xf numFmtId="0" fontId="6" fillId="19" borderId="18" xfId="0" applyFont="1" applyFill="1" applyBorder="1" applyAlignment="1">
      <alignment horizontal="center" vertical="center"/>
    </xf>
    <xf numFmtId="0" fontId="6" fillId="19" borderId="0" xfId="0" applyFont="1" applyFill="1" applyBorder="1" applyAlignment="1">
      <alignment horizontal="center" vertical="center"/>
    </xf>
    <xf numFmtId="0" fontId="6" fillId="19" borderId="25" xfId="0" applyFont="1" applyFill="1" applyBorder="1" applyAlignment="1">
      <alignment horizontal="center" vertical="center"/>
    </xf>
    <xf numFmtId="0" fontId="6" fillId="19" borderId="23" xfId="0" applyFont="1" applyFill="1" applyBorder="1" applyAlignment="1">
      <alignment horizontal="center" vertical="center"/>
    </xf>
    <xf numFmtId="0" fontId="6" fillId="19" borderId="24" xfId="0" applyFont="1" applyFill="1" applyBorder="1" applyAlignment="1">
      <alignment horizontal="center" vertical="center"/>
    </xf>
    <xf numFmtId="0" fontId="6" fillId="19" borderId="13" xfId="0" applyFont="1" applyFill="1" applyBorder="1" applyAlignment="1">
      <alignment horizontal="center" vertical="center"/>
    </xf>
    <xf numFmtId="0" fontId="6" fillId="19" borderId="14" xfId="0" applyFont="1" applyFill="1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4" fontId="12" fillId="0" borderId="19" xfId="0" applyNumberFormat="1" applyFont="1" applyFill="1" applyBorder="1" applyAlignment="1">
      <alignment horizontal="right" vertical="center" wrapText="1"/>
    </xf>
    <xf numFmtId="0" fontId="4" fillId="19" borderId="14" xfId="0" applyFont="1" applyFill="1" applyBorder="1" applyAlignment="1">
      <alignment horizontal="center" vertical="center"/>
    </xf>
    <xf numFmtId="0" fontId="4" fillId="19" borderId="15" xfId="0" applyFont="1" applyFill="1" applyBorder="1" applyAlignment="1">
      <alignment horizontal="center" vertical="center"/>
    </xf>
    <xf numFmtId="0" fontId="4" fillId="19" borderId="12" xfId="0" applyFont="1" applyFill="1" applyBorder="1" applyAlignment="1">
      <alignment horizontal="center" vertical="center"/>
    </xf>
    <xf numFmtId="0" fontId="6" fillId="19" borderId="16" xfId="0" applyFont="1" applyFill="1" applyBorder="1" applyAlignment="1">
      <alignment horizontal="center" vertical="center" wrapText="1"/>
    </xf>
    <xf numFmtId="0" fontId="6" fillId="19" borderId="21" xfId="0" applyFont="1" applyFill="1" applyBorder="1" applyAlignment="1">
      <alignment horizontal="center" vertical="center" wrapText="1"/>
    </xf>
    <xf numFmtId="0" fontId="6" fillId="19" borderId="11" xfId="0" applyFont="1" applyFill="1" applyBorder="1" applyAlignment="1">
      <alignment horizontal="center" vertical="center" wrapText="1"/>
    </xf>
    <xf numFmtId="168" fontId="6" fillId="0" borderId="14" xfId="0" applyNumberFormat="1" applyFont="1" applyBorder="1" applyAlignment="1">
      <alignment horizontal="center"/>
    </xf>
    <xf numFmtId="168" fontId="6" fillId="0" borderId="12" xfId="0" applyNumberFormat="1" applyFont="1" applyBorder="1" applyAlignment="1">
      <alignment horizontal="center"/>
    </xf>
    <xf numFmtId="0" fontId="6" fillId="19" borderId="12" xfId="0" applyFont="1" applyFill="1" applyBorder="1" applyAlignment="1">
      <alignment horizontal="center" vertical="center"/>
    </xf>
  </cellXfs>
  <cellStyles count="5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Dziesiętny 2" xfId="28"/>
    <cellStyle name="Dziesiętny 3" xfId="29"/>
    <cellStyle name="Dziesiętny 3 2" xfId="30"/>
    <cellStyle name="Dziesiętny 3 3" xfId="31"/>
    <cellStyle name="Dziesiętny 4" xfId="32"/>
    <cellStyle name="Dziesiętny 5" xfId="33"/>
    <cellStyle name="Explanatory Text" xfId="34"/>
    <cellStyle name="Good" xfId="35"/>
    <cellStyle name="Heading 1" xfId="36"/>
    <cellStyle name="Heading 2" xfId="37"/>
    <cellStyle name="Heading 3" xfId="38"/>
    <cellStyle name="Heading 4" xfId="39"/>
    <cellStyle name="Input" xfId="40"/>
    <cellStyle name="Linked Cell" xfId="41"/>
    <cellStyle name="Neutral" xfId="42"/>
    <cellStyle name="Normalny" xfId="0" builtinId="0"/>
    <cellStyle name="Normalny 2" xfId="43"/>
    <cellStyle name="Normalny 2 2" xfId="44"/>
    <cellStyle name="Note" xfId="45"/>
    <cellStyle name="Output" xfId="46"/>
    <cellStyle name="Title" xfId="47"/>
    <cellStyle name="Total" xfId="48"/>
    <cellStyle name="Warning Text" xfId="4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outlinePr summaryBelow="0"/>
  </sheetPr>
  <dimension ref="A1:Z108"/>
  <sheetViews>
    <sheetView tabSelected="1" topLeftCell="B1" zoomScaleNormal="100" workbookViewId="0"/>
  </sheetViews>
  <sheetFormatPr defaultRowHeight="12.75" outlineLevelRow="1" outlineLevelCol="1" x14ac:dyDescent="0.2"/>
  <cols>
    <col min="1" max="1" width="5.7109375" style="1" hidden="1" customWidth="1"/>
    <col min="2" max="2" width="30.7109375" style="1" customWidth="1"/>
    <col min="3" max="4" width="14.5703125" style="1" customWidth="1"/>
    <col min="5" max="5" width="14.5703125" style="1" customWidth="1" outlineLevel="1"/>
    <col min="6" max="6" width="13.85546875" style="1" customWidth="1" outlineLevel="1"/>
    <col min="7" max="9" width="13" style="1" customWidth="1" outlineLevel="1"/>
    <col min="10" max="10" width="13" style="1" customWidth="1"/>
    <col min="11" max="11" width="7.42578125" style="1" customWidth="1"/>
    <col min="12" max="12" width="8.42578125" style="1" customWidth="1"/>
    <col min="13" max="13" width="8.5703125" style="1" customWidth="1"/>
    <col min="14" max="16384" width="9.140625" style="1"/>
  </cols>
  <sheetData>
    <row r="1" spans="2:17" ht="18" customHeight="1" x14ac:dyDescent="0.2">
      <c r="B1" s="100" t="str">
        <f>CONCATENATE("Informacja z wykonania budżetów województw za ",$D$105," ",$C$106," rok    ",$C$108,"")</f>
        <v xml:space="preserve">Informacja z wykonania budżetów województw za II Kwartały 2024 rok    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</row>
    <row r="2" spans="2:17" ht="60" customHeight="1" x14ac:dyDescent="0.2">
      <c r="B2" s="125" t="s">
        <v>0</v>
      </c>
      <c r="C2" s="13" t="s">
        <v>26</v>
      </c>
      <c r="D2" s="13" t="s">
        <v>27</v>
      </c>
      <c r="E2" s="13" t="s">
        <v>88</v>
      </c>
      <c r="F2" s="13" t="s">
        <v>89</v>
      </c>
      <c r="G2" s="13" t="s">
        <v>90</v>
      </c>
      <c r="H2" s="13" t="s">
        <v>91</v>
      </c>
      <c r="I2" s="13" t="s">
        <v>92</v>
      </c>
      <c r="J2" s="14" t="s">
        <v>2</v>
      </c>
      <c r="K2" s="13" t="s">
        <v>18</v>
      </c>
      <c r="L2" s="13" t="s">
        <v>3</v>
      </c>
    </row>
    <row r="3" spans="2:17" ht="9.75" customHeight="1" x14ac:dyDescent="0.2">
      <c r="B3" s="125"/>
      <c r="C3" s="148" t="s">
        <v>60</v>
      </c>
      <c r="D3" s="150"/>
      <c r="E3" s="127" t="s">
        <v>86</v>
      </c>
      <c r="F3" s="128"/>
      <c r="G3" s="128"/>
      <c r="H3" s="128"/>
      <c r="I3" s="129"/>
      <c r="J3" s="148" t="s">
        <v>4</v>
      </c>
      <c r="K3" s="149"/>
      <c r="L3" s="150"/>
    </row>
    <row r="4" spans="2:17" ht="9" customHeight="1" x14ac:dyDescent="0.2">
      <c r="B4" s="14">
        <v>1</v>
      </c>
      <c r="C4" s="16">
        <v>2</v>
      </c>
      <c r="D4" s="16">
        <v>3</v>
      </c>
      <c r="E4" s="130"/>
      <c r="F4" s="131"/>
      <c r="G4" s="131"/>
      <c r="H4" s="131"/>
      <c r="I4" s="132"/>
      <c r="J4" s="16">
        <v>4</v>
      </c>
      <c r="K4" s="16">
        <v>5</v>
      </c>
      <c r="L4" s="16">
        <v>6</v>
      </c>
    </row>
    <row r="5" spans="2:17" ht="12.95" customHeight="1" x14ac:dyDescent="0.2">
      <c r="B5" s="98" t="s">
        <v>5</v>
      </c>
      <c r="C5" s="55">
        <f>37032700755.35</f>
        <v>37032700755.349998</v>
      </c>
      <c r="D5" s="55">
        <f>17572449666.43</f>
        <v>17572449666.43</v>
      </c>
      <c r="E5" s="94" t="s">
        <v>86</v>
      </c>
      <c r="F5" s="94" t="s">
        <v>86</v>
      </c>
      <c r="G5" s="94" t="s">
        <v>86</v>
      </c>
      <c r="H5" s="94" t="s">
        <v>86</v>
      </c>
      <c r="I5" s="94" t="s">
        <v>86</v>
      </c>
      <c r="J5" s="56">
        <f t="shared" ref="J5:J40" si="0">IF($D$5=0,"",100*$D5/$D$5)</f>
        <v>100</v>
      </c>
      <c r="K5" s="56">
        <f t="shared" ref="K5:K43" si="1">IF(C5=0,"",100*D5/C5)</f>
        <v>47.451169663588104</v>
      </c>
      <c r="L5" s="56"/>
      <c r="M5" s="34"/>
      <c r="N5" s="34"/>
      <c r="O5" s="34"/>
      <c r="P5" s="34"/>
      <c r="Q5" s="34"/>
    </row>
    <row r="6" spans="2:17" ht="27" customHeight="1" x14ac:dyDescent="0.2">
      <c r="B6" s="96" t="s">
        <v>41</v>
      </c>
      <c r="C6" s="22">
        <f>C5-C11-C35</f>
        <v>21548296589.899998</v>
      </c>
      <c r="D6" s="22">
        <f>D5-D11-D35</f>
        <v>10824083500.380001</v>
      </c>
      <c r="E6" s="94" t="s">
        <v>86</v>
      </c>
      <c r="F6" s="94" t="s">
        <v>86</v>
      </c>
      <c r="G6" s="94" t="s">
        <v>86</v>
      </c>
      <c r="H6" s="94" t="s">
        <v>86</v>
      </c>
      <c r="I6" s="94" t="s">
        <v>86</v>
      </c>
      <c r="J6" s="29">
        <f t="shared" si="0"/>
        <v>61.596895742191705</v>
      </c>
      <c r="K6" s="29">
        <f t="shared" si="1"/>
        <v>50.231736208111258</v>
      </c>
      <c r="L6" s="29">
        <f>IF($D$6=0,"",100*$D6/$D$6)</f>
        <v>100</v>
      </c>
      <c r="M6" s="34"/>
      <c r="N6" s="34"/>
      <c r="O6" s="34"/>
      <c r="P6" s="34"/>
      <c r="Q6" s="34"/>
    </row>
    <row r="7" spans="2:17" ht="22.5" outlineLevel="1" x14ac:dyDescent="0.2">
      <c r="B7" s="28" t="s">
        <v>25</v>
      </c>
      <c r="C7" s="20">
        <f>16512781578</f>
        <v>16512781578</v>
      </c>
      <c r="D7" s="20">
        <f>8256390750</f>
        <v>8256390750</v>
      </c>
      <c r="E7" s="110" t="s">
        <v>86</v>
      </c>
      <c r="F7" s="110" t="s">
        <v>86</v>
      </c>
      <c r="G7" s="110" t="s">
        <v>86</v>
      </c>
      <c r="H7" s="110" t="s">
        <v>86</v>
      </c>
      <c r="I7" s="110" t="s">
        <v>86</v>
      </c>
      <c r="J7" s="30">
        <f t="shared" si="0"/>
        <v>46.984859292400294</v>
      </c>
      <c r="K7" s="30">
        <f t="shared" si="1"/>
        <v>49.999999763819318</v>
      </c>
      <c r="L7" s="30">
        <f>IF($D$6=0,"",100*$D7/$D$6)</f>
        <v>76.277966164157391</v>
      </c>
      <c r="M7" s="34"/>
      <c r="N7" s="34"/>
      <c r="O7" s="34"/>
      <c r="P7" s="34"/>
      <c r="Q7" s="34"/>
    </row>
    <row r="8" spans="2:17" ht="22.5" outlineLevel="1" x14ac:dyDescent="0.2">
      <c r="B8" s="60" t="s">
        <v>19</v>
      </c>
      <c r="C8" s="21">
        <f>2302395107</f>
        <v>2302395107</v>
      </c>
      <c r="D8" s="21">
        <f>1151197512</f>
        <v>1151197512</v>
      </c>
      <c r="E8" s="110" t="s">
        <v>86</v>
      </c>
      <c r="F8" s="110" t="s">
        <v>86</v>
      </c>
      <c r="G8" s="110" t="s">
        <v>86</v>
      </c>
      <c r="H8" s="110" t="s">
        <v>86</v>
      </c>
      <c r="I8" s="110" t="s">
        <v>86</v>
      </c>
      <c r="J8" s="30">
        <f t="shared" si="0"/>
        <v>6.5511498615882848</v>
      </c>
      <c r="K8" s="30">
        <f t="shared" si="1"/>
        <v>49.99999819752918</v>
      </c>
      <c r="L8" s="30">
        <f>IF($D$6=0,"",100*$D8/$D$6)</f>
        <v>10.635519505735381</v>
      </c>
      <c r="M8" s="34"/>
      <c r="N8" s="34"/>
      <c r="O8" s="34"/>
      <c r="P8" s="34"/>
      <c r="Q8" s="34"/>
    </row>
    <row r="9" spans="2:17" ht="12.75" customHeight="1" outlineLevel="1" x14ac:dyDescent="0.2">
      <c r="B9" s="60" t="s">
        <v>20</v>
      </c>
      <c r="C9" s="21">
        <f>213987162.99</f>
        <v>213987162.99000001</v>
      </c>
      <c r="D9" s="57">
        <f>112126809.41</f>
        <v>112126809.41</v>
      </c>
      <c r="E9" s="110" t="s">
        <v>86</v>
      </c>
      <c r="F9" s="110" t="s">
        <v>86</v>
      </c>
      <c r="G9" s="110" t="s">
        <v>86</v>
      </c>
      <c r="H9" s="110" t="s">
        <v>86</v>
      </c>
      <c r="I9" s="110" t="s">
        <v>86</v>
      </c>
      <c r="J9" s="30">
        <f t="shared" si="0"/>
        <v>0.63808297385084822</v>
      </c>
      <c r="K9" s="30">
        <f t="shared" si="1"/>
        <v>52.398848530572778</v>
      </c>
      <c r="L9" s="30">
        <f>IF($D$6=0,"",100*$D9/$D$6)</f>
        <v>1.0359011865167482</v>
      </c>
      <c r="M9" s="34"/>
      <c r="N9" s="34"/>
      <c r="O9" s="34"/>
      <c r="P9" s="34"/>
      <c r="Q9" s="34"/>
    </row>
    <row r="10" spans="2:17" ht="12.75" customHeight="1" outlineLevel="1" x14ac:dyDescent="0.2">
      <c r="B10" s="60" t="s">
        <v>21</v>
      </c>
      <c r="C10" s="21">
        <f>C6-C7-C8-C9</f>
        <v>2519132741.9099979</v>
      </c>
      <c r="D10" s="21">
        <f>D6-D7-D8-D9</f>
        <v>1304368428.970001</v>
      </c>
      <c r="E10" s="110" t="s">
        <v>86</v>
      </c>
      <c r="F10" s="110" t="s">
        <v>86</v>
      </c>
      <c r="G10" s="110" t="s">
        <v>86</v>
      </c>
      <c r="H10" s="110" t="s">
        <v>86</v>
      </c>
      <c r="I10" s="110" t="s">
        <v>86</v>
      </c>
      <c r="J10" s="30">
        <f t="shared" si="0"/>
        <v>7.4228036143522784</v>
      </c>
      <c r="K10" s="30">
        <f t="shared" si="1"/>
        <v>51.778471506072094</v>
      </c>
      <c r="L10" s="30">
        <f>IF($D$6=0,"",100*$D10/$D$6)</f>
        <v>12.05061314359048</v>
      </c>
      <c r="M10" s="34"/>
      <c r="N10" s="34"/>
      <c r="O10" s="34"/>
      <c r="P10" s="34"/>
      <c r="Q10" s="34"/>
    </row>
    <row r="11" spans="2:17" ht="27" customHeight="1" x14ac:dyDescent="0.2">
      <c r="B11" s="96" t="s">
        <v>87</v>
      </c>
      <c r="C11" s="55">
        <f>C12+C31+C33</f>
        <v>9156288616.4500008</v>
      </c>
      <c r="D11" s="55">
        <f>D12+D31+D33</f>
        <v>3307610044.0500002</v>
      </c>
      <c r="E11" s="94" t="s">
        <v>86</v>
      </c>
      <c r="F11" s="94" t="s">
        <v>86</v>
      </c>
      <c r="G11" s="94" t="s">
        <v>86</v>
      </c>
      <c r="H11" s="94" t="s">
        <v>86</v>
      </c>
      <c r="I11" s="94" t="s">
        <v>86</v>
      </c>
      <c r="J11" s="56">
        <f t="shared" si="0"/>
        <v>18.822703190715529</v>
      </c>
      <c r="K11" s="56">
        <f t="shared" si="1"/>
        <v>36.123916387996069</v>
      </c>
      <c r="L11" s="58"/>
      <c r="M11" s="34"/>
      <c r="N11" s="34"/>
      <c r="O11" s="34"/>
      <c r="P11" s="34"/>
      <c r="Q11" s="34"/>
    </row>
    <row r="12" spans="2:17" ht="27" customHeight="1" outlineLevel="1" x14ac:dyDescent="0.2">
      <c r="B12" s="102" t="s">
        <v>42</v>
      </c>
      <c r="C12" s="55">
        <f>C13+C15+C17+C19+C21+C23+C25+C27+C29</f>
        <v>3343327251.5</v>
      </c>
      <c r="D12" s="55">
        <f>D13+D15+D17+D19+D21+D23+D25+D27+D29</f>
        <v>1573144180.0800002</v>
      </c>
      <c r="E12" s="94" t="s">
        <v>86</v>
      </c>
      <c r="F12" s="94" t="s">
        <v>86</v>
      </c>
      <c r="G12" s="94" t="s">
        <v>86</v>
      </c>
      <c r="H12" s="94" t="s">
        <v>86</v>
      </c>
      <c r="I12" s="94" t="s">
        <v>86</v>
      </c>
      <c r="J12" s="56">
        <f t="shared" si="0"/>
        <v>8.9523328274787914</v>
      </c>
      <c r="K12" s="56">
        <f t="shared" si="1"/>
        <v>47.053251498913291</v>
      </c>
      <c r="L12" s="26"/>
      <c r="M12" s="34"/>
      <c r="N12" s="34"/>
      <c r="O12" s="34"/>
      <c r="P12" s="34"/>
      <c r="Q12" s="34"/>
    </row>
    <row r="13" spans="2:17" ht="22.5" outlineLevel="1" x14ac:dyDescent="0.2">
      <c r="B13" s="103" t="s">
        <v>9</v>
      </c>
      <c r="C13" s="21">
        <f>1673507576.7</f>
        <v>1673507576.7</v>
      </c>
      <c r="D13" s="21">
        <f>1137735690.41</f>
        <v>1137735690.4100001</v>
      </c>
      <c r="E13" s="110" t="s">
        <v>86</v>
      </c>
      <c r="F13" s="110" t="s">
        <v>86</v>
      </c>
      <c r="G13" s="110" t="s">
        <v>86</v>
      </c>
      <c r="H13" s="110" t="s">
        <v>86</v>
      </c>
      <c r="I13" s="110" t="s">
        <v>86</v>
      </c>
      <c r="J13" s="30">
        <f t="shared" si="0"/>
        <v>6.4745423205479655</v>
      </c>
      <c r="K13" s="30">
        <f t="shared" si="1"/>
        <v>67.985093479738424</v>
      </c>
      <c r="L13" s="26"/>
      <c r="M13" s="34"/>
      <c r="N13" s="34"/>
      <c r="O13" s="34"/>
      <c r="P13" s="34"/>
      <c r="Q13" s="34"/>
    </row>
    <row r="14" spans="2:17" ht="12.75" customHeight="1" outlineLevel="1" x14ac:dyDescent="0.2">
      <c r="B14" s="113" t="s">
        <v>6</v>
      </c>
      <c r="C14" s="21">
        <f>147465</f>
        <v>147465</v>
      </c>
      <c r="D14" s="21">
        <f>0</f>
        <v>0</v>
      </c>
      <c r="E14" s="110" t="s">
        <v>86</v>
      </c>
      <c r="F14" s="110" t="s">
        <v>86</v>
      </c>
      <c r="G14" s="110" t="s">
        <v>86</v>
      </c>
      <c r="H14" s="110" t="s">
        <v>86</v>
      </c>
      <c r="I14" s="110" t="s">
        <v>86</v>
      </c>
      <c r="J14" s="30">
        <f t="shared" si="0"/>
        <v>0</v>
      </c>
      <c r="K14" s="30">
        <f t="shared" si="1"/>
        <v>0</v>
      </c>
      <c r="L14" s="26"/>
      <c r="M14" s="34"/>
      <c r="N14" s="34"/>
      <c r="O14" s="34"/>
      <c r="P14" s="34"/>
      <c r="Q14" s="34"/>
    </row>
    <row r="15" spans="2:17" ht="12.75" customHeight="1" outlineLevel="1" x14ac:dyDescent="0.2">
      <c r="B15" s="103" t="s">
        <v>7</v>
      </c>
      <c r="C15" s="21">
        <f>133696851.6</f>
        <v>133696851.59999999</v>
      </c>
      <c r="D15" s="21">
        <f>22589496.65</f>
        <v>22589496.649999999</v>
      </c>
      <c r="E15" s="110" t="s">
        <v>86</v>
      </c>
      <c r="F15" s="110" t="s">
        <v>86</v>
      </c>
      <c r="G15" s="110" t="s">
        <v>86</v>
      </c>
      <c r="H15" s="110" t="s">
        <v>86</v>
      </c>
      <c r="I15" s="110" t="s">
        <v>86</v>
      </c>
      <c r="J15" s="30">
        <f t="shared" si="0"/>
        <v>0.12855064079742082</v>
      </c>
      <c r="K15" s="30">
        <f t="shared" si="1"/>
        <v>16.896057296535471</v>
      </c>
      <c r="L15" s="26"/>
      <c r="M15" s="34"/>
      <c r="N15" s="34"/>
      <c r="O15" s="34"/>
      <c r="P15" s="34"/>
      <c r="Q15" s="34"/>
    </row>
    <row r="16" spans="2:17" ht="12.75" customHeight="1" outlineLevel="1" x14ac:dyDescent="0.2">
      <c r="B16" s="113" t="s">
        <v>6</v>
      </c>
      <c r="C16" s="21">
        <f>105335095.6</f>
        <v>105335095.59999999</v>
      </c>
      <c r="D16" s="21">
        <f>8673599.07</f>
        <v>8673599.0700000003</v>
      </c>
      <c r="E16" s="110" t="s">
        <v>86</v>
      </c>
      <c r="F16" s="110" t="s">
        <v>86</v>
      </c>
      <c r="G16" s="110" t="s">
        <v>86</v>
      </c>
      <c r="H16" s="110" t="s">
        <v>86</v>
      </c>
      <c r="I16" s="110" t="s">
        <v>86</v>
      </c>
      <c r="J16" s="30">
        <f t="shared" si="0"/>
        <v>4.9359077616650357E-2</v>
      </c>
      <c r="K16" s="30">
        <f t="shared" si="1"/>
        <v>8.2342917340077868</v>
      </c>
      <c r="L16" s="26"/>
      <c r="M16" s="34"/>
      <c r="N16" s="34"/>
      <c r="O16" s="34"/>
      <c r="P16" s="34"/>
      <c r="Q16" s="34"/>
    </row>
    <row r="17" spans="2:17" ht="33.75" outlineLevel="1" x14ac:dyDescent="0.2">
      <c r="B17" s="103" t="s">
        <v>10</v>
      </c>
      <c r="C17" s="21">
        <f>96593177.19</f>
        <v>96593177.189999998</v>
      </c>
      <c r="D17" s="21">
        <f>28203761.52</f>
        <v>28203761.52</v>
      </c>
      <c r="E17" s="110" t="s">
        <v>86</v>
      </c>
      <c r="F17" s="110" t="s">
        <v>86</v>
      </c>
      <c r="G17" s="110" t="s">
        <v>86</v>
      </c>
      <c r="H17" s="110" t="s">
        <v>86</v>
      </c>
      <c r="I17" s="110" t="s">
        <v>86</v>
      </c>
      <c r="J17" s="30">
        <f t="shared" si="0"/>
        <v>0.16049988507794569</v>
      </c>
      <c r="K17" s="30">
        <f t="shared" si="1"/>
        <v>29.198502772636669</v>
      </c>
      <c r="L17" s="26"/>
      <c r="M17" s="34"/>
      <c r="N17" s="34"/>
      <c r="O17" s="34"/>
      <c r="P17" s="34"/>
      <c r="Q17" s="34"/>
    </row>
    <row r="18" spans="2:17" ht="12.75" customHeight="1" outlineLevel="1" x14ac:dyDescent="0.2">
      <c r="B18" s="113" t="s">
        <v>6</v>
      </c>
      <c r="C18" s="21">
        <f>13519248</f>
        <v>13519248</v>
      </c>
      <c r="D18" s="21">
        <f>0</f>
        <v>0</v>
      </c>
      <c r="E18" s="110" t="s">
        <v>86</v>
      </c>
      <c r="F18" s="110" t="s">
        <v>86</v>
      </c>
      <c r="G18" s="110" t="s">
        <v>86</v>
      </c>
      <c r="H18" s="110" t="s">
        <v>86</v>
      </c>
      <c r="I18" s="110" t="s">
        <v>86</v>
      </c>
      <c r="J18" s="30">
        <f t="shared" si="0"/>
        <v>0</v>
      </c>
      <c r="K18" s="30">
        <f t="shared" si="1"/>
        <v>0</v>
      </c>
      <c r="L18" s="26"/>
      <c r="M18" s="34"/>
      <c r="N18" s="34"/>
      <c r="O18" s="34"/>
      <c r="P18" s="34"/>
      <c r="Q18" s="34"/>
    </row>
    <row r="19" spans="2:17" ht="24" customHeight="1" outlineLevel="1" x14ac:dyDescent="0.2">
      <c r="B19" s="103" t="s">
        <v>11</v>
      </c>
      <c r="C19" s="21">
        <f>62159346.34</f>
        <v>62159346.340000004</v>
      </c>
      <c r="D19" s="21">
        <f>31031051</f>
        <v>31031051</v>
      </c>
      <c r="E19" s="110" t="s">
        <v>86</v>
      </c>
      <c r="F19" s="110" t="s">
        <v>86</v>
      </c>
      <c r="G19" s="110" t="s">
        <v>86</v>
      </c>
      <c r="H19" s="110" t="s">
        <v>86</v>
      </c>
      <c r="I19" s="110" t="s">
        <v>86</v>
      </c>
      <c r="J19" s="30">
        <f t="shared" si="0"/>
        <v>0.1765892154426312</v>
      </c>
      <c r="K19" s="30">
        <f t="shared" si="1"/>
        <v>49.9217781832292</v>
      </c>
      <c r="L19" s="26"/>
      <c r="M19" s="34"/>
      <c r="N19" s="34"/>
      <c r="O19" s="34"/>
      <c r="P19" s="34"/>
      <c r="Q19" s="34"/>
    </row>
    <row r="20" spans="2:17" ht="12.75" customHeight="1" outlineLevel="1" x14ac:dyDescent="0.2">
      <c r="B20" s="113" t="s">
        <v>6</v>
      </c>
      <c r="C20" s="21">
        <f>4696730</f>
        <v>4696730</v>
      </c>
      <c r="D20" s="21">
        <f>2033534.72</f>
        <v>2033534.72</v>
      </c>
      <c r="E20" s="110" t="s">
        <v>86</v>
      </c>
      <c r="F20" s="110" t="s">
        <v>86</v>
      </c>
      <c r="G20" s="110" t="s">
        <v>86</v>
      </c>
      <c r="H20" s="110" t="s">
        <v>86</v>
      </c>
      <c r="I20" s="110" t="s">
        <v>86</v>
      </c>
      <c r="J20" s="30">
        <f t="shared" si="0"/>
        <v>1.1572289342702272E-2</v>
      </c>
      <c r="K20" s="30">
        <f t="shared" si="1"/>
        <v>43.29681970221835</v>
      </c>
      <c r="L20" s="26"/>
      <c r="M20" s="34"/>
      <c r="N20" s="34"/>
      <c r="O20" s="34"/>
      <c r="P20" s="34"/>
      <c r="Q20" s="34"/>
    </row>
    <row r="21" spans="2:17" ht="33.75" customHeight="1" outlineLevel="1" x14ac:dyDescent="0.2">
      <c r="B21" s="103" t="s">
        <v>61</v>
      </c>
      <c r="C21" s="21">
        <f>268868238.7</f>
        <v>268868238.69999999</v>
      </c>
      <c r="D21" s="21">
        <f>89989235.78</f>
        <v>89989235.780000001</v>
      </c>
      <c r="E21" s="110" t="s">
        <v>86</v>
      </c>
      <c r="F21" s="110" t="s">
        <v>86</v>
      </c>
      <c r="G21" s="110" t="s">
        <v>86</v>
      </c>
      <c r="H21" s="110" t="s">
        <v>86</v>
      </c>
      <c r="I21" s="110" t="s">
        <v>86</v>
      </c>
      <c r="J21" s="30">
        <f t="shared" si="0"/>
        <v>0.51210410323105571</v>
      </c>
      <c r="K21" s="30">
        <f t="shared" si="1"/>
        <v>33.469641566852722</v>
      </c>
      <c r="L21" s="26"/>
      <c r="M21" s="34"/>
      <c r="N21" s="34"/>
      <c r="O21" s="34"/>
      <c r="P21" s="34"/>
      <c r="Q21" s="34"/>
    </row>
    <row r="22" spans="2:17" ht="12.75" customHeight="1" outlineLevel="1" x14ac:dyDescent="0.2">
      <c r="B22" s="113" t="s">
        <v>6</v>
      </c>
      <c r="C22" s="21">
        <f>179123026.6</f>
        <v>179123026.59999999</v>
      </c>
      <c r="D22" s="21">
        <f>40740979.15</f>
        <v>40740979.149999999</v>
      </c>
      <c r="E22" s="110" t="s">
        <v>86</v>
      </c>
      <c r="F22" s="110" t="s">
        <v>86</v>
      </c>
      <c r="G22" s="110" t="s">
        <v>86</v>
      </c>
      <c r="H22" s="110" t="s">
        <v>86</v>
      </c>
      <c r="I22" s="110" t="s">
        <v>86</v>
      </c>
      <c r="J22" s="30">
        <f t="shared" si="0"/>
        <v>0.23184575812347108</v>
      </c>
      <c r="K22" s="30">
        <f t="shared" si="1"/>
        <v>22.744691133976183</v>
      </c>
      <c r="L22" s="26"/>
      <c r="M22" s="34"/>
      <c r="N22" s="34"/>
      <c r="O22" s="34"/>
      <c r="P22" s="34"/>
      <c r="Q22" s="34"/>
    </row>
    <row r="23" spans="2:17" outlineLevel="1" x14ac:dyDescent="0.2">
      <c r="B23" s="103" t="s">
        <v>8</v>
      </c>
      <c r="C23" s="21">
        <f>60338475</f>
        <v>60338475</v>
      </c>
      <c r="D23" s="21">
        <f>36457780.01</f>
        <v>36457780.009999998</v>
      </c>
      <c r="E23" s="110" t="s">
        <v>86</v>
      </c>
      <c r="F23" s="110" t="s">
        <v>86</v>
      </c>
      <c r="G23" s="110" t="s">
        <v>86</v>
      </c>
      <c r="H23" s="110" t="s">
        <v>86</v>
      </c>
      <c r="I23" s="110" t="s">
        <v>86</v>
      </c>
      <c r="J23" s="30">
        <f t="shared" si="0"/>
        <v>0.20747124448817228</v>
      </c>
      <c r="K23" s="30">
        <f t="shared" si="1"/>
        <v>60.422110452741805</v>
      </c>
      <c r="L23" s="26"/>
      <c r="M23" s="34"/>
      <c r="N23" s="34"/>
      <c r="O23" s="34"/>
      <c r="P23" s="34"/>
      <c r="Q23" s="34"/>
    </row>
    <row r="24" spans="2:17" ht="12.75" customHeight="1" outlineLevel="1" x14ac:dyDescent="0.2">
      <c r="B24" s="113" t="s">
        <v>6</v>
      </c>
      <c r="C24" s="21">
        <f>21800000</f>
        <v>21800000</v>
      </c>
      <c r="D24" s="21">
        <f>9409999.45</f>
        <v>9409999.4499999993</v>
      </c>
      <c r="E24" s="110" t="s">
        <v>86</v>
      </c>
      <c r="F24" s="110" t="s">
        <v>86</v>
      </c>
      <c r="G24" s="110" t="s">
        <v>86</v>
      </c>
      <c r="H24" s="110" t="s">
        <v>86</v>
      </c>
      <c r="I24" s="110" t="s">
        <v>86</v>
      </c>
      <c r="J24" s="30">
        <f t="shared" si="0"/>
        <v>5.3549730564752408E-2</v>
      </c>
      <c r="K24" s="30">
        <f t="shared" si="1"/>
        <v>43.16513509174311</v>
      </c>
      <c r="L24" s="26"/>
      <c r="M24" s="34"/>
      <c r="N24" s="34"/>
      <c r="O24" s="34"/>
      <c r="P24" s="34"/>
      <c r="Q24" s="34"/>
    </row>
    <row r="25" spans="2:17" ht="67.5" outlineLevel="1" x14ac:dyDescent="0.2">
      <c r="B25" s="103" t="s">
        <v>77</v>
      </c>
      <c r="C25" s="21">
        <f>306200</f>
        <v>306200</v>
      </c>
      <c r="D25" s="21">
        <f>0</f>
        <v>0</v>
      </c>
      <c r="E25" s="110" t="s">
        <v>86</v>
      </c>
      <c r="F25" s="110" t="s">
        <v>86</v>
      </c>
      <c r="G25" s="110" t="s">
        <v>86</v>
      </c>
      <c r="H25" s="110" t="s">
        <v>86</v>
      </c>
      <c r="I25" s="110" t="s">
        <v>86</v>
      </c>
      <c r="J25" s="30">
        <f t="shared" si="0"/>
        <v>0</v>
      </c>
      <c r="K25" s="30">
        <f t="shared" si="1"/>
        <v>0</v>
      </c>
      <c r="L25" s="26"/>
      <c r="M25" s="34"/>
      <c r="N25" s="34"/>
      <c r="O25" s="34"/>
      <c r="P25" s="34"/>
      <c r="Q25" s="34"/>
    </row>
    <row r="26" spans="2:17" ht="12.75" customHeight="1" outlineLevel="1" x14ac:dyDescent="0.2">
      <c r="B26" s="113" t="s">
        <v>78</v>
      </c>
      <c r="C26" s="21">
        <f>306200</f>
        <v>306200</v>
      </c>
      <c r="D26" s="21">
        <f>0</f>
        <v>0</v>
      </c>
      <c r="E26" s="110" t="s">
        <v>86</v>
      </c>
      <c r="F26" s="110" t="s">
        <v>86</v>
      </c>
      <c r="G26" s="110" t="s">
        <v>86</v>
      </c>
      <c r="H26" s="110" t="s">
        <v>86</v>
      </c>
      <c r="I26" s="110" t="s">
        <v>86</v>
      </c>
      <c r="J26" s="30">
        <f t="shared" si="0"/>
        <v>0</v>
      </c>
      <c r="K26" s="30">
        <f t="shared" si="1"/>
        <v>0</v>
      </c>
      <c r="L26" s="26"/>
      <c r="M26" s="34"/>
      <c r="N26" s="34"/>
      <c r="O26" s="34"/>
      <c r="P26" s="34"/>
      <c r="Q26" s="34"/>
    </row>
    <row r="27" spans="2:17" ht="45" outlineLevel="1" x14ac:dyDescent="0.2">
      <c r="B27" s="114" t="s">
        <v>76</v>
      </c>
      <c r="C27" s="67">
        <f>1025701784.97</f>
        <v>1025701784.97</v>
      </c>
      <c r="D27" s="67">
        <f>202722110.66</f>
        <v>202722110.66</v>
      </c>
      <c r="E27" s="110" t="s">
        <v>86</v>
      </c>
      <c r="F27" s="110" t="s">
        <v>86</v>
      </c>
      <c r="G27" s="110" t="s">
        <v>86</v>
      </c>
      <c r="H27" s="110" t="s">
        <v>86</v>
      </c>
      <c r="I27" s="110" t="s">
        <v>86</v>
      </c>
      <c r="J27" s="68">
        <f t="shared" si="0"/>
        <v>1.1536360297407799</v>
      </c>
      <c r="K27" s="68">
        <f t="shared" si="1"/>
        <v>19.764234949238123</v>
      </c>
      <c r="L27" s="26"/>
      <c r="M27" s="34"/>
      <c r="N27" s="34"/>
      <c r="O27" s="34"/>
      <c r="P27" s="34"/>
      <c r="Q27" s="34"/>
    </row>
    <row r="28" spans="2:17" ht="12.75" customHeight="1" outlineLevel="1" x14ac:dyDescent="0.2">
      <c r="B28" s="113" t="s">
        <v>6</v>
      </c>
      <c r="C28" s="21">
        <f>1025701784.97</f>
        <v>1025701784.97</v>
      </c>
      <c r="D28" s="21">
        <f>202722110.66</f>
        <v>202722110.66</v>
      </c>
      <c r="E28" s="110" t="s">
        <v>86</v>
      </c>
      <c r="F28" s="110" t="s">
        <v>86</v>
      </c>
      <c r="G28" s="110" t="s">
        <v>86</v>
      </c>
      <c r="H28" s="110" t="s">
        <v>86</v>
      </c>
      <c r="I28" s="110" t="s">
        <v>86</v>
      </c>
      <c r="J28" s="30">
        <f t="shared" si="0"/>
        <v>1.1536360297407799</v>
      </c>
      <c r="K28" s="30">
        <f t="shared" si="1"/>
        <v>19.764234949238123</v>
      </c>
      <c r="L28" s="26"/>
      <c r="M28" s="34"/>
      <c r="N28" s="34"/>
      <c r="O28" s="34"/>
      <c r="P28" s="34"/>
      <c r="Q28" s="34"/>
    </row>
    <row r="29" spans="2:17" ht="22.5" outlineLevel="1" x14ac:dyDescent="0.2">
      <c r="B29" s="114" t="s">
        <v>95</v>
      </c>
      <c r="C29" s="21">
        <f>22155601</f>
        <v>22155601</v>
      </c>
      <c r="D29" s="21">
        <f>24415054.05</f>
        <v>24415054.050000001</v>
      </c>
      <c r="E29" s="110" t="s">
        <v>86</v>
      </c>
      <c r="F29" s="110" t="s">
        <v>86</v>
      </c>
      <c r="G29" s="110" t="s">
        <v>86</v>
      </c>
      <c r="H29" s="110" t="s">
        <v>86</v>
      </c>
      <c r="I29" s="110" t="s">
        <v>86</v>
      </c>
      <c r="J29" s="30">
        <f t="shared" si="0"/>
        <v>0.13893938815281942</v>
      </c>
      <c r="K29" s="30">
        <f t="shared" si="1"/>
        <v>110.19811220647998</v>
      </c>
      <c r="L29" s="26"/>
      <c r="M29" s="34"/>
      <c r="N29" s="34"/>
      <c r="O29" s="34"/>
      <c r="P29" s="34"/>
      <c r="Q29" s="34"/>
    </row>
    <row r="30" spans="2:17" ht="12.75" customHeight="1" outlineLevel="1" x14ac:dyDescent="0.2">
      <c r="B30" s="113" t="s">
        <v>6</v>
      </c>
      <c r="C30" s="21">
        <f>0</f>
        <v>0</v>
      </c>
      <c r="D30" s="21">
        <f>0</f>
        <v>0</v>
      </c>
      <c r="E30" s="110" t="s">
        <v>86</v>
      </c>
      <c r="F30" s="110" t="s">
        <v>86</v>
      </c>
      <c r="G30" s="110" t="s">
        <v>86</v>
      </c>
      <c r="H30" s="110" t="s">
        <v>86</v>
      </c>
      <c r="I30" s="110" t="s">
        <v>86</v>
      </c>
      <c r="J30" s="30">
        <f t="shared" si="0"/>
        <v>0</v>
      </c>
      <c r="K30" s="30" t="str">
        <f t="shared" si="1"/>
        <v/>
      </c>
      <c r="L30" s="26"/>
      <c r="M30" s="34"/>
      <c r="N30" s="34"/>
      <c r="O30" s="34"/>
      <c r="P30" s="34"/>
      <c r="Q30" s="34"/>
    </row>
    <row r="31" spans="2:17" ht="13.5" customHeight="1" outlineLevel="1" x14ac:dyDescent="0.2">
      <c r="B31" s="102" t="s">
        <v>53</v>
      </c>
      <c r="C31" s="55">
        <f>1287514188.63</f>
        <v>1287514188.6300001</v>
      </c>
      <c r="D31" s="55">
        <f>336435765.96</f>
        <v>336435765.95999998</v>
      </c>
      <c r="E31" s="94" t="s">
        <v>86</v>
      </c>
      <c r="F31" s="94" t="s">
        <v>86</v>
      </c>
      <c r="G31" s="94" t="s">
        <v>86</v>
      </c>
      <c r="H31" s="94" t="s">
        <v>86</v>
      </c>
      <c r="I31" s="94" t="s">
        <v>86</v>
      </c>
      <c r="J31" s="56">
        <f t="shared" si="0"/>
        <v>1.9145638334234016</v>
      </c>
      <c r="K31" s="56">
        <f t="shared" si="1"/>
        <v>26.130645311022924</v>
      </c>
      <c r="L31" s="26"/>
      <c r="M31" s="34"/>
      <c r="N31" s="34"/>
      <c r="O31" s="34"/>
      <c r="P31" s="34"/>
      <c r="Q31" s="34"/>
    </row>
    <row r="32" spans="2:17" ht="12.75" customHeight="1" outlineLevel="1" x14ac:dyDescent="0.2">
      <c r="B32" s="104" t="s">
        <v>54</v>
      </c>
      <c r="C32" s="20">
        <f>518997756</f>
        <v>518997756</v>
      </c>
      <c r="D32" s="20">
        <f>120404056.67</f>
        <v>120404056.67</v>
      </c>
      <c r="E32" s="110" t="s">
        <v>86</v>
      </c>
      <c r="F32" s="110" t="s">
        <v>86</v>
      </c>
      <c r="G32" s="110" t="s">
        <v>86</v>
      </c>
      <c r="H32" s="110" t="s">
        <v>86</v>
      </c>
      <c r="I32" s="110" t="s">
        <v>86</v>
      </c>
      <c r="J32" s="30">
        <f t="shared" si="0"/>
        <v>0.68518652183148443</v>
      </c>
      <c r="K32" s="30">
        <f t="shared" si="1"/>
        <v>23.199340513140871</v>
      </c>
      <c r="L32" s="26"/>
      <c r="M32" s="34"/>
      <c r="N32" s="34"/>
      <c r="O32" s="34"/>
      <c r="P32" s="34"/>
      <c r="Q32" s="34"/>
    </row>
    <row r="33" spans="1:26" ht="14.25" customHeight="1" outlineLevel="1" x14ac:dyDescent="0.2">
      <c r="B33" s="102" t="s">
        <v>66</v>
      </c>
      <c r="C33" s="55">
        <f>4525447176.32</f>
        <v>4525447176.3199997</v>
      </c>
      <c r="D33" s="55">
        <f>1398030098.01</f>
        <v>1398030098.01</v>
      </c>
      <c r="E33" s="94" t="s">
        <v>86</v>
      </c>
      <c r="F33" s="94" t="s">
        <v>86</v>
      </c>
      <c r="G33" s="94" t="s">
        <v>86</v>
      </c>
      <c r="H33" s="94" t="s">
        <v>86</v>
      </c>
      <c r="I33" s="94" t="s">
        <v>86</v>
      </c>
      <c r="J33" s="59">
        <f t="shared" si="0"/>
        <v>7.9558065298133371</v>
      </c>
      <c r="K33" s="59">
        <f t="shared" si="1"/>
        <v>30.89263985502642</v>
      </c>
      <c r="L33" s="26"/>
      <c r="M33" s="34"/>
      <c r="N33" s="34"/>
      <c r="O33" s="34"/>
      <c r="P33" s="34"/>
      <c r="Q33" s="34"/>
    </row>
    <row r="34" spans="1:26" ht="12.75" customHeight="1" outlineLevel="1" x14ac:dyDescent="0.2">
      <c r="B34" s="104" t="s">
        <v>67</v>
      </c>
      <c r="C34" s="20">
        <f>2524231642.88</f>
        <v>2524231642.8800001</v>
      </c>
      <c r="D34" s="20">
        <f>525532146.35</f>
        <v>525532146.35000002</v>
      </c>
      <c r="E34" s="110" t="s">
        <v>86</v>
      </c>
      <c r="F34" s="110" t="s">
        <v>86</v>
      </c>
      <c r="G34" s="110" t="s">
        <v>86</v>
      </c>
      <c r="H34" s="110" t="s">
        <v>86</v>
      </c>
      <c r="I34" s="110" t="s">
        <v>86</v>
      </c>
      <c r="J34" s="30">
        <f t="shared" si="0"/>
        <v>2.9906595627015191</v>
      </c>
      <c r="K34" s="30">
        <f t="shared" si="1"/>
        <v>20.819489678467015</v>
      </c>
      <c r="L34" s="26"/>
      <c r="M34" s="34"/>
      <c r="N34" s="34"/>
      <c r="O34" s="34"/>
      <c r="P34" s="34"/>
      <c r="Q34" s="34"/>
    </row>
    <row r="35" spans="1:26" s="5" customFormat="1" ht="27" customHeight="1" x14ac:dyDescent="0.2">
      <c r="B35" s="96" t="s">
        <v>43</v>
      </c>
      <c r="C35" s="22">
        <f>C36+C37+C38+C39+C40</f>
        <v>6328115549</v>
      </c>
      <c r="D35" s="22">
        <f>D36+D37+D38+D39+D40</f>
        <v>3440756122</v>
      </c>
      <c r="E35" s="94" t="s">
        <v>86</v>
      </c>
      <c r="F35" s="94" t="s">
        <v>86</v>
      </c>
      <c r="G35" s="94" t="s">
        <v>86</v>
      </c>
      <c r="H35" s="94" t="s">
        <v>86</v>
      </c>
      <c r="I35" s="94" t="s">
        <v>86</v>
      </c>
      <c r="J35" s="29">
        <f t="shared" si="0"/>
        <v>19.580401067092772</v>
      </c>
      <c r="K35" s="29">
        <f t="shared" si="1"/>
        <v>54.372523626622545</v>
      </c>
      <c r="L35" s="27"/>
      <c r="M35" s="48"/>
      <c r="N35" s="48"/>
      <c r="O35" s="48"/>
      <c r="P35" s="48"/>
      <c r="Q35" s="48"/>
    </row>
    <row r="36" spans="1:26" ht="12.75" customHeight="1" outlineLevel="1" x14ac:dyDescent="0.2">
      <c r="B36" s="60" t="s">
        <v>29</v>
      </c>
      <c r="C36" s="21">
        <f>1087116135</f>
        <v>1087116135</v>
      </c>
      <c r="D36" s="21">
        <f>668994544</f>
        <v>668994544</v>
      </c>
      <c r="E36" s="110" t="s">
        <v>86</v>
      </c>
      <c r="F36" s="110" t="s">
        <v>86</v>
      </c>
      <c r="G36" s="110" t="s">
        <v>86</v>
      </c>
      <c r="H36" s="110" t="s">
        <v>86</v>
      </c>
      <c r="I36" s="110" t="s">
        <v>86</v>
      </c>
      <c r="J36" s="30">
        <f t="shared" si="0"/>
        <v>3.8070647900504824</v>
      </c>
      <c r="K36" s="30">
        <f t="shared" si="1"/>
        <v>61.538461481854469</v>
      </c>
      <c r="L36" s="27"/>
      <c r="M36" s="34"/>
      <c r="N36" s="34"/>
      <c r="O36" s="34"/>
      <c r="P36" s="34"/>
      <c r="Q36" s="34"/>
    </row>
    <row r="37" spans="1:26" ht="12.75" customHeight="1" outlineLevel="1" x14ac:dyDescent="0.2">
      <c r="B37" s="60" t="s">
        <v>40</v>
      </c>
      <c r="C37" s="21">
        <f>1257099546</f>
        <v>1257099546</v>
      </c>
      <c r="D37" s="21">
        <f>628549770</f>
        <v>628549770</v>
      </c>
      <c r="E37" s="110" t="s">
        <v>86</v>
      </c>
      <c r="F37" s="110" t="s">
        <v>86</v>
      </c>
      <c r="G37" s="110" t="s">
        <v>86</v>
      </c>
      <c r="H37" s="110" t="s">
        <v>86</v>
      </c>
      <c r="I37" s="110" t="s">
        <v>86</v>
      </c>
      <c r="J37" s="30">
        <f t="shared" si="0"/>
        <v>3.5769046543394967</v>
      </c>
      <c r="K37" s="30">
        <f t="shared" si="1"/>
        <v>49.999999761355411</v>
      </c>
      <c r="L37" s="27"/>
      <c r="M37" s="34"/>
      <c r="N37" s="34"/>
      <c r="O37" s="34"/>
      <c r="P37" s="34"/>
      <c r="Q37" s="34"/>
    </row>
    <row r="38" spans="1:26" ht="12.75" customHeight="1" outlineLevel="1" x14ac:dyDescent="0.2">
      <c r="B38" s="60" t="s">
        <v>30</v>
      </c>
      <c r="C38" s="21">
        <f>3511396385</f>
        <v>3511396385</v>
      </c>
      <c r="D38" s="21">
        <f>1755698196</f>
        <v>1755698196</v>
      </c>
      <c r="E38" s="110" t="s">
        <v>86</v>
      </c>
      <c r="F38" s="110" t="s">
        <v>86</v>
      </c>
      <c r="G38" s="110" t="s">
        <v>86</v>
      </c>
      <c r="H38" s="110" t="s">
        <v>86</v>
      </c>
      <c r="I38" s="110" t="s">
        <v>86</v>
      </c>
      <c r="J38" s="30">
        <f t="shared" si="0"/>
        <v>9.9911977517513968</v>
      </c>
      <c r="K38" s="30">
        <f t="shared" si="1"/>
        <v>50.000000099675447</v>
      </c>
      <c r="L38" s="27"/>
      <c r="M38" s="34"/>
      <c r="N38" s="34"/>
      <c r="O38" s="34"/>
      <c r="P38" s="34"/>
      <c r="Q38" s="34"/>
    </row>
    <row r="39" spans="1:26" ht="12.75" customHeight="1" outlineLevel="1" x14ac:dyDescent="0.2">
      <c r="B39" s="60" t="s">
        <v>105</v>
      </c>
      <c r="C39" s="21">
        <f>102760201</f>
        <v>102760201</v>
      </c>
      <c r="D39" s="21">
        <f>51380112</f>
        <v>51380112</v>
      </c>
      <c r="E39" s="110" t="s">
        <v>86</v>
      </c>
      <c r="F39" s="110" t="s">
        <v>86</v>
      </c>
      <c r="G39" s="110" t="s">
        <v>86</v>
      </c>
      <c r="H39" s="110" t="s">
        <v>86</v>
      </c>
      <c r="I39" s="110" t="s">
        <v>86</v>
      </c>
      <c r="J39" s="30">
        <f t="shared" si="0"/>
        <v>0.29239015035083793</v>
      </c>
      <c r="K39" s="30">
        <f>IF(C39=0,"",100*D39/C39)</f>
        <v>50.000011191103063</v>
      </c>
      <c r="L39" s="27"/>
      <c r="M39" s="34"/>
      <c r="N39" s="34"/>
      <c r="O39" s="34"/>
      <c r="P39" s="34"/>
      <c r="Q39" s="34"/>
    </row>
    <row r="40" spans="1:26" s="5" customFormat="1" ht="12.75" customHeight="1" outlineLevel="1" x14ac:dyDescent="0.2">
      <c r="B40" s="60" t="s">
        <v>28</v>
      </c>
      <c r="C40" s="21">
        <f>369743282</f>
        <v>369743282</v>
      </c>
      <c r="D40" s="21">
        <f>336133500</f>
        <v>336133500</v>
      </c>
      <c r="E40" s="110" t="s">
        <v>86</v>
      </c>
      <c r="F40" s="110" t="s">
        <v>86</v>
      </c>
      <c r="G40" s="110" t="s">
        <v>86</v>
      </c>
      <c r="H40" s="110" t="s">
        <v>86</v>
      </c>
      <c r="I40" s="110" t="s">
        <v>86</v>
      </c>
      <c r="J40" s="30">
        <f t="shared" si="0"/>
        <v>1.9128437206005582</v>
      </c>
      <c r="K40" s="30">
        <f>IF(C40=0,"",100*D40/C40)</f>
        <v>90.909968176243964</v>
      </c>
      <c r="L40" s="27"/>
      <c r="M40" s="48"/>
      <c r="N40" s="48"/>
      <c r="O40" s="48"/>
      <c r="P40" s="48"/>
      <c r="Q40" s="48"/>
    </row>
    <row r="41" spans="1:26" s="5" customFormat="1" x14ac:dyDescent="0.2">
      <c r="B41" s="98" t="s">
        <v>93</v>
      </c>
      <c r="C41" s="55">
        <f>+C5</f>
        <v>37032700755.349998</v>
      </c>
      <c r="D41" s="55">
        <f>+D5</f>
        <v>17572449666.43</v>
      </c>
      <c r="E41" s="94" t="s">
        <v>86</v>
      </c>
      <c r="F41" s="94" t="s">
        <v>86</v>
      </c>
      <c r="G41" s="94" t="s">
        <v>86</v>
      </c>
      <c r="H41" s="94" t="s">
        <v>86</v>
      </c>
      <c r="I41" s="94" t="s">
        <v>86</v>
      </c>
      <c r="J41" s="59">
        <f>IF($D$5=0,"",100*$D41/$D$41)</f>
        <v>100</v>
      </c>
      <c r="K41" s="91">
        <f t="shared" si="1"/>
        <v>47.451169663588104</v>
      </c>
      <c r="L41" s="93"/>
      <c r="M41" s="48"/>
      <c r="N41" s="48"/>
      <c r="O41" s="48"/>
      <c r="P41" s="48"/>
      <c r="Q41" s="48"/>
    </row>
    <row r="42" spans="1:26" s="5" customFormat="1" x14ac:dyDescent="0.2">
      <c r="B42" s="99" t="s">
        <v>56</v>
      </c>
      <c r="C42" s="21">
        <f>5681043028.45</f>
        <v>5681043028.4499998</v>
      </c>
      <c r="D42" s="21">
        <f>1259549300.55</f>
        <v>1259549300.55</v>
      </c>
      <c r="E42" s="110" t="s">
        <v>86</v>
      </c>
      <c r="F42" s="110" t="s">
        <v>86</v>
      </c>
      <c r="G42" s="110" t="s">
        <v>86</v>
      </c>
      <c r="H42" s="110" t="s">
        <v>86</v>
      </c>
      <c r="I42" s="110" t="s">
        <v>86</v>
      </c>
      <c r="J42" s="30">
        <f>IF($D$5=0,"",100*$D42/$D$41)</f>
        <v>7.1677502252643448</v>
      </c>
      <c r="K42" s="92">
        <f t="shared" si="1"/>
        <v>22.171092425146654</v>
      </c>
      <c r="L42" s="93"/>
      <c r="M42" s="48"/>
      <c r="N42" s="48"/>
      <c r="O42" s="48"/>
      <c r="P42" s="48"/>
      <c r="Q42" s="48"/>
    </row>
    <row r="43" spans="1:26" s="5" customFormat="1" x14ac:dyDescent="0.2">
      <c r="A43" s="2"/>
      <c r="B43" s="99" t="s">
        <v>57</v>
      </c>
      <c r="C43" s="21">
        <f>C41-C42</f>
        <v>31351657726.899998</v>
      </c>
      <c r="D43" s="21">
        <f>D41-D42</f>
        <v>16312900365.880001</v>
      </c>
      <c r="E43" s="110" t="s">
        <v>86</v>
      </c>
      <c r="F43" s="110" t="s">
        <v>86</v>
      </c>
      <c r="G43" s="110" t="s">
        <v>86</v>
      </c>
      <c r="H43" s="110" t="s">
        <v>86</v>
      </c>
      <c r="I43" s="110" t="s">
        <v>86</v>
      </c>
      <c r="J43" s="30">
        <f>IF($D$5=0,"",100*$D43/$D$41)</f>
        <v>92.832249774735658</v>
      </c>
      <c r="K43" s="92">
        <f t="shared" si="1"/>
        <v>52.032018555380532</v>
      </c>
      <c r="L43" s="93"/>
      <c r="M43" s="49"/>
      <c r="N43" s="49"/>
      <c r="O43" s="50"/>
      <c r="P43" s="50"/>
      <c r="Q43" s="19"/>
    </row>
    <row r="44" spans="1:26" s="5" customFormat="1" x14ac:dyDescent="0.2">
      <c r="A44" s="2"/>
      <c r="B44" s="119" t="s">
        <v>96</v>
      </c>
      <c r="C44" s="87"/>
      <c r="D44" s="87"/>
      <c r="E44" s="118"/>
      <c r="F44" s="118"/>
      <c r="G44" s="118"/>
      <c r="H44" s="118"/>
      <c r="I44" s="118"/>
      <c r="J44" s="58"/>
      <c r="K44" s="58"/>
      <c r="L44" s="58"/>
      <c r="M44" s="49"/>
      <c r="N44" s="49"/>
      <c r="O44" s="50"/>
      <c r="P44" s="50"/>
      <c r="Q44" s="19"/>
    </row>
    <row r="45" spans="1:26" ht="18" customHeight="1" x14ac:dyDescent="0.2">
      <c r="B45" s="100" t="str">
        <f>CONCATENATE("Informacja z wykonania budżetów województw za ",$D$105," ",$C$106," rok    ",$C$108,"")</f>
        <v xml:space="preserve">Informacja z wykonania budżetów województw za II Kwartały 2024 rok    </v>
      </c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</row>
    <row r="46" spans="1:26" s="5" customFormat="1" ht="10.5" customHeight="1" x14ac:dyDescent="0.2">
      <c r="B46" s="6"/>
      <c r="C46" s="7"/>
      <c r="D46" s="8"/>
      <c r="E46" s="8"/>
      <c r="F46" s="4"/>
      <c r="G46" s="4"/>
      <c r="H46" s="4"/>
      <c r="I46" s="4"/>
      <c r="J46" s="4"/>
      <c r="K46" s="9"/>
      <c r="L46" s="9"/>
      <c r="M46" s="3"/>
    </row>
    <row r="47" spans="1:26" ht="29.25" customHeight="1" x14ac:dyDescent="0.2">
      <c r="B47" s="125" t="s">
        <v>0</v>
      </c>
      <c r="C47" s="121" t="s">
        <v>36</v>
      </c>
      <c r="D47" s="121" t="s">
        <v>38</v>
      </c>
      <c r="E47" s="121" t="s">
        <v>37</v>
      </c>
      <c r="F47" s="121" t="s">
        <v>12</v>
      </c>
      <c r="G47" s="121"/>
      <c r="H47" s="121"/>
      <c r="I47" s="151" t="s">
        <v>68</v>
      </c>
      <c r="J47" s="121" t="s">
        <v>2</v>
      </c>
      <c r="K47" s="124" t="s">
        <v>18</v>
      </c>
      <c r="M47" s="10"/>
      <c r="N47" s="49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8" customHeight="1" x14ac:dyDescent="0.2">
      <c r="B48" s="125"/>
      <c r="C48" s="121"/>
      <c r="D48" s="121"/>
      <c r="E48" s="122"/>
      <c r="F48" s="126" t="s">
        <v>39</v>
      </c>
      <c r="G48" s="156" t="s">
        <v>24</v>
      </c>
      <c r="H48" s="122"/>
      <c r="I48" s="152"/>
      <c r="J48" s="121"/>
      <c r="K48" s="124"/>
      <c r="L48" s="11"/>
      <c r="M48" s="12"/>
      <c r="N48" s="49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2:26" ht="55.5" customHeight="1" x14ac:dyDescent="0.2">
      <c r="B49" s="125"/>
      <c r="C49" s="121"/>
      <c r="D49" s="121"/>
      <c r="E49" s="122"/>
      <c r="F49" s="122"/>
      <c r="G49" s="15" t="s">
        <v>34</v>
      </c>
      <c r="H49" s="15" t="s">
        <v>35</v>
      </c>
      <c r="I49" s="153"/>
      <c r="J49" s="121"/>
      <c r="K49" s="124"/>
      <c r="L49" s="11"/>
      <c r="M49" s="10"/>
      <c r="N49" s="49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2:26" ht="13.5" customHeight="1" x14ac:dyDescent="0.2">
      <c r="B50" s="125"/>
      <c r="C50" s="148" t="s">
        <v>60</v>
      </c>
      <c r="D50" s="149"/>
      <c r="E50" s="149"/>
      <c r="F50" s="149"/>
      <c r="G50" s="149"/>
      <c r="H50" s="149"/>
      <c r="I50" s="150"/>
      <c r="J50" s="123" t="s">
        <v>4</v>
      </c>
      <c r="K50" s="123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2:26" ht="11.25" customHeight="1" x14ac:dyDescent="0.2">
      <c r="B51" s="14">
        <v>1</v>
      </c>
      <c r="C51" s="16">
        <v>2</v>
      </c>
      <c r="D51" s="16">
        <v>3</v>
      </c>
      <c r="E51" s="16">
        <v>4</v>
      </c>
      <c r="F51" s="14">
        <v>5</v>
      </c>
      <c r="G51" s="14">
        <v>6</v>
      </c>
      <c r="H51" s="16">
        <v>7</v>
      </c>
      <c r="I51" s="16">
        <v>8</v>
      </c>
      <c r="J51" s="14">
        <v>9</v>
      </c>
      <c r="K51" s="16">
        <v>10</v>
      </c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2:26" ht="27" customHeight="1" x14ac:dyDescent="0.2">
      <c r="B52" s="95" t="s">
        <v>44</v>
      </c>
      <c r="C52" s="61">
        <f>41286343958.5</f>
        <v>41286343958.5</v>
      </c>
      <c r="D52" s="72">
        <f>12453642278.44</f>
        <v>12453642278.440001</v>
      </c>
      <c r="E52" s="72">
        <f>28606763298.5</f>
        <v>28606763298.5</v>
      </c>
      <c r="F52" s="61">
        <f>604597394.5</f>
        <v>604597394.5</v>
      </c>
      <c r="G52" s="61">
        <f>399.43</f>
        <v>399.43</v>
      </c>
      <c r="H52" s="61">
        <f>554775.6</f>
        <v>554775.6</v>
      </c>
      <c r="I52" s="73">
        <f>0</f>
        <v>0</v>
      </c>
      <c r="J52" s="47">
        <f>IF($D$52=0,"",100*$D52/$D$52)</f>
        <v>100</v>
      </c>
      <c r="K52" s="47">
        <f>IF(C52=0,"",100*D52/C52)</f>
        <v>30.164071420220907</v>
      </c>
      <c r="L52" s="34"/>
      <c r="O52" s="88"/>
    </row>
    <row r="53" spans="2:26" x14ac:dyDescent="0.2">
      <c r="B53" s="96" t="s">
        <v>14</v>
      </c>
      <c r="C53" s="23">
        <f>16655257362.87</f>
        <v>16655257362.870001</v>
      </c>
      <c r="D53" s="23">
        <f>2516177617.6</f>
        <v>2516177617.5999999</v>
      </c>
      <c r="E53" s="23">
        <f>10624236867.26</f>
        <v>10624236867.26</v>
      </c>
      <c r="F53" s="23">
        <f>311953904.09</f>
        <v>311953904.08999997</v>
      </c>
      <c r="G53" s="23">
        <f>0</f>
        <v>0</v>
      </c>
      <c r="H53" s="23">
        <f>342797.58</f>
        <v>342797.58</v>
      </c>
      <c r="I53" s="74">
        <f>0</f>
        <v>0</v>
      </c>
      <c r="J53" s="47">
        <f t="shared" ref="J53:J61" si="2">IF($D$52=0,"",100*$D53/$D$52)</f>
        <v>20.204351155613793</v>
      </c>
      <c r="K53" s="47">
        <f t="shared" ref="K53:K61" si="3">IF(C53=0,"",100*D53/C53)</f>
        <v>15.107407605777261</v>
      </c>
      <c r="L53" s="34"/>
      <c r="O53" s="81"/>
    </row>
    <row r="54" spans="2:26" ht="12.75" customHeight="1" outlineLevel="1" x14ac:dyDescent="0.2">
      <c r="B54" s="28" t="s">
        <v>13</v>
      </c>
      <c r="C54" s="20">
        <f>16135114777.87</f>
        <v>16135114777.870001</v>
      </c>
      <c r="D54" s="20">
        <f>2250683007.86</f>
        <v>2250683007.8600001</v>
      </c>
      <c r="E54" s="20">
        <f>10314213722.96</f>
        <v>10314213722.959999</v>
      </c>
      <c r="F54" s="20">
        <f>311953904.09</f>
        <v>311953904.08999997</v>
      </c>
      <c r="G54" s="20">
        <f>0</f>
        <v>0</v>
      </c>
      <c r="H54" s="20">
        <f>342797.58</f>
        <v>342797.58</v>
      </c>
      <c r="I54" s="75">
        <f>0</f>
        <v>0</v>
      </c>
      <c r="J54" s="47">
        <f t="shared" si="2"/>
        <v>18.072488012253476</v>
      </c>
      <c r="K54" s="47">
        <f t="shared" si="3"/>
        <v>13.948974264173861</v>
      </c>
      <c r="L54" s="34"/>
      <c r="O54" s="87"/>
    </row>
    <row r="55" spans="2:26" ht="27" customHeight="1" x14ac:dyDescent="0.2">
      <c r="B55" s="96" t="s">
        <v>45</v>
      </c>
      <c r="C55" s="23">
        <f t="shared" ref="C55:I55" si="4">C52-C53</f>
        <v>24631086595.629997</v>
      </c>
      <c r="D55" s="23">
        <f>D52-D53</f>
        <v>9937464660.8400002</v>
      </c>
      <c r="E55" s="23">
        <f>E52-E53</f>
        <v>17982526431.239998</v>
      </c>
      <c r="F55" s="23">
        <f t="shared" si="4"/>
        <v>292643490.41000003</v>
      </c>
      <c r="G55" s="23">
        <f t="shared" si="4"/>
        <v>399.43</v>
      </c>
      <c r="H55" s="23">
        <f t="shared" si="4"/>
        <v>211978.01999999996</v>
      </c>
      <c r="I55" s="74">
        <f t="shared" si="4"/>
        <v>0</v>
      </c>
      <c r="J55" s="47">
        <f t="shared" si="2"/>
        <v>79.795648844386207</v>
      </c>
      <c r="K55" s="47">
        <f t="shared" si="3"/>
        <v>40.345214257023834</v>
      </c>
      <c r="L55" s="34"/>
      <c r="O55" s="81"/>
    </row>
    <row r="56" spans="2:26" ht="22.5" outlineLevel="1" x14ac:dyDescent="0.2">
      <c r="B56" s="28" t="s">
        <v>79</v>
      </c>
      <c r="C56" s="20">
        <f>5747149964.21</f>
        <v>5747149964.21</v>
      </c>
      <c r="D56" s="20">
        <f>2708621702.27</f>
        <v>2708621702.27</v>
      </c>
      <c r="E56" s="20">
        <f>4967557119.17</f>
        <v>4967557119.1700001</v>
      </c>
      <c r="F56" s="20">
        <f>70155209.98</f>
        <v>70155209.980000004</v>
      </c>
      <c r="G56" s="20">
        <f>199.43</f>
        <v>199.43</v>
      </c>
      <c r="H56" s="20">
        <f>3258.97</f>
        <v>3258.97</v>
      </c>
      <c r="I56" s="75">
        <f>0</f>
        <v>0</v>
      </c>
      <c r="J56" s="47">
        <f t="shared" si="2"/>
        <v>21.74963469891231</v>
      </c>
      <c r="K56" s="47">
        <f t="shared" si="3"/>
        <v>47.129824680715906</v>
      </c>
      <c r="L56" s="34"/>
      <c r="O56" s="87"/>
    </row>
    <row r="57" spans="2:26" ht="12.75" customHeight="1" outlineLevel="1" x14ac:dyDescent="0.2">
      <c r="B57" s="60" t="s">
        <v>33</v>
      </c>
      <c r="C57" s="62">
        <f>9391194905.52</f>
        <v>9391194905.5200005</v>
      </c>
      <c r="D57" s="62">
        <f>4495420549.65</f>
        <v>4495420549.6499996</v>
      </c>
      <c r="E57" s="62">
        <f>7823735598.54</f>
        <v>7823735598.54</v>
      </c>
      <c r="F57" s="62">
        <f>31846730.65</f>
        <v>31846730.649999999</v>
      </c>
      <c r="G57" s="62">
        <f>0</f>
        <v>0</v>
      </c>
      <c r="H57" s="62">
        <f>0</f>
        <v>0</v>
      </c>
      <c r="I57" s="76">
        <f>0</f>
        <v>0</v>
      </c>
      <c r="J57" s="47">
        <f t="shared" si="2"/>
        <v>36.097235243640839</v>
      </c>
      <c r="K57" s="47">
        <f t="shared" si="3"/>
        <v>47.86846183979911</v>
      </c>
      <c r="L57" s="34"/>
      <c r="O57" s="81"/>
    </row>
    <row r="58" spans="2:26" ht="12.75" customHeight="1" outlineLevel="1" x14ac:dyDescent="0.2">
      <c r="B58" s="60" t="s">
        <v>32</v>
      </c>
      <c r="C58" s="21">
        <f>420060879.42</f>
        <v>420060879.42000002</v>
      </c>
      <c r="D58" s="21">
        <f>134194385.9</f>
        <v>134194385.90000001</v>
      </c>
      <c r="E58" s="21">
        <f>195925098.92</f>
        <v>195925098.91999999</v>
      </c>
      <c r="F58" s="21">
        <f>6259602.58</f>
        <v>6259602.5800000001</v>
      </c>
      <c r="G58" s="21">
        <f>0</f>
        <v>0</v>
      </c>
      <c r="H58" s="21">
        <f>0</f>
        <v>0</v>
      </c>
      <c r="I58" s="77">
        <f>0</f>
        <v>0</v>
      </c>
      <c r="J58" s="47">
        <f t="shared" si="2"/>
        <v>1.077551313099141</v>
      </c>
      <c r="K58" s="47">
        <f t="shared" si="3"/>
        <v>31.946413597307416</v>
      </c>
      <c r="L58" s="34"/>
      <c r="O58" s="87"/>
    </row>
    <row r="59" spans="2:26" ht="22.5" customHeight="1" outlineLevel="1" x14ac:dyDescent="0.2">
      <c r="B59" s="60" t="s">
        <v>51</v>
      </c>
      <c r="C59" s="62">
        <f>134764474.7</f>
        <v>134764474.69999999</v>
      </c>
      <c r="D59" s="62">
        <f>10882575.06</f>
        <v>10882575.060000001</v>
      </c>
      <c r="E59" s="62">
        <f>23929632.98</f>
        <v>23929632.98</v>
      </c>
      <c r="F59" s="62">
        <f>0</f>
        <v>0</v>
      </c>
      <c r="G59" s="62">
        <f>0</f>
        <v>0</v>
      </c>
      <c r="H59" s="62">
        <f>0</f>
        <v>0</v>
      </c>
      <c r="I59" s="76">
        <f>0</f>
        <v>0</v>
      </c>
      <c r="J59" s="47">
        <f t="shared" si="2"/>
        <v>8.7384676841409964E-2</v>
      </c>
      <c r="K59" s="47">
        <f t="shared" si="3"/>
        <v>8.0752550582976461</v>
      </c>
      <c r="L59" s="34"/>
      <c r="O59" s="81"/>
    </row>
    <row r="60" spans="2:26" ht="22.5" outlineLevel="1" x14ac:dyDescent="0.2">
      <c r="B60" s="60" t="s">
        <v>52</v>
      </c>
      <c r="C60" s="62">
        <f>204700672.5</f>
        <v>204700672.5</v>
      </c>
      <c r="D60" s="62">
        <f>73369264.86</f>
        <v>73369264.859999999</v>
      </c>
      <c r="E60" s="62">
        <f>101713269.7</f>
        <v>101713269.7</v>
      </c>
      <c r="F60" s="62">
        <f>737357.46</f>
        <v>737357.46</v>
      </c>
      <c r="G60" s="62">
        <f>0</f>
        <v>0</v>
      </c>
      <c r="H60" s="62">
        <f>0</f>
        <v>0</v>
      </c>
      <c r="I60" s="69">
        <f>0</f>
        <v>0</v>
      </c>
      <c r="J60" s="47">
        <f t="shared" si="2"/>
        <v>0.58913901025580584</v>
      </c>
      <c r="K60" s="47">
        <f t="shared" si="3"/>
        <v>35.842219746493505</v>
      </c>
      <c r="L60" s="34"/>
      <c r="O60" s="81"/>
    </row>
    <row r="61" spans="2:26" ht="12.75" customHeight="1" outlineLevel="1" x14ac:dyDescent="0.2">
      <c r="B61" s="60" t="s">
        <v>31</v>
      </c>
      <c r="C61" s="21">
        <f t="shared" ref="C61:I61" si="5">C55-C56-C57-C58-C59-C60</f>
        <v>8733215699.2799969</v>
      </c>
      <c r="D61" s="21">
        <f>D55-D56-D57-D58-D59-D60</f>
        <v>2514976183.0999999</v>
      </c>
      <c r="E61" s="78">
        <f>E55-E56-E57-E58-E59-E60</f>
        <v>4869665711.9299984</v>
      </c>
      <c r="F61" s="78">
        <f t="shared" si="5"/>
        <v>183644589.73999998</v>
      </c>
      <c r="G61" s="78">
        <f t="shared" si="5"/>
        <v>200</v>
      </c>
      <c r="H61" s="78">
        <f t="shared" si="5"/>
        <v>208719.04999999996</v>
      </c>
      <c r="I61" s="79">
        <f t="shared" si="5"/>
        <v>0</v>
      </c>
      <c r="J61" s="80">
        <f t="shared" si="2"/>
        <v>20.194703901636696</v>
      </c>
      <c r="K61" s="47">
        <f t="shared" si="3"/>
        <v>28.797825104758896</v>
      </c>
      <c r="L61" s="34"/>
      <c r="O61" s="87"/>
    </row>
    <row r="62" spans="2:26" x14ac:dyDescent="0.2">
      <c r="B62" s="17" t="s">
        <v>15</v>
      </c>
      <c r="C62" s="115">
        <f>C5-C52</f>
        <v>-4253643203.1500015</v>
      </c>
      <c r="D62" s="115">
        <f>D5-D52</f>
        <v>5118807387.9899998</v>
      </c>
      <c r="E62" s="84"/>
      <c r="F62" s="85"/>
      <c r="G62" s="85"/>
      <c r="H62" s="85"/>
      <c r="I62" s="147"/>
      <c r="J62" s="147"/>
      <c r="K62" s="25"/>
      <c r="L62" s="25"/>
      <c r="M62" s="51"/>
    </row>
    <row r="63" spans="2:26" ht="38.25" x14ac:dyDescent="0.2">
      <c r="B63" s="97" t="s">
        <v>94</v>
      </c>
      <c r="C63" s="115">
        <f>+C43-C55</f>
        <v>6720571131.2700005</v>
      </c>
      <c r="D63" s="115">
        <f>+D43-D55</f>
        <v>6375435705.0400009</v>
      </c>
      <c r="E63" s="83"/>
      <c r="F63" s="82"/>
      <c r="G63" s="82"/>
      <c r="H63" s="82"/>
      <c r="I63" s="134"/>
      <c r="J63" s="135"/>
      <c r="K63" s="34"/>
      <c r="L63" s="52"/>
      <c r="M63" s="52"/>
    </row>
    <row r="64" spans="2:26" ht="13.5" customHeight="1" x14ac:dyDescent="0.2">
      <c r="B64" s="53"/>
      <c r="C64" s="54"/>
      <c r="D64" s="54"/>
      <c r="E64" s="54"/>
      <c r="F64" s="18"/>
      <c r="G64" s="18"/>
      <c r="H64" s="18"/>
      <c r="I64" s="18"/>
      <c r="J64" s="34"/>
      <c r="K64" s="34"/>
      <c r="L64" s="52"/>
      <c r="M64" s="52"/>
    </row>
    <row r="65" spans="2:13" ht="12" customHeight="1" x14ac:dyDescent="0.2">
      <c r="B65" s="116" t="s">
        <v>97</v>
      </c>
      <c r="C65" s="54"/>
      <c r="D65" s="54"/>
      <c r="E65" s="54"/>
      <c r="F65" s="18"/>
      <c r="G65" s="18"/>
      <c r="H65" s="18"/>
      <c r="I65" s="18"/>
      <c r="J65" s="34"/>
      <c r="K65" s="34"/>
      <c r="L65" s="52"/>
      <c r="M65" s="52"/>
    </row>
    <row r="66" spans="2:13" ht="27" customHeight="1" x14ac:dyDescent="0.2">
      <c r="B66" s="117" t="s">
        <v>69</v>
      </c>
      <c r="C66" s="115">
        <f>7223227927.53</f>
        <v>7223227927.5299997</v>
      </c>
      <c r="D66" s="115">
        <f>1363822223.43</f>
        <v>1363822223.4300001</v>
      </c>
      <c r="E66" s="23">
        <f>3824045502.56</f>
        <v>3824045502.5599999</v>
      </c>
      <c r="F66" s="23">
        <f>95942423.42</f>
        <v>95942423.420000002</v>
      </c>
      <c r="G66" s="23">
        <f>200</f>
        <v>200</v>
      </c>
      <c r="H66" s="23">
        <f>186258.41</f>
        <v>186258.41</v>
      </c>
      <c r="I66" s="86">
        <f>0</f>
        <v>0</v>
      </c>
      <c r="J66" s="32">
        <f>IF($D$66=0,"",100*$D66/$D$66)</f>
        <v>100</v>
      </c>
      <c r="K66" s="32">
        <f>IF(C66=0,"",100*D66/C66)</f>
        <v>18.881063107977575</v>
      </c>
      <c r="L66" s="52"/>
    </row>
    <row r="67" spans="2:13" ht="12.75" customHeight="1" x14ac:dyDescent="0.2">
      <c r="B67" s="101" t="s">
        <v>58</v>
      </c>
      <c r="C67" s="62">
        <f>3945573825.24</f>
        <v>3945573825.2399998</v>
      </c>
      <c r="D67" s="62">
        <f>380558207.36</f>
        <v>380558207.36000001</v>
      </c>
      <c r="E67" s="62">
        <f>2038138203.08</f>
        <v>2038138203.0799999</v>
      </c>
      <c r="F67" s="62">
        <f>81026124.98</f>
        <v>81026124.980000004</v>
      </c>
      <c r="G67" s="62">
        <f>0</f>
        <v>0</v>
      </c>
      <c r="H67" s="62">
        <f>170008.41</f>
        <v>170008.41</v>
      </c>
      <c r="I67" s="69">
        <f>0</f>
        <v>0</v>
      </c>
      <c r="J67" s="32">
        <f>IF($D$66=0,"",100*$D67/$D$66)</f>
        <v>27.903798663941675</v>
      </c>
      <c r="K67" s="32">
        <f>IF(C67=0,"",100*D67/C67)</f>
        <v>9.6451929229039717</v>
      </c>
      <c r="L67" s="34"/>
    </row>
    <row r="68" spans="2:13" ht="12.75" customHeight="1" x14ac:dyDescent="0.2">
      <c r="B68" s="101" t="s">
        <v>59</v>
      </c>
      <c r="C68" s="62">
        <f t="shared" ref="C68:I68" si="6">C66-C67</f>
        <v>3277654102.29</v>
      </c>
      <c r="D68" s="62">
        <f t="shared" si="6"/>
        <v>983264016.07000005</v>
      </c>
      <c r="E68" s="62">
        <f t="shared" si="6"/>
        <v>1785907299.48</v>
      </c>
      <c r="F68" s="62">
        <f t="shared" si="6"/>
        <v>14916298.439999998</v>
      </c>
      <c r="G68" s="62">
        <f t="shared" si="6"/>
        <v>200</v>
      </c>
      <c r="H68" s="62">
        <f t="shared" si="6"/>
        <v>16250</v>
      </c>
      <c r="I68" s="71">
        <f t="shared" si="6"/>
        <v>0</v>
      </c>
      <c r="J68" s="32">
        <f>IF($D$66=0,"",100*$D68/$D$66)</f>
        <v>72.096201336058314</v>
      </c>
      <c r="K68" s="32">
        <f>IF(C68=0,"",100*D68/C68)</f>
        <v>29.999017144091638</v>
      </c>
      <c r="L68" s="34"/>
    </row>
    <row r="69" spans="2:13" ht="18" customHeight="1" x14ac:dyDescent="0.2">
      <c r="B69" s="100" t="str">
        <f>CONCATENATE("Informacja z wykonania budżetów województw za ",$D$105," ",$C$106," rok    ",$C$108,"")</f>
        <v xml:space="preserve">Informacja z wykonania budżetów województw za II Kwartały 2024 rok    </v>
      </c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</row>
    <row r="70" spans="2:13" ht="6" customHeight="1" x14ac:dyDescent="0.2"/>
    <row r="71" spans="2:13" x14ac:dyDescent="0.2">
      <c r="B71" s="37" t="s">
        <v>16</v>
      </c>
      <c r="C71" s="70" t="s">
        <v>17</v>
      </c>
      <c r="D71" s="70" t="s">
        <v>1</v>
      </c>
      <c r="E71" s="136" t="s">
        <v>86</v>
      </c>
      <c r="F71" s="137"/>
      <c r="G71" s="137"/>
      <c r="H71" s="137"/>
      <c r="I71" s="138"/>
      <c r="J71" s="16" t="s">
        <v>22</v>
      </c>
      <c r="K71" s="16" t="s">
        <v>23</v>
      </c>
    </row>
    <row r="72" spans="2:13" x14ac:dyDescent="0.2">
      <c r="B72" s="37"/>
      <c r="C72" s="126" t="s">
        <v>60</v>
      </c>
      <c r="D72" s="133"/>
      <c r="E72" s="139"/>
      <c r="F72" s="140"/>
      <c r="G72" s="140"/>
      <c r="H72" s="140"/>
      <c r="I72" s="141"/>
      <c r="J72" s="145" t="s">
        <v>4</v>
      </c>
      <c r="K72" s="146"/>
    </row>
    <row r="73" spans="2:13" x14ac:dyDescent="0.2">
      <c r="B73" s="35">
        <v>1</v>
      </c>
      <c r="C73" s="89">
        <v>2</v>
      </c>
      <c r="D73" s="89">
        <v>3</v>
      </c>
      <c r="E73" s="142"/>
      <c r="F73" s="143"/>
      <c r="G73" s="143"/>
      <c r="H73" s="143"/>
      <c r="I73" s="144"/>
      <c r="J73" s="36">
        <v>4</v>
      </c>
      <c r="K73" s="36">
        <v>5</v>
      </c>
    </row>
    <row r="74" spans="2:13" ht="27" customHeight="1" x14ac:dyDescent="0.2">
      <c r="B74" s="90" t="s">
        <v>46</v>
      </c>
      <c r="C74" s="39">
        <f>5411888378.15</f>
        <v>5411888378.1499996</v>
      </c>
      <c r="D74" s="39">
        <f>4419562147.93</f>
        <v>4419562147.9300003</v>
      </c>
      <c r="E74" s="108" t="s">
        <v>86</v>
      </c>
      <c r="F74" s="108" t="s">
        <v>86</v>
      </c>
      <c r="G74" s="108" t="s">
        <v>86</v>
      </c>
      <c r="H74" s="108" t="s">
        <v>86</v>
      </c>
      <c r="I74" s="108" t="s">
        <v>86</v>
      </c>
      <c r="J74" s="38">
        <f>IF($D$74=0,"",100*$D74/$D$74)</f>
        <v>100</v>
      </c>
      <c r="K74" s="31">
        <f t="shared" ref="K74:K88" si="7">IF(C74=0,"",100*D74/C74)</f>
        <v>81.663956074437436</v>
      </c>
    </row>
    <row r="75" spans="2:13" ht="33.75" x14ac:dyDescent="0.2">
      <c r="B75" s="105" t="s">
        <v>102</v>
      </c>
      <c r="C75" s="40">
        <f>2561639186.74</f>
        <v>2561639186.7399998</v>
      </c>
      <c r="D75" s="40">
        <f>0</f>
        <v>0</v>
      </c>
      <c r="E75" s="109" t="s">
        <v>86</v>
      </c>
      <c r="F75" s="109" t="s">
        <v>86</v>
      </c>
      <c r="G75" s="109" t="s">
        <v>86</v>
      </c>
      <c r="H75" s="109" t="s">
        <v>86</v>
      </c>
      <c r="I75" s="109" t="s">
        <v>86</v>
      </c>
      <c r="J75" s="45">
        <f t="shared" ref="J75:J84" si="8">IF($D$74=0,"",100*$D75/$D$74)</f>
        <v>0</v>
      </c>
      <c r="K75" s="46">
        <f t="shared" si="7"/>
        <v>0</v>
      </c>
    </row>
    <row r="76" spans="2:13" ht="22.5" x14ac:dyDescent="0.2">
      <c r="B76" s="106" t="s">
        <v>70</v>
      </c>
      <c r="C76" s="64">
        <f>83248698.74</f>
        <v>83248698.739999995</v>
      </c>
      <c r="D76" s="64">
        <f>0</f>
        <v>0</v>
      </c>
      <c r="E76" s="109" t="s">
        <v>86</v>
      </c>
      <c r="F76" s="109" t="s">
        <v>86</v>
      </c>
      <c r="G76" s="109" t="s">
        <v>86</v>
      </c>
      <c r="H76" s="109" t="s">
        <v>86</v>
      </c>
      <c r="I76" s="109" t="s">
        <v>86</v>
      </c>
      <c r="J76" s="65">
        <f t="shared" si="8"/>
        <v>0</v>
      </c>
      <c r="K76" s="66">
        <f t="shared" si="7"/>
        <v>0</v>
      </c>
    </row>
    <row r="77" spans="2:13" ht="12.75" customHeight="1" x14ac:dyDescent="0.2">
      <c r="B77" s="63" t="s">
        <v>71</v>
      </c>
      <c r="C77" s="64">
        <f>139638365</f>
        <v>139638365</v>
      </c>
      <c r="D77" s="64">
        <f>36763879.99</f>
        <v>36763879.990000002</v>
      </c>
      <c r="E77" s="109" t="s">
        <v>86</v>
      </c>
      <c r="F77" s="109" t="s">
        <v>86</v>
      </c>
      <c r="G77" s="109" t="s">
        <v>86</v>
      </c>
      <c r="H77" s="109" t="s">
        <v>86</v>
      </c>
      <c r="I77" s="109" t="s">
        <v>86</v>
      </c>
      <c r="J77" s="65">
        <f t="shared" si="8"/>
        <v>0.83184439452263792</v>
      </c>
      <c r="K77" s="66">
        <f t="shared" si="7"/>
        <v>26.327922122262031</v>
      </c>
    </row>
    <row r="78" spans="2:13" ht="46.5" customHeight="1" x14ac:dyDescent="0.2">
      <c r="B78" s="63" t="s">
        <v>80</v>
      </c>
      <c r="C78" s="64">
        <f>1008421452.14</f>
        <v>1008421452.14</v>
      </c>
      <c r="D78" s="64">
        <f>1733895941.69</f>
        <v>1733895941.6900001</v>
      </c>
      <c r="E78" s="109" t="s">
        <v>86</v>
      </c>
      <c r="F78" s="109" t="s">
        <v>86</v>
      </c>
      <c r="G78" s="109" t="s">
        <v>86</v>
      </c>
      <c r="H78" s="109" t="s">
        <v>86</v>
      </c>
      <c r="I78" s="109" t="s">
        <v>86</v>
      </c>
      <c r="J78" s="65">
        <f t="shared" si="8"/>
        <v>39.232301383115711</v>
      </c>
      <c r="K78" s="66">
        <f t="shared" si="7"/>
        <v>171.94159624534464</v>
      </c>
    </row>
    <row r="79" spans="2:13" ht="35.25" customHeight="1" x14ac:dyDescent="0.2">
      <c r="B79" s="63" t="s">
        <v>81</v>
      </c>
      <c r="C79" s="64">
        <f>267097751.29</f>
        <v>267097751.28999999</v>
      </c>
      <c r="D79" s="64">
        <f>424110788.82</f>
        <v>424110788.81999999</v>
      </c>
      <c r="E79" s="109" t="s">
        <v>86</v>
      </c>
      <c r="F79" s="109" t="s">
        <v>86</v>
      </c>
      <c r="G79" s="109" t="s">
        <v>86</v>
      </c>
      <c r="H79" s="109" t="s">
        <v>86</v>
      </c>
      <c r="I79" s="109" t="s">
        <v>86</v>
      </c>
      <c r="J79" s="65">
        <f t="shared" si="8"/>
        <v>9.5962173315888695</v>
      </c>
      <c r="K79" s="66">
        <f t="shared" si="7"/>
        <v>158.7848593901204</v>
      </c>
    </row>
    <row r="80" spans="2:13" ht="12.75" customHeight="1" x14ac:dyDescent="0.2">
      <c r="B80" s="63" t="s">
        <v>72</v>
      </c>
      <c r="C80" s="64">
        <f>0</f>
        <v>0</v>
      </c>
      <c r="D80" s="64">
        <f>0</f>
        <v>0</v>
      </c>
      <c r="E80" s="109" t="s">
        <v>86</v>
      </c>
      <c r="F80" s="109" t="s">
        <v>86</v>
      </c>
      <c r="G80" s="109" t="s">
        <v>86</v>
      </c>
      <c r="H80" s="109" t="s">
        <v>86</v>
      </c>
      <c r="I80" s="109" t="s">
        <v>86</v>
      </c>
      <c r="J80" s="65">
        <f t="shared" si="8"/>
        <v>0</v>
      </c>
      <c r="K80" s="66" t="str">
        <f t="shared" si="7"/>
        <v/>
      </c>
    </row>
    <row r="81" spans="2:11" ht="33.75" x14ac:dyDescent="0.2">
      <c r="B81" s="63" t="s">
        <v>75</v>
      </c>
      <c r="C81" s="64">
        <f>1135091622.98</f>
        <v>1135091622.98</v>
      </c>
      <c r="D81" s="64">
        <f>2224791537.43</f>
        <v>2224791537.4299998</v>
      </c>
      <c r="E81" s="109" t="s">
        <v>86</v>
      </c>
      <c r="F81" s="109" t="s">
        <v>86</v>
      </c>
      <c r="G81" s="109" t="s">
        <v>86</v>
      </c>
      <c r="H81" s="109" t="s">
        <v>86</v>
      </c>
      <c r="I81" s="109" t="s">
        <v>86</v>
      </c>
      <c r="J81" s="65">
        <f t="shared" si="8"/>
        <v>50.339636890772766</v>
      </c>
      <c r="K81" s="66">
        <f t="shared" si="7"/>
        <v>196.00105334133013</v>
      </c>
    </row>
    <row r="82" spans="2:11" ht="56.25" x14ac:dyDescent="0.2">
      <c r="B82" s="63" t="s">
        <v>103</v>
      </c>
      <c r="C82" s="64">
        <f>0</f>
        <v>0</v>
      </c>
      <c r="D82" s="64">
        <f>0</f>
        <v>0</v>
      </c>
      <c r="E82" s="109" t="s">
        <v>86</v>
      </c>
      <c r="F82" s="109" t="s">
        <v>86</v>
      </c>
      <c r="G82" s="109" t="s">
        <v>86</v>
      </c>
      <c r="H82" s="109" t="s">
        <v>86</v>
      </c>
      <c r="I82" s="109" t="s">
        <v>86</v>
      </c>
      <c r="J82" s="65">
        <f t="shared" si="8"/>
        <v>0</v>
      </c>
      <c r="K82" s="66" t="str">
        <f>IF(C82=0,"",100*D82/C82)</f>
        <v/>
      </c>
    </row>
    <row r="83" spans="2:11" x14ac:dyDescent="0.2">
      <c r="B83" s="63" t="s">
        <v>98</v>
      </c>
      <c r="C83" s="64">
        <f>300000000</f>
        <v>300000000</v>
      </c>
      <c r="D83" s="64">
        <f>0</f>
        <v>0</v>
      </c>
      <c r="E83" s="109" t="s">
        <v>86</v>
      </c>
      <c r="F83" s="109" t="s">
        <v>86</v>
      </c>
      <c r="G83" s="109" t="s">
        <v>86</v>
      </c>
      <c r="H83" s="109" t="s">
        <v>86</v>
      </c>
      <c r="I83" s="109" t="s">
        <v>86</v>
      </c>
      <c r="J83" s="65">
        <f t="shared" si="8"/>
        <v>0</v>
      </c>
      <c r="K83" s="66">
        <f>IF(C83=0,"",100*D83/C83)</f>
        <v>0</v>
      </c>
    </row>
    <row r="84" spans="2:11" ht="22.5" x14ac:dyDescent="0.2">
      <c r="B84" s="106" t="s">
        <v>99</v>
      </c>
      <c r="C84" s="64">
        <f>0</f>
        <v>0</v>
      </c>
      <c r="D84" s="64">
        <f>0</f>
        <v>0</v>
      </c>
      <c r="E84" s="109" t="s">
        <v>86</v>
      </c>
      <c r="F84" s="109" t="s">
        <v>86</v>
      </c>
      <c r="G84" s="109" t="s">
        <v>86</v>
      </c>
      <c r="H84" s="109" t="s">
        <v>86</v>
      </c>
      <c r="I84" s="109" t="s">
        <v>86</v>
      </c>
      <c r="J84" s="65">
        <f t="shared" si="8"/>
        <v>0</v>
      </c>
      <c r="K84" s="66" t="str">
        <f>IF(C84=0,"",100*D84/C84)</f>
        <v/>
      </c>
    </row>
    <row r="85" spans="2:11" ht="27" customHeight="1" x14ac:dyDescent="0.2">
      <c r="B85" s="90" t="s">
        <v>47</v>
      </c>
      <c r="C85" s="43">
        <f>1130757439</f>
        <v>1130757439</v>
      </c>
      <c r="D85" s="43">
        <f>1172932936.42</f>
        <v>1172932936.4200001</v>
      </c>
      <c r="E85" s="108" t="s">
        <v>86</v>
      </c>
      <c r="F85" s="108" t="s">
        <v>86</v>
      </c>
      <c r="G85" s="108" t="s">
        <v>86</v>
      </c>
      <c r="H85" s="108" t="s">
        <v>86</v>
      </c>
      <c r="I85" s="108" t="s">
        <v>86</v>
      </c>
      <c r="J85" s="38">
        <f t="shared" ref="J85:J90" si="9">IF($D$85=0,"",100*$D85/$D$85)</f>
        <v>100</v>
      </c>
      <c r="K85" s="31">
        <f t="shared" si="7"/>
        <v>103.7298447894624</v>
      </c>
    </row>
    <row r="86" spans="2:11" ht="24.75" customHeight="1" x14ac:dyDescent="0.2">
      <c r="B86" s="105" t="s">
        <v>73</v>
      </c>
      <c r="C86" s="40">
        <f>679677309</f>
        <v>679677309</v>
      </c>
      <c r="D86" s="42">
        <f>254755160.69</f>
        <v>254755160.69</v>
      </c>
      <c r="E86" s="109" t="s">
        <v>86</v>
      </c>
      <c r="F86" s="109" t="s">
        <v>86</v>
      </c>
      <c r="G86" s="109" t="s">
        <v>86</v>
      </c>
      <c r="H86" s="109" t="s">
        <v>86</v>
      </c>
      <c r="I86" s="109" t="s">
        <v>86</v>
      </c>
      <c r="J86" s="45">
        <f t="shared" si="9"/>
        <v>21.719499280799297</v>
      </c>
      <c r="K86" s="46">
        <f t="shared" si="7"/>
        <v>37.481781032946031</v>
      </c>
    </row>
    <row r="87" spans="2:11" ht="12.75" customHeight="1" x14ac:dyDescent="0.2">
      <c r="B87" s="106" t="s">
        <v>74</v>
      </c>
      <c r="C87" s="64">
        <f>27000000</f>
        <v>27000000</v>
      </c>
      <c r="D87" s="64">
        <f>10000000</f>
        <v>10000000</v>
      </c>
      <c r="E87" s="109" t="s">
        <v>86</v>
      </c>
      <c r="F87" s="109" t="s">
        <v>86</v>
      </c>
      <c r="G87" s="109" t="s">
        <v>86</v>
      </c>
      <c r="H87" s="109" t="s">
        <v>86</v>
      </c>
      <c r="I87" s="109" t="s">
        <v>86</v>
      </c>
      <c r="J87" s="65">
        <f t="shared" si="9"/>
        <v>0.85256366237969061</v>
      </c>
      <c r="K87" s="66">
        <f t="shared" si="7"/>
        <v>37.037037037037038</v>
      </c>
    </row>
    <row r="88" spans="2:11" ht="12.75" customHeight="1" x14ac:dyDescent="0.2">
      <c r="B88" s="63" t="s">
        <v>82</v>
      </c>
      <c r="C88" s="64">
        <f>151080130</f>
        <v>151080130</v>
      </c>
      <c r="D88" s="64">
        <f>68177775.73</f>
        <v>68177775.730000004</v>
      </c>
      <c r="E88" s="109" t="s">
        <v>86</v>
      </c>
      <c r="F88" s="109" t="s">
        <v>86</v>
      </c>
      <c r="G88" s="109" t="s">
        <v>86</v>
      </c>
      <c r="H88" s="109" t="s">
        <v>86</v>
      </c>
      <c r="I88" s="109" t="s">
        <v>86</v>
      </c>
      <c r="J88" s="65">
        <f t="shared" si="9"/>
        <v>5.8125894169269978</v>
      </c>
      <c r="K88" s="66">
        <f t="shared" si="7"/>
        <v>45.126897713153937</v>
      </c>
    </row>
    <row r="89" spans="2:11" ht="12.75" customHeight="1" x14ac:dyDescent="0.2">
      <c r="B89" s="63" t="s">
        <v>100</v>
      </c>
      <c r="C89" s="64">
        <f>300000000</f>
        <v>300000000</v>
      </c>
      <c r="D89" s="64">
        <f>850000000</f>
        <v>850000000</v>
      </c>
      <c r="E89" s="109" t="s">
        <v>86</v>
      </c>
      <c r="F89" s="109" t="s">
        <v>86</v>
      </c>
      <c r="G89" s="109" t="s">
        <v>86</v>
      </c>
      <c r="H89" s="109" t="s">
        <v>86</v>
      </c>
      <c r="I89" s="109" t="s">
        <v>86</v>
      </c>
      <c r="J89" s="65">
        <f t="shared" si="9"/>
        <v>72.467911302273691</v>
      </c>
      <c r="K89" s="66">
        <f>IF(C89=0,"",100*D89/C89)</f>
        <v>283.33333333333331</v>
      </c>
    </row>
    <row r="90" spans="2:11" ht="22.5" x14ac:dyDescent="0.2">
      <c r="B90" s="106" t="s">
        <v>101</v>
      </c>
      <c r="C90" s="64">
        <f>0</f>
        <v>0</v>
      </c>
      <c r="D90" s="64">
        <f>0</f>
        <v>0</v>
      </c>
      <c r="E90" s="109" t="s">
        <v>86</v>
      </c>
      <c r="F90" s="109" t="s">
        <v>86</v>
      </c>
      <c r="G90" s="109" t="s">
        <v>86</v>
      </c>
      <c r="H90" s="109" t="s">
        <v>86</v>
      </c>
      <c r="I90" s="109" t="s">
        <v>86</v>
      </c>
      <c r="J90" s="65">
        <f t="shared" si="9"/>
        <v>0</v>
      </c>
      <c r="K90" s="66" t="str">
        <f>IF(C90=0,"",100*D90/C90)</f>
        <v/>
      </c>
    </row>
    <row r="92" spans="2:11" x14ac:dyDescent="0.2">
      <c r="B92" s="37" t="s">
        <v>16</v>
      </c>
      <c r="C92" s="70" t="s">
        <v>17</v>
      </c>
      <c r="D92" s="16" t="s">
        <v>1</v>
      </c>
    </row>
    <row r="93" spans="2:11" x14ac:dyDescent="0.2">
      <c r="B93" s="37"/>
      <c r="C93" s="126" t="s">
        <v>60</v>
      </c>
      <c r="D93" s="133"/>
    </row>
    <row r="94" spans="2:11" x14ac:dyDescent="0.2">
      <c r="B94" s="35">
        <v>1</v>
      </c>
      <c r="C94" s="89">
        <v>2</v>
      </c>
      <c r="D94" s="36">
        <v>3</v>
      </c>
    </row>
    <row r="95" spans="2:11" ht="36" customHeight="1" x14ac:dyDescent="0.2">
      <c r="B95" s="44" t="s">
        <v>104</v>
      </c>
      <c r="C95" s="41">
        <f>4267319338.15</f>
        <v>4267319338.1500001</v>
      </c>
      <c r="D95" s="24">
        <f>0</f>
        <v>0</v>
      </c>
    </row>
    <row r="96" spans="2:11" ht="33.75" x14ac:dyDescent="0.2">
      <c r="B96" s="107" t="s">
        <v>62</v>
      </c>
      <c r="C96" s="64">
        <f>39780294.74</f>
        <v>39780294.740000002</v>
      </c>
      <c r="D96" s="57">
        <f>0</f>
        <v>0</v>
      </c>
    </row>
    <row r="97" spans="2:4" ht="12.75" customHeight="1" x14ac:dyDescent="0.2">
      <c r="B97" s="107" t="s">
        <v>63</v>
      </c>
      <c r="C97" s="64">
        <f>2330085141</f>
        <v>2330085141</v>
      </c>
      <c r="D97" s="57">
        <f>0</f>
        <v>0</v>
      </c>
    </row>
    <row r="98" spans="2:4" ht="22.5" x14ac:dyDescent="0.2">
      <c r="B98" s="107" t="s">
        <v>64</v>
      </c>
      <c r="C98" s="64">
        <f>0</f>
        <v>0</v>
      </c>
      <c r="D98" s="57">
        <f>0</f>
        <v>0</v>
      </c>
    </row>
    <row r="99" spans="2:4" ht="56.25" x14ac:dyDescent="0.2">
      <c r="B99" s="107" t="s">
        <v>83</v>
      </c>
      <c r="C99" s="64">
        <f>807729950.14</f>
        <v>807729950.13999999</v>
      </c>
      <c r="D99" s="57">
        <f>0</f>
        <v>0</v>
      </c>
    </row>
    <row r="100" spans="2:4" ht="81" customHeight="1" x14ac:dyDescent="0.2">
      <c r="B100" s="107" t="s">
        <v>65</v>
      </c>
      <c r="C100" s="64">
        <f>835662726.86</f>
        <v>835662726.86000001</v>
      </c>
      <c r="D100" s="57">
        <f>0</f>
        <v>0</v>
      </c>
    </row>
    <row r="101" spans="2:4" ht="151.5" customHeight="1" x14ac:dyDescent="0.2">
      <c r="B101" s="107" t="s">
        <v>84</v>
      </c>
      <c r="C101" s="64">
        <f>249561225.41</f>
        <v>249561225.41</v>
      </c>
      <c r="D101" s="57">
        <f>0</f>
        <v>0</v>
      </c>
    </row>
    <row r="102" spans="2:4" ht="23.25" customHeight="1" x14ac:dyDescent="0.2">
      <c r="B102" s="107" t="s">
        <v>85</v>
      </c>
      <c r="C102" s="64">
        <f>4500000</f>
        <v>4500000</v>
      </c>
      <c r="D102" s="57">
        <f>0</f>
        <v>0</v>
      </c>
    </row>
    <row r="103" spans="2:4" ht="23.25" customHeight="1" x14ac:dyDescent="0.2">
      <c r="B103" s="120" t="s">
        <v>99</v>
      </c>
      <c r="C103" s="64">
        <f>0</f>
        <v>0</v>
      </c>
      <c r="D103" s="57">
        <f>0</f>
        <v>0</v>
      </c>
    </row>
    <row r="105" spans="2:4" x14ac:dyDescent="0.2">
      <c r="B105" s="33" t="s">
        <v>48</v>
      </c>
      <c r="C105" s="33">
        <f>2</f>
        <v>2</v>
      </c>
      <c r="D105" s="33" t="str">
        <f>IF(C105=1,"I Kwartał",IF(C105=2,"II Kwartały",IF(C105=3,"III Kwartały",IF(C105=4,"IV Kwartały",IF(C105="M1","Styczeń",IF(C105="M11","Listopad",IF(C105="M12","Grudzień","-")))))))</f>
        <v>II Kwartały</v>
      </c>
    </row>
    <row r="106" spans="2:4" x14ac:dyDescent="0.2">
      <c r="B106" s="33" t="s">
        <v>49</v>
      </c>
      <c r="C106" s="111">
        <f>2024</f>
        <v>2024</v>
      </c>
      <c r="D106" s="34"/>
    </row>
    <row r="107" spans="2:4" x14ac:dyDescent="0.2">
      <c r="B107" s="33" t="s">
        <v>50</v>
      </c>
      <c r="C107" s="154" t="str">
        <f>"Aug 14 2024 12:00AM"</f>
        <v>Aug 14 2024 12:00AM</v>
      </c>
      <c r="D107" s="155"/>
    </row>
    <row r="108" spans="2:4" hidden="1" x14ac:dyDescent="0.2">
      <c r="B108" s="33" t="s">
        <v>55</v>
      </c>
      <c r="C108" s="112" t="str">
        <f>""</f>
        <v/>
      </c>
      <c r="D108" s="34"/>
    </row>
  </sheetData>
  <mergeCells count="23">
    <mergeCell ref="C107:D107"/>
    <mergeCell ref="F47:H47"/>
    <mergeCell ref="G48:H48"/>
    <mergeCell ref="C72:D72"/>
    <mergeCell ref="J47:J49"/>
    <mergeCell ref="D47:D49"/>
    <mergeCell ref="C93:D93"/>
    <mergeCell ref="I63:J63"/>
    <mergeCell ref="E71:I73"/>
    <mergeCell ref="J72:K72"/>
    <mergeCell ref="I62:J62"/>
    <mergeCell ref="J3:L3"/>
    <mergeCell ref="C3:D3"/>
    <mergeCell ref="I47:I49"/>
    <mergeCell ref="C50:I50"/>
    <mergeCell ref="E47:E49"/>
    <mergeCell ref="J50:K50"/>
    <mergeCell ref="K47:K49"/>
    <mergeCell ref="B2:B3"/>
    <mergeCell ref="C47:C49"/>
    <mergeCell ref="B47:B50"/>
    <mergeCell ref="F48:F49"/>
    <mergeCell ref="E3:I4"/>
  </mergeCells>
  <phoneticPr fontId="0" type="noConversion"/>
  <pageMargins left="0.19685039370078741" right="0.19685039370078741" top="0.35433070866141736" bottom="0.39370078740157483" header="0.31496062992125984" footer="0.19685039370078741"/>
  <pageSetup paperSize="9" scale="85" orientation="landscape" r:id="rId1"/>
  <headerFooter alignWithMargins="0">
    <oddFooter>&amp;RStrona &amp;P z &amp;N</oddFooter>
  </headerFooter>
  <rowBreaks count="4" manualBreakCount="4">
    <brk id="34" max="16383" man="1"/>
    <brk id="44" max="16383" man="1"/>
    <brk id="68" max="16383" man="1"/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doch_wyd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2022-10-25T14:07:59Z</cp:lastPrinted>
  <dcterms:created xsi:type="dcterms:W3CDTF">2001-05-17T08:58:03Z</dcterms:created>
  <dcterms:modified xsi:type="dcterms:W3CDTF">2024-08-26T09:36:02Z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2022-06-01T15:12:09.6306425+02:00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GRN-8d66ded2-1cb5-4e67-9970-33e716a7ea2e</vt:lpwstr>
  </property>
  <property fmtid="{D5CDD505-2E9C-101B-9397-08002B2CF9AE}" pid="7" name="MFHash">
    <vt:lpwstr>9/jS5PLDII7DMwS9o4x/sZmJJ/kSI9X7awFsxSFXuVM=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