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CAD0F803-FC25-4E82-92DB-62DA34B9D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66" i="7" l="1"/>
  <c r="A1" i="7"/>
  <c r="A85" i="7"/>
  <c r="A29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<sst xmlns="http://schemas.openxmlformats.org/spreadsheetml/2006/main" count="97" uniqueCount="81">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</sst>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IV Kwartały 2023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4783411242.66</f>
        <v>4783411242.6599998</v>
      </c>
      <c r="C13" s="20">
        <f>2871049767.46</f>
        <v>2871049767.46</v>
      </c>
      <c r="D13" s="20">
        <f>172021135.36</f>
        <v>172021135.36000001</v>
      </c>
      <c r="E13" s="20">
        <f>170000000</f>
        <v>170000000</v>
      </c>
      <c r="F13" s="20">
        <f>0</f>
        <v>0</v>
      </c>
      <c r="G13" s="20">
        <f>2021135.36</f>
        <v>2021135.3600000001</v>
      </c>
      <c r="H13" s="20">
        <f>0</f>
        <v>0</v>
      </c>
      <c r="I13" s="20">
        <f>0</f>
        <v>0</v>
      </c>
      <c r="J13" s="20">
        <f>2515281406.66</f>
        <v>2515281406.6599998</v>
      </c>
      <c r="K13" s="20">
        <f>0</f>
        <v>0</v>
      </c>
      <c r="L13" s="20">
        <f>183117348.24</f>
        <v>183117348.24000001</v>
      </c>
      <c r="M13" s="20">
        <f>628612.1</f>
        <v>628612.1</v>
      </c>
      <c r="N13" s="20">
        <f>1265.1</f>
        <v>1265.0999999999999</v>
      </c>
      <c r="O13" s="20">
        <f>1912361475.2</f>
        <v>1912361475.2</v>
      </c>
      <c r="P13" s="20">
        <f>1912361475.2</f>
        <v>1912361475.2</v>
      </c>
      <c r="Q13" s="20">
        <f>0</f>
        <v>0</v>
      </c>
    </row>
    <row r="14" spans="1:17" ht="28.5" customHeight="1" x14ac:dyDescent="0.2">
      <c r="A14" s="19" t="s">
        <v>45</v>
      </c>
      <c r="B14" s="20">
        <f>212950000</f>
        <v>212950000</v>
      </c>
      <c r="C14" s="20">
        <f>212950000</f>
        <v>212950000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212950000</f>
        <v>212950000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212950000</f>
        <v>212950000</v>
      </c>
      <c r="C16" s="21">
        <f>212950000</f>
        <v>212950000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212950000</f>
        <v>212950000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4569672682.22</f>
        <v>4569672682.2200003</v>
      </c>
      <c r="C17" s="20">
        <f>2657311207.02</f>
        <v>2657311207.02</v>
      </c>
      <c r="D17" s="20">
        <f>171994100.36</f>
        <v>171994100.36000001</v>
      </c>
      <c r="E17" s="20">
        <f>170000000</f>
        <v>170000000</v>
      </c>
      <c r="F17" s="20">
        <f>0</f>
        <v>0</v>
      </c>
      <c r="G17" s="20">
        <f>1994100.36</f>
        <v>1994100.36</v>
      </c>
      <c r="H17" s="20">
        <f>0</f>
        <v>0</v>
      </c>
      <c r="I17" s="20">
        <f>0</f>
        <v>0</v>
      </c>
      <c r="J17" s="20">
        <f>2302331406.66</f>
        <v>2302331406.6599998</v>
      </c>
      <c r="K17" s="20">
        <f>0</f>
        <v>0</v>
      </c>
      <c r="L17" s="20">
        <f>182985700</f>
        <v>182985700</v>
      </c>
      <c r="M17" s="20">
        <f>0</f>
        <v>0</v>
      </c>
      <c r="N17" s="20">
        <f>0</f>
        <v>0</v>
      </c>
      <c r="O17" s="20">
        <f>1912361475.2</f>
        <v>1912361475.2</v>
      </c>
      <c r="P17" s="20">
        <f>1912361475.2</f>
        <v>1912361475.2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4569672682.22</f>
        <v>4569672682.2200003</v>
      </c>
      <c r="C19" s="21">
        <f>2657311207.02</f>
        <v>2657311207.02</v>
      </c>
      <c r="D19" s="21">
        <f>171994100.36</f>
        <v>171994100.36000001</v>
      </c>
      <c r="E19" s="21">
        <f>170000000</f>
        <v>170000000</v>
      </c>
      <c r="F19" s="21">
        <f>0</f>
        <v>0</v>
      </c>
      <c r="G19" s="21">
        <f>1994100.36</f>
        <v>1994100.36</v>
      </c>
      <c r="H19" s="21">
        <f>0</f>
        <v>0</v>
      </c>
      <c r="I19" s="21">
        <f>0</f>
        <v>0</v>
      </c>
      <c r="J19" s="21">
        <f>2302331406.66</f>
        <v>2302331406.6599998</v>
      </c>
      <c r="K19" s="21">
        <f>0</f>
        <v>0</v>
      </c>
      <c r="L19" s="21">
        <f>182985700</f>
        <v>182985700</v>
      </c>
      <c r="M19" s="21">
        <f>0</f>
        <v>0</v>
      </c>
      <c r="N19" s="21">
        <f>0</f>
        <v>0</v>
      </c>
      <c r="O19" s="21">
        <f>1912361475.2</f>
        <v>1912361475.2</v>
      </c>
      <c r="P19" s="21">
        <f>1912361475.2</f>
        <v>1912361475.2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788560.44</f>
        <v>788560.44</v>
      </c>
      <c r="C21" s="20">
        <f>788560.44</f>
        <v>788560.44</v>
      </c>
      <c r="D21" s="20">
        <f>27035</f>
        <v>27035</v>
      </c>
      <c r="E21" s="20">
        <f>0</f>
        <v>0</v>
      </c>
      <c r="F21" s="20">
        <f>0</f>
        <v>0</v>
      </c>
      <c r="G21" s="20">
        <f>27035</f>
        <v>27035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131648.24</f>
        <v>131648.24</v>
      </c>
      <c r="M21" s="20">
        <f>628612.1</f>
        <v>628612.1</v>
      </c>
      <c r="N21" s="20">
        <f>1265.1</f>
        <v>1265.0999999999999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122384.05</f>
        <v>122384.05</v>
      </c>
      <c r="C22" s="21">
        <f>122384.05</f>
        <v>122384.05</v>
      </c>
      <c r="D22" s="21">
        <f>27035</f>
        <v>27035</v>
      </c>
      <c r="E22" s="21">
        <f>0</f>
        <v>0</v>
      </c>
      <c r="F22" s="21">
        <f>0</f>
        <v>0</v>
      </c>
      <c r="G22" s="21">
        <f>27035</f>
        <v>27035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75596.45</f>
        <v>75596.45</v>
      </c>
      <c r="M22" s="21">
        <f>18487.5</f>
        <v>18487.5</v>
      </c>
      <c r="N22" s="21">
        <f>1265.1</f>
        <v>1265.0999999999999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666176.39</f>
        <v>666176.39</v>
      </c>
      <c r="C23" s="21">
        <f>666176.39</f>
        <v>666176.39</v>
      </c>
      <c r="D23" s="21">
        <f>0</f>
        <v>0</v>
      </c>
      <c r="E23" s="21">
        <f>0</f>
        <v>0</v>
      </c>
      <c r="F23" s="21">
        <f>0</f>
        <v>0</v>
      </c>
      <c r="G23" s="21">
        <f>0</f>
        <v>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56051.79</f>
        <v>56051.79</v>
      </c>
      <c r="M23" s="21">
        <f>610124.6</f>
        <v>610124.6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IV Kwartały 2023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508086728.54</f>
        <v>508086728.54000002</v>
      </c>
      <c r="C43" s="22">
        <f>508086728.54</f>
        <v>508086728.54000002</v>
      </c>
      <c r="D43" s="22">
        <f>453458244.92</f>
        <v>453458244.92000002</v>
      </c>
      <c r="E43" s="22">
        <f>98144.03</f>
        <v>98144.03</v>
      </c>
      <c r="F43" s="22">
        <f>9988.58</f>
        <v>9988.58</v>
      </c>
      <c r="G43" s="22">
        <f>453350112.31</f>
        <v>453350112.31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49339040.64</f>
        <v>49339040.640000001</v>
      </c>
      <c r="M43" s="22">
        <f>4520789.77</f>
        <v>4520789.7699999996</v>
      </c>
      <c r="N43" s="22">
        <f>768653.21</f>
        <v>768653.21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26596481.31</f>
        <v>26596481.309999999</v>
      </c>
      <c r="C44" s="23">
        <f>26596481.31</f>
        <v>26596481.309999999</v>
      </c>
      <c r="D44" s="23">
        <f>26483459.69</f>
        <v>26483459.690000001</v>
      </c>
      <c r="E44" s="23">
        <f>0</f>
        <v>0</v>
      </c>
      <c r="F44" s="23">
        <f>0</f>
        <v>0</v>
      </c>
      <c r="G44" s="23">
        <f>26483459.69</f>
        <v>26483459.690000001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30000</f>
        <v>30000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481490247.23</f>
        <v>481490247.23000002</v>
      </c>
      <c r="C45" s="23">
        <f>481490247.23</f>
        <v>481490247.23000002</v>
      </c>
      <c r="D45" s="23">
        <f>426974785.23</f>
        <v>426974785.23000002</v>
      </c>
      <c r="E45" s="23">
        <f>98144.03</f>
        <v>98144.03</v>
      </c>
      <c r="F45" s="23">
        <f>9988.58</f>
        <v>9988.58</v>
      </c>
      <c r="G45" s="23">
        <f>426866652.62</f>
        <v>426866652.62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49256019.02</f>
        <v>49256019.020000003</v>
      </c>
      <c r="M45" s="23">
        <f>4520789.77</f>
        <v>4520789.7699999996</v>
      </c>
      <c r="N45" s="23">
        <f>738653.21</f>
        <v>738653.21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4622369922.43</f>
        <v>4622369922.4300003</v>
      </c>
      <c r="C46" s="22">
        <f>4622100743.97</f>
        <v>4622100743.9700003</v>
      </c>
      <c r="D46" s="22">
        <f>69202.29</f>
        <v>69202.289999999994</v>
      </c>
      <c r="E46" s="22">
        <f>600</f>
        <v>600</v>
      </c>
      <c r="F46" s="22">
        <f>16265.52</f>
        <v>16265.52</v>
      </c>
      <c r="G46" s="22">
        <f>52336.77</f>
        <v>52336.77</v>
      </c>
      <c r="H46" s="22">
        <f>0</f>
        <v>0</v>
      </c>
      <c r="I46" s="22">
        <f>0</f>
        <v>0</v>
      </c>
      <c r="J46" s="22">
        <f>4618530111.1</f>
        <v>4618530111.1000004</v>
      </c>
      <c r="K46" s="22">
        <f>0</f>
        <v>0</v>
      </c>
      <c r="L46" s="22">
        <f>3492366.95</f>
        <v>3492366.95</v>
      </c>
      <c r="M46" s="22">
        <f>9063.63</f>
        <v>9063.6299999999992</v>
      </c>
      <c r="N46" s="22">
        <f>0</f>
        <v>0</v>
      </c>
      <c r="O46" s="22">
        <f>269178.46</f>
        <v>269178.46000000002</v>
      </c>
      <c r="P46" s="22">
        <f>269178.46</f>
        <v>269178.46000000002</v>
      </c>
      <c r="Q46" s="22">
        <f>0</f>
        <v>0</v>
      </c>
    </row>
    <row r="47" spans="1:17" ht="24" customHeight="1" x14ac:dyDescent="0.2">
      <c r="A47" s="18" t="s">
        <v>33</v>
      </c>
      <c r="B47" s="23">
        <f>52336.77</f>
        <v>52336.77</v>
      </c>
      <c r="C47" s="23">
        <f>52336.77</f>
        <v>52336.77</v>
      </c>
      <c r="D47" s="23">
        <f>52336.77</f>
        <v>52336.77</v>
      </c>
      <c r="E47" s="23">
        <f>0</f>
        <v>0</v>
      </c>
      <c r="F47" s="23">
        <f>0</f>
        <v>0</v>
      </c>
      <c r="G47" s="23">
        <f>52336.77</f>
        <v>52336.77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4621620585.63</f>
        <v>4621620585.6300001</v>
      </c>
      <c r="C48" s="23">
        <f>4621620585.63</f>
        <v>4621620585.6300001</v>
      </c>
      <c r="D48" s="23">
        <f>600</f>
        <v>600</v>
      </c>
      <c r="E48" s="23">
        <f>600</f>
        <v>600</v>
      </c>
      <c r="F48" s="23">
        <f>0</f>
        <v>0</v>
      </c>
      <c r="G48" s="23">
        <f>0</f>
        <v>0</v>
      </c>
      <c r="H48" s="23">
        <f>0</f>
        <v>0</v>
      </c>
      <c r="I48" s="23">
        <f>0</f>
        <v>0</v>
      </c>
      <c r="J48" s="23">
        <f>4618151794.79</f>
        <v>4618151794.79</v>
      </c>
      <c r="K48" s="23">
        <f>0</f>
        <v>0</v>
      </c>
      <c r="L48" s="23">
        <f>3459127.21</f>
        <v>3459127.21</v>
      </c>
      <c r="M48" s="23">
        <f>9063.63</f>
        <v>9063.6299999999992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697000.03</f>
        <v>697000.03</v>
      </c>
      <c r="C49" s="23">
        <f>427821.57</f>
        <v>427821.57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378316.31</f>
        <v>378316.31</v>
      </c>
      <c r="K49" s="23">
        <f>0</f>
        <v>0</v>
      </c>
      <c r="L49" s="23">
        <f>33239.74</f>
        <v>33239.74</v>
      </c>
      <c r="M49" s="23">
        <f>0</f>
        <v>0</v>
      </c>
      <c r="N49" s="23">
        <f>0</f>
        <v>0</v>
      </c>
      <c r="O49" s="23">
        <f>269178.46</f>
        <v>269178.46000000002</v>
      </c>
      <c r="P49" s="23">
        <f>269178.46</f>
        <v>269178.46000000002</v>
      </c>
      <c r="Q49" s="23">
        <f>0</f>
        <v>0</v>
      </c>
    </row>
    <row r="50" spans="1:17" ht="30.75" customHeight="1" x14ac:dyDescent="0.2">
      <c r="A50" s="24" t="s">
        <v>43</v>
      </c>
      <c r="B50" s="22">
        <f>4831709069.6</f>
        <v>4831709069.6000004</v>
      </c>
      <c r="C50" s="22">
        <f>4829341794.83</f>
        <v>4829341794.8299999</v>
      </c>
      <c r="D50" s="22">
        <f>16862249.82</f>
        <v>16862249.82</v>
      </c>
      <c r="E50" s="22">
        <f>63596.51</f>
        <v>63596.51</v>
      </c>
      <c r="F50" s="22">
        <f>526539.61</f>
        <v>526539.61</v>
      </c>
      <c r="G50" s="22">
        <f>16272113.2</f>
        <v>16272113.199999999</v>
      </c>
      <c r="H50" s="22">
        <f>0.5</f>
        <v>0.5</v>
      </c>
      <c r="I50" s="22">
        <f>0</f>
        <v>0</v>
      </c>
      <c r="J50" s="22">
        <f>34167.23</f>
        <v>34167.230000000003</v>
      </c>
      <c r="K50" s="22">
        <f>15841608.9</f>
        <v>15841608.9</v>
      </c>
      <c r="L50" s="22">
        <f>1837225345.17</f>
        <v>1837225345.1700001</v>
      </c>
      <c r="M50" s="22">
        <f>2932952054.16</f>
        <v>2932952054.1599998</v>
      </c>
      <c r="N50" s="22">
        <f>26426369.55</f>
        <v>26426369.550000001</v>
      </c>
      <c r="O50" s="22">
        <f>2367274.77</f>
        <v>2367274.77</v>
      </c>
      <c r="P50" s="22">
        <f>1831610.91</f>
        <v>1831610.91</v>
      </c>
      <c r="Q50" s="22">
        <f>535663.86</f>
        <v>535663.86</v>
      </c>
    </row>
    <row r="51" spans="1:17" ht="30" customHeight="1" x14ac:dyDescent="0.2">
      <c r="A51" s="18" t="s">
        <v>36</v>
      </c>
      <c r="B51" s="23">
        <f>60263912.71</f>
        <v>60263912.710000001</v>
      </c>
      <c r="C51" s="23">
        <f>60256605.09</f>
        <v>60256605.090000004</v>
      </c>
      <c r="D51" s="23">
        <f>327900.96</f>
        <v>327900.96000000002</v>
      </c>
      <c r="E51" s="23">
        <f>0</f>
        <v>0</v>
      </c>
      <c r="F51" s="23">
        <f>285.45</f>
        <v>285.45</v>
      </c>
      <c r="G51" s="23">
        <f>327615.51</f>
        <v>327615.51</v>
      </c>
      <c r="H51" s="23">
        <f>0</f>
        <v>0</v>
      </c>
      <c r="I51" s="23">
        <f>0</f>
        <v>0</v>
      </c>
      <c r="J51" s="23">
        <f>998.91</f>
        <v>998.91</v>
      </c>
      <c r="K51" s="23">
        <f>0</f>
        <v>0</v>
      </c>
      <c r="L51" s="23">
        <f>54361871.69</f>
        <v>54361871.689999998</v>
      </c>
      <c r="M51" s="23">
        <f>5015153.52</f>
        <v>5015153.5199999996</v>
      </c>
      <c r="N51" s="23">
        <f>550680.01</f>
        <v>550680.01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4771445156.89</f>
        <v>4771445156.8900003</v>
      </c>
      <c r="C52" s="23">
        <f>4769085189.74</f>
        <v>4769085189.7399998</v>
      </c>
      <c r="D52" s="23">
        <f>16534348.86</f>
        <v>16534348.859999999</v>
      </c>
      <c r="E52" s="23">
        <f>63596.51</f>
        <v>63596.51</v>
      </c>
      <c r="F52" s="23">
        <f>526254.16</f>
        <v>526254.16</v>
      </c>
      <c r="G52" s="23">
        <f>15944497.69</f>
        <v>15944497.689999999</v>
      </c>
      <c r="H52" s="23">
        <f>0.5</f>
        <v>0.5</v>
      </c>
      <c r="I52" s="23">
        <f>0</f>
        <v>0</v>
      </c>
      <c r="J52" s="23">
        <f>33168.32</f>
        <v>33168.32</v>
      </c>
      <c r="K52" s="23">
        <f>15841608.9</f>
        <v>15841608.9</v>
      </c>
      <c r="L52" s="23">
        <f>1782863473.48</f>
        <v>1782863473.48</v>
      </c>
      <c r="M52" s="23">
        <f>2927936900.64</f>
        <v>2927936900.6399999</v>
      </c>
      <c r="N52" s="23">
        <f>25875689.54</f>
        <v>25875689.539999999</v>
      </c>
      <c r="O52" s="23">
        <f>2359967.15</f>
        <v>2359967.15</v>
      </c>
      <c r="P52" s="23">
        <f>1824303.29</f>
        <v>1824303.29</v>
      </c>
      <c r="Q52" s="23">
        <f>535663.86</f>
        <v>535663.86</v>
      </c>
    </row>
    <row r="53" spans="1:17" ht="30.75" customHeight="1" x14ac:dyDescent="0.2">
      <c r="A53" s="24" t="s">
        <v>44</v>
      </c>
      <c r="B53" s="22">
        <f>1618606332.85</f>
        <v>1618606332.8499999</v>
      </c>
      <c r="C53" s="22">
        <f>1614581259.92</f>
        <v>1614581259.9200001</v>
      </c>
      <c r="D53" s="22">
        <f>356839058.42</f>
        <v>356839058.42000002</v>
      </c>
      <c r="E53" s="22">
        <f>188992724.31</f>
        <v>188992724.31</v>
      </c>
      <c r="F53" s="22">
        <f>850080.3</f>
        <v>850080.3</v>
      </c>
      <c r="G53" s="22">
        <f>166871328.54</f>
        <v>166871328.53999999</v>
      </c>
      <c r="H53" s="22">
        <f>124925.27</f>
        <v>124925.27</v>
      </c>
      <c r="I53" s="22">
        <f>0</f>
        <v>0</v>
      </c>
      <c r="J53" s="22">
        <f>275117.07</f>
        <v>275117.07</v>
      </c>
      <c r="K53" s="22">
        <f>937592.34</f>
        <v>937592.34</v>
      </c>
      <c r="L53" s="22">
        <f>1011938692.84</f>
        <v>1011938692.84</v>
      </c>
      <c r="M53" s="22">
        <f>179791729.06</f>
        <v>179791729.06</v>
      </c>
      <c r="N53" s="22">
        <f>64799070.19</f>
        <v>64799070.189999998</v>
      </c>
      <c r="O53" s="22">
        <f>4025072.93</f>
        <v>4025072.93</v>
      </c>
      <c r="P53" s="22">
        <f>3003697.93</f>
        <v>3003697.93</v>
      </c>
      <c r="Q53" s="22">
        <f>1021375</f>
        <v>1021375</v>
      </c>
    </row>
    <row r="54" spans="1:17" ht="30" customHeight="1" x14ac:dyDescent="0.2">
      <c r="A54" s="18" t="s">
        <v>38</v>
      </c>
      <c r="B54" s="23">
        <f>59488439.16</f>
        <v>59488439.159999996</v>
      </c>
      <c r="C54" s="23">
        <f>59488438.89</f>
        <v>59488438.890000001</v>
      </c>
      <c r="D54" s="23">
        <f>4791478.32</f>
        <v>4791478.32</v>
      </c>
      <c r="E54" s="23">
        <f>200012.17</f>
        <v>200012.17</v>
      </c>
      <c r="F54" s="23">
        <f>206852.44</f>
        <v>206852.44</v>
      </c>
      <c r="G54" s="23">
        <f>4383512.71</f>
        <v>4383512.71</v>
      </c>
      <c r="H54" s="23">
        <f>1101</f>
        <v>1101</v>
      </c>
      <c r="I54" s="23">
        <f>0</f>
        <v>0</v>
      </c>
      <c r="J54" s="23">
        <f>10269.13</f>
        <v>10269.129999999999</v>
      </c>
      <c r="K54" s="23">
        <f>1971.44</f>
        <v>1971.44</v>
      </c>
      <c r="L54" s="23">
        <f>50494242.88</f>
        <v>50494242.880000003</v>
      </c>
      <c r="M54" s="23">
        <f>3813235.03</f>
        <v>3813235.03</v>
      </c>
      <c r="N54" s="23">
        <f>377242.09</f>
        <v>377242.09</v>
      </c>
      <c r="O54" s="23">
        <f>0.27</f>
        <v>0.27</v>
      </c>
      <c r="P54" s="23">
        <f>0.27</f>
        <v>0.27</v>
      </c>
      <c r="Q54" s="23">
        <f>0</f>
        <v>0</v>
      </c>
    </row>
    <row r="55" spans="1:17" ht="33" customHeight="1" x14ac:dyDescent="0.2">
      <c r="A55" s="18" t="s">
        <v>80</v>
      </c>
      <c r="B55" s="23">
        <f>13557.29</f>
        <v>13557.29</v>
      </c>
      <c r="C55" s="23">
        <f>13557.29</f>
        <v>13557.29</v>
      </c>
      <c r="D55" s="23">
        <f>13557.29</f>
        <v>13557.29</v>
      </c>
      <c r="E55" s="23">
        <f>17</f>
        <v>17</v>
      </c>
      <c r="F55" s="23">
        <f>0</f>
        <v>0</v>
      </c>
      <c r="G55" s="23">
        <f>10</f>
        <v>10</v>
      </c>
      <c r="H55" s="23">
        <f>13530.29</f>
        <v>13530.29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1559104336.4</f>
        <v>1559104336.4000001</v>
      </c>
      <c r="C56" s="23">
        <f>1555079263.74</f>
        <v>1555079263.74</v>
      </c>
      <c r="D56" s="23">
        <f>352034022.81</f>
        <v>352034022.81</v>
      </c>
      <c r="E56" s="23">
        <f>188792695.14</f>
        <v>188792695.13999999</v>
      </c>
      <c r="F56" s="23">
        <f>643227.86</f>
        <v>643227.86</v>
      </c>
      <c r="G56" s="23">
        <f>162487805.83</f>
        <v>162487805.83000001</v>
      </c>
      <c r="H56" s="23">
        <f>110293.98</f>
        <v>110293.98</v>
      </c>
      <c r="I56" s="23">
        <f>0</f>
        <v>0</v>
      </c>
      <c r="J56" s="23">
        <f>264847.94</f>
        <v>264847.94</v>
      </c>
      <c r="K56" s="23">
        <f>935620.9</f>
        <v>935620.9</v>
      </c>
      <c r="L56" s="23">
        <f>961444449.96</f>
        <v>961444449.96000004</v>
      </c>
      <c r="M56" s="23">
        <f>175978494.03</f>
        <v>175978494.03</v>
      </c>
      <c r="N56" s="23">
        <f>64421828.1</f>
        <v>64421828.100000001</v>
      </c>
      <c r="O56" s="23">
        <f>4025072.66</f>
        <v>4025072.66</v>
      </c>
      <c r="P56" s="23">
        <f>3003697.66</f>
        <v>3003697.66</v>
      </c>
      <c r="Q56" s="23">
        <f>1021375</f>
        <v>1021375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IV Kwartały 2023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1218295782.61</f>
        <v>1218295782.6099999</v>
      </c>
      <c r="G76" s="25">
        <f>250629371.37</f>
        <v>250629371.37</v>
      </c>
      <c r="H76" s="25">
        <f>0</f>
        <v>0</v>
      </c>
      <c r="I76" s="25">
        <f>0</f>
        <v>0</v>
      </c>
      <c r="J76" s="25">
        <f>250629371.37</f>
        <v>250629371.37</v>
      </c>
      <c r="K76" s="25">
        <f>0</f>
        <v>0</v>
      </c>
      <c r="L76" s="25">
        <f>967666411.24</f>
        <v>967666411.24000001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217553407.71</f>
        <v>217553407.71000001</v>
      </c>
      <c r="G78" s="25">
        <f>119168407.71</f>
        <v>119168407.70999999</v>
      </c>
      <c r="H78" s="25">
        <f>0</f>
        <v>0</v>
      </c>
      <c r="I78" s="25">
        <f>0</f>
        <v>0</v>
      </c>
      <c r="J78" s="25">
        <f>119168407.71</f>
        <v>119168407.70999999</v>
      </c>
      <c r="K78" s="25">
        <f>0</f>
        <v>0</v>
      </c>
      <c r="L78" s="25">
        <f>98385000</f>
        <v>98385000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15651337.82</f>
        <v>15651337.82</v>
      </c>
      <c r="G79" s="25">
        <f>9785537.9</f>
        <v>9785537.9000000004</v>
      </c>
      <c r="H79" s="25">
        <f>0</f>
        <v>0</v>
      </c>
      <c r="I79" s="25">
        <f>0</f>
        <v>0</v>
      </c>
      <c r="J79" s="25">
        <f>9785537.9</f>
        <v>9785537.9000000004</v>
      </c>
      <c r="K79" s="25">
        <f>0</f>
        <v>0</v>
      </c>
      <c r="L79" s="25">
        <f>5865799.92</f>
        <v>5865799.9199999999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1104680.81</f>
        <v>1104680.81</v>
      </c>
      <c r="G80" s="25">
        <f>679818.05</f>
        <v>679818.05</v>
      </c>
      <c r="H80" s="25">
        <f>0</f>
        <v>0</v>
      </c>
      <c r="I80" s="25">
        <f>0</f>
        <v>0</v>
      </c>
      <c r="J80" s="25">
        <f>679818.05</f>
        <v>679818.05</v>
      </c>
      <c r="K80" s="25">
        <f>0</f>
        <v>0</v>
      </c>
      <c r="L80" s="25">
        <f>424862.76</f>
        <v>424862.76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26488046.44</f>
        <v>26488046.440000001</v>
      </c>
      <c r="G81" s="25">
        <f>13026237.99</f>
        <v>13026237.99</v>
      </c>
      <c r="H81" s="25">
        <f>0</f>
        <v>0</v>
      </c>
      <c r="I81" s="25">
        <f>0</f>
        <v>0</v>
      </c>
      <c r="J81" s="25">
        <f>13026237.99</f>
        <v>13026237.99</v>
      </c>
      <c r="K81" s="25">
        <f>0</f>
        <v>0</v>
      </c>
      <c r="L81" s="25">
        <f>13461808.45</f>
        <v>13461808.449999999</v>
      </c>
    </row>
    <row r="82" spans="1:13" ht="33" customHeight="1" x14ac:dyDescent="0.2">
      <c r="B82" s="35" t="s">
        <v>61</v>
      </c>
      <c r="C82" s="36"/>
      <c r="D82" s="36"/>
      <c r="E82" s="37"/>
      <c r="F82" s="25">
        <f>1621714.42</f>
        <v>1621714.42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1621714.42</f>
        <v>1621714.42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IV Kwartały 2023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11</f>
        <v>11</v>
      </c>
      <c r="H88" s="54"/>
      <c r="I88" s="38">
        <f>1154434483.94</f>
        <v>1154434483.9400001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5</f>
        <v>5</v>
      </c>
      <c r="H89" s="54"/>
      <c r="I89" s="38">
        <f>-747698138.47</f>
        <v>-747698138.47000003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4</f>
        <v>4</v>
      </c>
      <c r="C93" s="8" t="str">
        <f>IF(B93=1,"I Kwartał",IF(B93=2,"II Kwartały",IF(B93=3,"III Kwartały",IF(B93=4,"IV Kwartały","-"))))</f>
        <v>IV Kwartały</v>
      </c>
    </row>
    <row r="94" spans="1:13" ht="13.5" customHeight="1" x14ac:dyDescent="0.2">
      <c r="A94" s="8" t="s">
        <v>9</v>
      </c>
      <c r="B94" s="8">
        <f>2023</f>
        <v>2023</v>
      </c>
      <c r="C94" s="9"/>
    </row>
    <row r="95" spans="1:13" ht="13.5" customHeight="1" x14ac:dyDescent="0.2">
      <c r="A95" s="8" t="s">
        <v>10</v>
      </c>
      <c r="B95" s="10" t="str">
        <f>"Mar 15 2024 12:00AM"</f>
        <v>Mar 15 2024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2024-03-27T09:03:16Z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2024-03-27T10:03:15.1958318+01:00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GRN-9737c936-0e8e-4de5-827c-580cfaca94ae</vt:lpwstr>
  </property>
  <property fmtid="{D5CDD505-2E9C-101B-9397-08002B2CF9AE}" pid="7" name="MFHash">
    <vt:lpwstr>YS/96iQqB7B6mlVyWp4DgyfoikLr0ogqEfZ5U9gbbDE=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