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4220" windowHeight="8835" activeTab="0"/>
  </bookViews>
  <sheets>
    <sheet name="zob_nal" sheetId="1" r:id="rId1"/>
  </sheets>
  <definedNames/>
  <calcPr fullCalcOnLoad="1"/>
</workbook>
</file>

<file path=xl/sharedStrings.xml><?xml version="1.0" encoding="utf-8"?>
<sst xmlns="http://schemas.openxmlformats.org/spreadsheetml/2006/main" count="98" uniqueCount="79">
  <si>
    <t>Wyszczególnienie</t>
  </si>
  <si>
    <t>banku centralnego</t>
  </si>
  <si>
    <t>Poręczenia i gwarancje</t>
  </si>
  <si>
    <t>Liczba jednostek</t>
  </si>
  <si>
    <t>Wykonanie</t>
  </si>
  <si>
    <t>JST, których budżety zamknęły się nadwyżką</t>
  </si>
  <si>
    <t>JST, których budżety zamknęły się deficytem</t>
  </si>
  <si>
    <t>JST z budżetami zrównoważonymi</t>
  </si>
  <si>
    <t>A. Należności oraz wybrane aktywa finansowe</t>
  </si>
  <si>
    <t>kwota 
należności
ogółem
(kol. 3+15)</t>
  </si>
  <si>
    <t>ogółem 
(kol 4+9+10+11 +12+13+14)</t>
  </si>
  <si>
    <t>dłużnicy  krajowi</t>
  </si>
  <si>
    <t>sektor 
finansów 
publicznych 
ogółem 
(kol 5+6+7+8)</t>
  </si>
  <si>
    <t>banki</t>
  </si>
  <si>
    <t>pozostałe 
krajowe 
instytucje 
finansowe</t>
  </si>
  <si>
    <t>przedsiębiorstwa 
niefinansowe</t>
  </si>
  <si>
    <t>gospodarstwa 
domowe</t>
  </si>
  <si>
    <t>instytucje 
niekomercyjne 
działające
 na rzecz
gospodarstw
domowych</t>
  </si>
  <si>
    <t>ogółem
(kol. 16+17)</t>
  </si>
  <si>
    <t>podmioty 
należące 
do strefy 
euro</t>
  </si>
  <si>
    <t>pozostałe 
podmioty 
zagraniczne</t>
  </si>
  <si>
    <t xml:space="preserve">      dłużnicy zagraniczni</t>
  </si>
  <si>
    <t xml:space="preserve">grupa I </t>
  </si>
  <si>
    <t xml:space="preserve">grupa II </t>
  </si>
  <si>
    <t>grupa III</t>
  </si>
  <si>
    <t>grupa IV</t>
  </si>
  <si>
    <t>N. NALEŻNOŚCI ORAZ WYBRANE AKTYWA FINANSOWE  (N1+N2+N3+N4+N5)   z tego:</t>
  </si>
  <si>
    <t>N1.1 krótkotermionowe</t>
  </si>
  <si>
    <t>N1.2  długoterminowe</t>
  </si>
  <si>
    <t>N2.1 krótkotermionowe</t>
  </si>
  <si>
    <t>N2.2 długoterminowe</t>
  </si>
  <si>
    <t>N3.1 gotówka</t>
  </si>
  <si>
    <t>N3.2 depozyty na żądanie</t>
  </si>
  <si>
    <t>N3.3 depozyty terminowe</t>
  </si>
  <si>
    <t>N4.1 z tytułu dostaw towarów i usług</t>
  </si>
  <si>
    <t>N4.2 pozostałe</t>
  </si>
  <si>
    <t>N5.1 z tytułu dostaw towarów i usług</t>
  </si>
  <si>
    <t>N5.2 z tytułu podatków i składek na 
ubezpieczenia społ.</t>
  </si>
  <si>
    <t>N5.3 z tytułu innych niż wymienione powyżej</t>
  </si>
  <si>
    <t>N1 papiery wartościowe (N1.1+N1.2)</t>
  </si>
  <si>
    <t>N2  pożyczki (N2.1+N2.2)</t>
  </si>
  <si>
    <t>N3 gotówka i depozyty (N3.1+N3.2+N3.3)</t>
  </si>
  <si>
    <t>N4 należności wymagalne (N4.1+N4.2)</t>
  </si>
  <si>
    <t>N5 pozostałe należności  (N5.1+N5.2+N5.3)</t>
  </si>
  <si>
    <t>E  ZOBOWIĄZANIA WG TYTUŁÓW 
    DŁUŻNYCH (E1+E2+E3+E4)</t>
  </si>
  <si>
    <t>E1 papiery wartościowe 
     (E1.1+E1.2)</t>
  </si>
  <si>
    <t>E1.1 krótkotermionowe</t>
  </si>
  <si>
    <t>E1.2 długoterminowe</t>
  </si>
  <si>
    <t>E2 kredyty i pożyczki 
     (E2.1+E2.2)</t>
  </si>
  <si>
    <t>E2.1 krótkotermionowe</t>
  </si>
  <si>
    <t>E2.2 długoterminowe</t>
  </si>
  <si>
    <t>E3 przyjęte depozyty</t>
  </si>
  <si>
    <t>E4  wymagalne zobowiązania 
     (E4.1+E4.2)</t>
  </si>
  <si>
    <t>E4.1 z tytułu dostaw towarów i usług</t>
  </si>
  <si>
    <t>E4.2 pozostałe</t>
  </si>
  <si>
    <t>F1 wartość nominalna niewymagalnych zobowiązań z tytułu udzielonych poręczeń i gwarancji na koniec okresu sprawozdawczego</t>
  </si>
  <si>
    <t>F2 wartość nominalna wymagalnych zobowiązań z tytułu udzielonych poręczeń i gwarancji na koniec okresu sprawozdawczego</t>
  </si>
  <si>
    <t>F3 wartość poręczeń i gwarancji udzielonych w okresie sprawozdawczym</t>
  </si>
  <si>
    <t>B1 należność główna z tytułu udzielonych gwarancji i poręczeń</t>
  </si>
  <si>
    <t>B2 odsetki ustawowe od nalezności głównej z tytułu udzielonych gwarancji i poręczeń</t>
  </si>
  <si>
    <t>B3 wartość spłat dokonanych w okresie sprawozdawczym za dłużników z tytułu udzielonych poręczeń i gwarancji (wydatki)</t>
  </si>
  <si>
    <t>B4 kwota odzyskanych wierzytelności w okresie sprawozdawczym od dłużników z tytułu poręczeń lub gwarancji (dochody)</t>
  </si>
  <si>
    <t>Zobowiązania według tytułów dłużnych (wg wartości nominalnej)</t>
  </si>
  <si>
    <t>kwota 
zadłużenia
ogółem
(kol. 3+15)</t>
  </si>
  <si>
    <t>ogółem 
(kol. 4+9+10+11 +12+13+14)</t>
  </si>
  <si>
    <t>bank 
centralny</t>
  </si>
  <si>
    <t xml:space="preserve">      wierzyciele zagraniczni</t>
  </si>
  <si>
    <t>wierzyciele krajowi</t>
  </si>
  <si>
    <t>grupa I</t>
  </si>
  <si>
    <t>grupa II</t>
  </si>
  <si>
    <t>kwota 
zadłużenia
ogółem
(kol. 3+8)</t>
  </si>
  <si>
    <t>podmioty 
sektora finansów 
publicznych 
(kol.4+5+6+7)</t>
  </si>
  <si>
    <t xml:space="preserve">grupa III </t>
  </si>
  <si>
    <t xml:space="preserve">grupa IV </t>
  </si>
  <si>
    <t>pozostałe
podmioty</t>
  </si>
  <si>
    <t>sektora finansów publicznych (kol.5+6+7+8)</t>
  </si>
  <si>
    <t>wierzyciele i dłużnicy</t>
  </si>
  <si>
    <t>w złotych</t>
  </si>
  <si>
    <t xml:space="preserve">Informacja z wykonania budżetów gmin za III Kwartały 2018 roku  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</si>
</sst>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#,##0.000"/>
    <numFmt numFmtId="167" formatCode="#,##0.0000"/>
    <numFmt numFmtId="168" formatCode="0.000"/>
    <numFmt numFmtId="169" formatCode="dd/mm/yy\ h:mm;@"/>
  </numFmts>
  <fonts count="5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"/>
      <family val="2"/>
    </font>
    <font>
      <sz val="16"/>
      <name val="Arial"/>
      <family val="2"/>
    </font>
    <font>
      <sz val="10"/>
      <name val="Arial"/>
      <family val="0"/>
    </font>
    <font>
      <sz val="11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6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b/>
      <sz val="9"/>
      <name val="Arial CE"/>
      <family val="0"/>
    </font>
    <font>
      <sz val="9"/>
      <name val="Arial CE"/>
      <family val="0"/>
    </font>
    <font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51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9" fillId="14" borderId="0" applyNumberFormat="0" applyBorder="0" applyAlignment="0" applyProtection="0"/>
    <xf numFmtId="0" fontId="9" fillId="13" borderId="0" applyNumberFormat="0" applyBorder="0" applyAlignment="0" applyProtection="0"/>
    <xf numFmtId="0" fontId="9" fillId="15" borderId="0" applyNumberFormat="0" applyBorder="0" applyAlignment="0" applyProtection="0"/>
    <xf numFmtId="0" fontId="9" fillId="6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3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10" fillId="22" borderId="0" applyNumberFormat="0" applyBorder="0" applyAlignment="0" applyProtection="0"/>
    <xf numFmtId="0" fontId="10" fillId="6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10" fillId="22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22" borderId="0" applyNumberFormat="0" applyBorder="0" applyAlignment="0" applyProtection="0"/>
    <xf numFmtId="0" fontId="10" fillId="32" borderId="0" applyNumberFormat="0" applyBorder="0" applyAlignment="0" applyProtection="0"/>
    <xf numFmtId="0" fontId="34" fillId="33" borderId="0" applyNumberFormat="0" applyBorder="0" applyAlignment="0" applyProtection="0"/>
    <xf numFmtId="0" fontId="34" fillId="34" borderId="0" applyNumberFormat="0" applyBorder="0" applyAlignment="0" applyProtection="0"/>
    <xf numFmtId="0" fontId="34" fillId="35" borderId="0" applyNumberFormat="0" applyBorder="0" applyAlignment="0" applyProtection="0"/>
    <xf numFmtId="0" fontId="34" fillId="36" borderId="0" applyNumberFormat="0" applyBorder="0" applyAlignment="0" applyProtection="0"/>
    <xf numFmtId="0" fontId="34" fillId="37" borderId="0" applyNumberFormat="0" applyBorder="0" applyAlignment="0" applyProtection="0"/>
    <xf numFmtId="0" fontId="34" fillId="38" borderId="0" applyNumberFormat="0" applyBorder="0" applyAlignment="0" applyProtection="0"/>
    <xf numFmtId="0" fontId="11" fillId="39" borderId="0" applyNumberFormat="0" applyBorder="0" applyAlignment="0" applyProtection="0"/>
    <xf numFmtId="0" fontId="12" fillId="40" borderId="1" applyNumberFormat="0" applyAlignment="0" applyProtection="0"/>
    <xf numFmtId="0" fontId="13" fillId="41" borderId="2" applyNumberFormat="0" applyAlignment="0" applyProtection="0"/>
    <xf numFmtId="0" fontId="35" fillId="42" borderId="3" applyNumberFormat="0" applyAlignment="0" applyProtection="0"/>
    <xf numFmtId="0" fontId="36" fillId="43" borderId="4" applyNumberFormat="0" applyAlignment="0" applyProtection="0"/>
    <xf numFmtId="0" fontId="37" fillId="4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45" borderId="0" applyNumberFormat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9" fillId="6" borderId="1" applyNumberFormat="0" applyAlignment="0" applyProtection="0"/>
    <xf numFmtId="0" fontId="38" fillId="0" borderId="8" applyNumberFormat="0" applyFill="0" applyAlignment="0" applyProtection="0"/>
    <xf numFmtId="0" fontId="39" fillId="46" borderId="9" applyNumberFormat="0" applyAlignment="0" applyProtection="0"/>
    <xf numFmtId="0" fontId="20" fillId="0" borderId="10" applyNumberFormat="0" applyFill="0" applyAlignment="0" applyProtection="0"/>
    <xf numFmtId="0" fontId="40" fillId="0" borderId="11" applyNumberFormat="0" applyFill="0" applyAlignment="0" applyProtection="0"/>
    <xf numFmtId="0" fontId="41" fillId="0" borderId="12" applyNumberFormat="0" applyFill="0" applyAlignment="0" applyProtection="0"/>
    <xf numFmtId="0" fontId="42" fillId="0" borderId="13" applyNumberFormat="0" applyFill="0" applyAlignment="0" applyProtection="0"/>
    <xf numFmtId="0" fontId="42" fillId="0" borderId="0" applyNumberFormat="0" applyFill="0" applyBorder="0" applyAlignment="0" applyProtection="0"/>
    <xf numFmtId="0" fontId="21" fillId="14" borderId="0" applyNumberFormat="0" applyBorder="0" applyAlignment="0" applyProtection="0"/>
    <xf numFmtId="0" fontId="43" fillId="47" borderId="0" applyNumberFormat="0" applyBorder="0" applyAlignment="0" applyProtection="0"/>
    <xf numFmtId="0" fontId="5" fillId="0" borderId="0">
      <alignment/>
      <protection/>
    </xf>
    <xf numFmtId="0" fontId="0" fillId="4" borderId="14" applyNumberFormat="0" applyFont="0" applyAlignment="0" applyProtection="0"/>
    <xf numFmtId="0" fontId="44" fillId="43" borderId="3" applyNumberFormat="0" applyAlignment="0" applyProtection="0"/>
    <xf numFmtId="0" fontId="2" fillId="0" borderId="0" applyNumberFormat="0" applyFill="0" applyBorder="0" applyAlignment="0" applyProtection="0"/>
    <xf numFmtId="0" fontId="22" fillId="40" borderId="15" applyNumberFormat="0" applyAlignment="0" applyProtection="0"/>
    <xf numFmtId="9" fontId="0" fillId="0" borderId="0" applyFont="0" applyFill="0" applyBorder="0" applyAlignment="0" applyProtection="0"/>
    <xf numFmtId="0" fontId="45" fillId="0" borderId="16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7" applyNumberFormat="0" applyFill="0" applyAlignment="0" applyProtection="0"/>
    <xf numFmtId="0" fontId="48" fillId="0" borderId="0" applyNumberFormat="0" applyFill="0" applyBorder="0" applyAlignment="0" applyProtection="0"/>
    <xf numFmtId="0" fontId="0" fillId="48" borderId="1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49" fillId="49" borderId="0" applyNumberFormat="0" applyBorder="0" applyAlignment="0" applyProtection="0"/>
  </cellStyleXfs>
  <cellXfs count="100">
    <xf numFmtId="0" fontId="0" fillId="0" borderId="0" xfId="0" applyAlignment="1">
      <alignment/>
    </xf>
    <xf numFmtId="0" fontId="4" fillId="0" borderId="0" xfId="88" applyFont="1" applyAlignment="1">
      <alignment horizontal="center" vertical="center" wrapText="1"/>
      <protection/>
    </xf>
    <xf numFmtId="0" fontId="5" fillId="0" borderId="0" xfId="88" applyAlignment="1">
      <alignment horizontal="center" vertical="center" wrapText="1"/>
      <protection/>
    </xf>
    <xf numFmtId="0" fontId="3" fillId="2" borderId="19" xfId="88" applyFont="1" applyFill="1" applyBorder="1" applyAlignment="1">
      <alignment horizontal="center" vertical="center" wrapText="1"/>
      <protection/>
    </xf>
    <xf numFmtId="0" fontId="5" fillId="0" borderId="0" xfId="88" applyFill="1" applyBorder="1" applyAlignment="1">
      <alignment horizontal="center" vertical="center" wrapText="1"/>
      <protection/>
    </xf>
    <xf numFmtId="0" fontId="3" fillId="0" borderId="0" xfId="88" applyFont="1" applyFill="1" applyBorder="1" applyAlignment="1">
      <alignment horizontal="center" vertical="center" wrapText="1"/>
      <protection/>
    </xf>
    <xf numFmtId="0" fontId="3" fillId="0" borderId="0" xfId="88" applyFont="1" applyFill="1" applyBorder="1" applyAlignment="1">
      <alignment horizontal="left" vertical="center" wrapText="1"/>
      <protection/>
    </xf>
    <xf numFmtId="0" fontId="3" fillId="0" borderId="0" xfId="88" applyFont="1" applyFill="1" applyBorder="1" applyAlignment="1">
      <alignment horizontal="center" vertical="center" wrapText="1"/>
      <protection/>
    </xf>
    <xf numFmtId="0" fontId="26" fillId="0" borderId="0" xfId="88" applyFont="1" applyAlignment="1">
      <alignment horizontal="center" vertical="center" wrapText="1"/>
      <protection/>
    </xf>
    <xf numFmtId="0" fontId="26" fillId="0" borderId="0" xfId="88" applyFont="1" applyFill="1" applyBorder="1" applyAlignment="1">
      <alignment horizontal="center" vertical="center" wrapText="1"/>
      <protection/>
    </xf>
    <xf numFmtId="0" fontId="5" fillId="2" borderId="19" xfId="88" applyFill="1" applyBorder="1" applyAlignment="1">
      <alignment horizontal="center" vertical="center" wrapText="1"/>
      <protection/>
    </xf>
    <xf numFmtId="0" fontId="7" fillId="2" borderId="19" xfId="88" applyFont="1" applyFill="1" applyBorder="1" applyAlignment="1">
      <alignment horizontal="center" vertical="center" wrapText="1"/>
      <protection/>
    </xf>
    <xf numFmtId="0" fontId="28" fillId="0" borderId="19" xfId="88" applyFont="1" applyBorder="1" applyAlignment="1">
      <alignment horizontal="left" vertical="center" wrapText="1"/>
      <protection/>
    </xf>
    <xf numFmtId="4" fontId="7" fillId="0" borderId="19" xfId="88" applyNumberFormat="1" applyFont="1" applyBorder="1" applyAlignment="1">
      <alignment vertical="center" wrapText="1"/>
      <protection/>
    </xf>
    <xf numFmtId="4" fontId="7" fillId="40" borderId="19" xfId="88" applyNumberFormat="1" applyFont="1" applyFill="1" applyBorder="1" applyAlignment="1">
      <alignment vertical="center" wrapText="1"/>
      <protection/>
    </xf>
    <xf numFmtId="0" fontId="7" fillId="0" borderId="0" xfId="0" applyFont="1" applyFill="1" applyBorder="1" applyAlignment="1">
      <alignment horizontal="left" indent="1"/>
    </xf>
    <xf numFmtId="4" fontId="7" fillId="0" borderId="0" xfId="88" applyNumberFormat="1" applyFont="1" applyBorder="1" applyAlignment="1">
      <alignment horizontal="right" vertical="center" wrapText="1"/>
      <protection/>
    </xf>
    <xf numFmtId="0" fontId="7" fillId="2" borderId="20" xfId="88" applyFont="1" applyFill="1" applyBorder="1" applyAlignment="1">
      <alignment horizontal="center" vertical="center" wrapText="1"/>
      <protection/>
    </xf>
    <xf numFmtId="0" fontId="27" fillId="0" borderId="21" xfId="0" applyFont="1" applyFill="1" applyBorder="1" applyAlignment="1">
      <alignment horizontal="left" vertical="center" wrapText="1" indent="1"/>
    </xf>
    <xf numFmtId="0" fontId="27" fillId="0" borderId="22" xfId="0" applyFont="1" applyFill="1" applyBorder="1" applyAlignment="1">
      <alignment horizontal="left" vertical="center" wrapText="1" indent="1"/>
    </xf>
    <xf numFmtId="0" fontId="27" fillId="0" borderId="21" xfId="0" applyFont="1" applyFill="1" applyBorder="1" applyAlignment="1">
      <alignment horizontal="left" vertical="center" indent="1"/>
    </xf>
    <xf numFmtId="0" fontId="31" fillId="0" borderId="21" xfId="0" applyFont="1" applyFill="1" applyBorder="1" applyAlignment="1">
      <alignment vertical="center" wrapText="1"/>
    </xf>
    <xf numFmtId="0" fontId="31" fillId="0" borderId="21" xfId="0" applyFont="1" applyFill="1" applyBorder="1" applyAlignment="1">
      <alignment vertical="center"/>
    </xf>
    <xf numFmtId="0" fontId="30" fillId="0" borderId="21" xfId="0" applyFont="1" applyFill="1" applyBorder="1" applyAlignment="1">
      <alignment vertical="center"/>
    </xf>
    <xf numFmtId="0" fontId="27" fillId="0" borderId="19" xfId="0" applyFont="1" applyFill="1" applyBorder="1" applyAlignment="1">
      <alignment horizontal="left" vertical="center" indent="1"/>
    </xf>
    <xf numFmtId="4" fontId="7" fillId="0" borderId="19" xfId="88" applyNumberFormat="1" applyFont="1" applyFill="1" applyBorder="1" applyAlignment="1">
      <alignment vertical="center" wrapText="1"/>
      <protection/>
    </xf>
    <xf numFmtId="0" fontId="29" fillId="50" borderId="19" xfId="88" applyFont="1" applyFill="1" applyBorder="1" applyAlignment="1">
      <alignment horizontal="left" vertical="center" wrapText="1"/>
      <protection/>
    </xf>
    <xf numFmtId="4" fontId="7" fillId="50" borderId="19" xfId="88" applyNumberFormat="1" applyFont="1" applyFill="1" applyBorder="1" applyAlignment="1">
      <alignment horizontal="right" vertical="center" wrapText="1"/>
      <protection/>
    </xf>
    <xf numFmtId="0" fontId="29" fillId="50" borderId="21" xfId="0" applyFont="1" applyFill="1" applyBorder="1" applyAlignment="1">
      <alignment wrapText="1"/>
    </xf>
    <xf numFmtId="0" fontId="29" fillId="50" borderId="22" xfId="0" applyFont="1" applyFill="1" applyBorder="1" applyAlignment="1">
      <alignment wrapText="1"/>
    </xf>
    <xf numFmtId="0" fontId="29" fillId="50" borderId="22" xfId="0" applyFont="1" applyFill="1" applyBorder="1" applyAlignment="1">
      <alignment vertical="center"/>
    </xf>
    <xf numFmtId="0" fontId="29" fillId="50" borderId="21" xfId="0" applyFont="1" applyFill="1" applyBorder="1" applyAlignment="1">
      <alignment horizontal="left" wrapText="1"/>
    </xf>
    <xf numFmtId="4" fontId="7" fillId="0" borderId="19" xfId="88" applyNumberFormat="1" applyFont="1" applyFill="1" applyBorder="1" applyAlignment="1">
      <alignment horizontal="right" vertical="center" wrapText="1"/>
      <protection/>
    </xf>
    <xf numFmtId="0" fontId="30" fillId="50" borderId="21" xfId="0" applyFont="1" applyFill="1" applyBorder="1" applyAlignment="1">
      <alignment vertical="center" wrapText="1"/>
    </xf>
    <xf numFmtId="4" fontId="7" fillId="50" borderId="19" xfId="88" applyNumberFormat="1" applyFont="1" applyFill="1" applyBorder="1" applyAlignment="1">
      <alignment vertical="center" wrapText="1"/>
      <protection/>
    </xf>
    <xf numFmtId="4" fontId="3" fillId="2" borderId="23" xfId="88" applyNumberFormat="1" applyFont="1" applyFill="1" applyBorder="1" applyAlignment="1">
      <alignment horizontal="center" vertical="center" wrapText="1"/>
      <protection/>
    </xf>
    <xf numFmtId="4" fontId="3" fillId="2" borderId="24" xfId="88" applyNumberFormat="1" applyFont="1" applyFill="1" applyBorder="1" applyAlignment="1">
      <alignment horizontal="center" vertical="center" wrapText="1"/>
      <protection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28" fillId="2" borderId="26" xfId="88" applyFont="1" applyFill="1" applyBorder="1" applyAlignment="1">
      <alignment horizontal="center" vertical="center" wrapText="1"/>
      <protection/>
    </xf>
    <xf numFmtId="0" fontId="28" fillId="2" borderId="27" xfId="88" applyFont="1" applyFill="1" applyBorder="1" applyAlignment="1">
      <alignment horizontal="center" vertical="center" wrapText="1"/>
      <protection/>
    </xf>
    <xf numFmtId="0" fontId="28" fillId="2" borderId="20" xfId="88" applyFont="1" applyFill="1" applyBorder="1" applyAlignment="1">
      <alignment horizontal="center" vertical="center" wrapText="1"/>
      <protection/>
    </xf>
    <xf numFmtId="0" fontId="3" fillId="2" borderId="27" xfId="88" applyFont="1" applyFill="1" applyBorder="1" applyAlignment="1">
      <alignment horizontal="center" vertical="center" wrapText="1"/>
      <protection/>
    </xf>
    <xf numFmtId="0" fontId="3" fillId="2" borderId="20" xfId="88" applyFont="1" applyFill="1" applyBorder="1" applyAlignment="1">
      <alignment horizontal="center" vertical="center" wrapText="1"/>
      <protection/>
    </xf>
    <xf numFmtId="0" fontId="3" fillId="2" borderId="19" xfId="88" applyFont="1" applyFill="1" applyBorder="1" applyAlignment="1">
      <alignment horizontal="center" vertical="center" wrapText="1"/>
      <protection/>
    </xf>
    <xf numFmtId="0" fontId="3" fillId="2" borderId="19" xfId="88" applyFont="1" applyFill="1" applyBorder="1" applyAlignment="1">
      <alignment horizontal="center" vertical="center" wrapText="1"/>
      <protection/>
    </xf>
    <xf numFmtId="0" fontId="7" fillId="2" borderId="19" xfId="88" applyFont="1" applyFill="1" applyBorder="1" applyAlignment="1">
      <alignment horizontal="center" vertical="center" wrapText="1"/>
      <protection/>
    </xf>
    <xf numFmtId="0" fontId="3" fillId="2" borderId="23" xfId="88" applyFont="1" applyFill="1" applyBorder="1" applyAlignment="1">
      <alignment horizontal="center" vertical="center" wrapText="1"/>
      <protection/>
    </xf>
    <xf numFmtId="0" fontId="3" fillId="2" borderId="24" xfId="88" applyFont="1" applyFill="1" applyBorder="1" applyAlignment="1">
      <alignment horizontal="center" vertical="center" wrapText="1"/>
      <protection/>
    </xf>
    <xf numFmtId="0" fontId="3" fillId="2" borderId="25" xfId="88" applyFont="1" applyFill="1" applyBorder="1" applyAlignment="1">
      <alignment horizontal="center" vertical="center" wrapText="1"/>
      <protection/>
    </xf>
    <xf numFmtId="0" fontId="32" fillId="0" borderId="0" xfId="88" applyFont="1" applyAlignment="1">
      <alignment horizontal="center" vertical="center" wrapText="1"/>
      <protection/>
    </xf>
    <xf numFmtId="0" fontId="28" fillId="2" borderId="23" xfId="88" applyFont="1" applyFill="1" applyBorder="1" applyAlignment="1">
      <alignment horizontal="center" vertical="center" wrapText="1"/>
      <protection/>
    </xf>
    <xf numFmtId="0" fontId="28" fillId="2" borderId="24" xfId="88" applyFont="1" applyFill="1" applyBorder="1" applyAlignment="1">
      <alignment horizontal="center" vertical="center" wrapText="1"/>
      <protection/>
    </xf>
    <xf numFmtId="0" fontId="28" fillId="2" borderId="25" xfId="88" applyFont="1" applyFill="1" applyBorder="1" applyAlignment="1">
      <alignment horizontal="center" vertical="center" wrapText="1"/>
      <protection/>
    </xf>
    <xf numFmtId="0" fontId="6" fillId="0" borderId="0" xfId="88" applyFont="1" applyAlignment="1">
      <alignment horizontal="left" vertical="center" wrapText="1"/>
      <protection/>
    </xf>
    <xf numFmtId="0" fontId="3" fillId="2" borderId="26" xfId="88" applyFont="1" applyFill="1" applyBorder="1" applyAlignment="1">
      <alignment horizontal="center" vertical="center" wrapText="1"/>
      <protection/>
    </xf>
    <xf numFmtId="0" fontId="8" fillId="2" borderId="26" xfId="88" applyFont="1" applyFill="1" applyBorder="1" applyAlignment="1">
      <alignment horizontal="center" vertical="center" wrapText="1"/>
      <protection/>
    </xf>
    <xf numFmtId="0" fontId="8" fillId="2" borderId="27" xfId="88" applyFont="1" applyFill="1" applyBorder="1" applyAlignment="1">
      <alignment horizontal="center" vertical="center" wrapText="1"/>
      <protection/>
    </xf>
    <xf numFmtId="0" fontId="8" fillId="2" borderId="20" xfId="88" applyFont="1" applyFill="1" applyBorder="1" applyAlignment="1">
      <alignment horizontal="center" vertical="center" wrapText="1"/>
      <protection/>
    </xf>
    <xf numFmtId="0" fontId="3" fillId="2" borderId="28" xfId="88" applyFont="1" applyFill="1" applyBorder="1" applyAlignment="1">
      <alignment horizontal="center" vertical="center" wrapText="1"/>
      <protection/>
    </xf>
    <xf numFmtId="0" fontId="3" fillId="2" borderId="29" xfId="88" applyFont="1" applyFill="1" applyBorder="1" applyAlignment="1">
      <alignment horizontal="center" vertical="center" wrapText="1"/>
      <protection/>
    </xf>
    <xf numFmtId="0" fontId="3" fillId="2" borderId="23" xfId="88" applyFont="1" applyFill="1" applyBorder="1" applyAlignment="1">
      <alignment horizontal="center" vertical="center" wrapText="1"/>
      <protection/>
    </xf>
    <xf numFmtId="0" fontId="3" fillId="2" borderId="24" xfId="88" applyFont="1" applyFill="1" applyBorder="1" applyAlignment="1">
      <alignment horizontal="center" vertical="center" wrapText="1"/>
      <protection/>
    </xf>
    <xf numFmtId="0" fontId="3" fillId="2" borderId="25" xfId="88" applyFont="1" applyFill="1" applyBorder="1" applyAlignment="1">
      <alignment horizontal="center" vertical="center" wrapText="1"/>
      <protection/>
    </xf>
    <xf numFmtId="0" fontId="26" fillId="0" borderId="0" xfId="88" applyFont="1" applyFill="1" applyBorder="1" applyAlignment="1">
      <alignment horizontal="center" vertical="center" wrapText="1"/>
      <protection/>
    </xf>
    <xf numFmtId="3" fontId="7" fillId="0" borderId="23" xfId="88" applyNumberFormat="1" applyFont="1" applyBorder="1" applyAlignment="1">
      <alignment horizontal="right" vertical="center" wrapText="1"/>
      <protection/>
    </xf>
    <xf numFmtId="3" fontId="7" fillId="0" borderId="25" xfId="88" applyNumberFormat="1" applyFont="1" applyBorder="1" applyAlignment="1">
      <alignment horizontal="right" vertical="center" wrapText="1"/>
      <protection/>
    </xf>
    <xf numFmtId="4" fontId="7" fillId="0" borderId="23" xfId="88" applyNumberFormat="1" applyFont="1" applyBorder="1" applyAlignment="1">
      <alignment horizontal="right" vertical="center" wrapText="1"/>
      <protection/>
    </xf>
    <xf numFmtId="4" fontId="7" fillId="0" borderId="25" xfId="88" applyNumberFormat="1" applyFont="1" applyBorder="1" applyAlignment="1">
      <alignment horizontal="right" vertical="center" wrapText="1"/>
      <protection/>
    </xf>
    <xf numFmtId="0" fontId="3" fillId="0" borderId="23" xfId="88" applyFont="1" applyBorder="1" applyAlignment="1">
      <alignment horizontal="left" vertical="center" wrapText="1"/>
      <protection/>
    </xf>
    <xf numFmtId="0" fontId="3" fillId="0" borderId="24" xfId="88" applyFont="1" applyBorder="1" applyAlignment="1">
      <alignment horizontal="left" vertical="center" wrapText="1"/>
      <protection/>
    </xf>
    <xf numFmtId="0" fontId="3" fillId="0" borderId="25" xfId="88" applyFont="1" applyBorder="1" applyAlignment="1">
      <alignment horizontal="left" vertical="center" wrapText="1"/>
      <protection/>
    </xf>
    <xf numFmtId="0" fontId="3" fillId="0" borderId="23" xfId="88" applyFont="1" applyFill="1" applyBorder="1" applyAlignment="1">
      <alignment horizontal="left" vertical="center" wrapText="1"/>
      <protection/>
    </xf>
    <xf numFmtId="0" fontId="3" fillId="0" borderId="24" xfId="88" applyFont="1" applyFill="1" applyBorder="1" applyAlignment="1">
      <alignment horizontal="left" vertical="center" wrapText="1"/>
      <protection/>
    </xf>
    <xf numFmtId="0" fontId="3" fillId="0" borderId="25" xfId="88" applyFont="1" applyFill="1" applyBorder="1" applyAlignment="1">
      <alignment horizontal="left" vertical="center" wrapText="1"/>
      <protection/>
    </xf>
    <xf numFmtId="3" fontId="7" fillId="0" borderId="23" xfId="88" applyNumberFormat="1" applyFont="1" applyFill="1" applyBorder="1" applyAlignment="1">
      <alignment horizontal="right" vertical="center" wrapText="1"/>
      <protection/>
    </xf>
    <xf numFmtId="3" fontId="7" fillId="0" borderId="25" xfId="88" applyNumberFormat="1" applyFont="1" applyFill="1" applyBorder="1" applyAlignment="1">
      <alignment horizontal="right" vertical="center" wrapText="1"/>
      <protection/>
    </xf>
    <xf numFmtId="4" fontId="7" fillId="0" borderId="23" xfId="88" applyNumberFormat="1" applyFont="1" applyFill="1" applyBorder="1" applyAlignment="1">
      <alignment horizontal="right" vertical="center" wrapText="1"/>
      <protection/>
    </xf>
    <xf numFmtId="4" fontId="7" fillId="0" borderId="25" xfId="88" applyNumberFormat="1" applyFont="1" applyFill="1" applyBorder="1" applyAlignment="1">
      <alignment horizontal="right" vertical="center" wrapText="1"/>
      <protection/>
    </xf>
    <xf numFmtId="0" fontId="8" fillId="2" borderId="30" xfId="88" applyFont="1" applyFill="1" applyBorder="1" applyAlignment="1">
      <alignment horizontal="center" vertical="center" wrapText="1"/>
      <protection/>
    </xf>
    <xf numFmtId="0" fontId="8" fillId="2" borderId="31" xfId="88" applyFont="1" applyFill="1" applyBorder="1" applyAlignment="1">
      <alignment horizontal="center" vertical="center" wrapText="1"/>
      <protection/>
    </xf>
    <xf numFmtId="0" fontId="8" fillId="2" borderId="32" xfId="88" applyFont="1" applyFill="1" applyBorder="1" applyAlignment="1">
      <alignment horizontal="center" vertical="center" wrapText="1"/>
      <protection/>
    </xf>
    <xf numFmtId="0" fontId="8" fillId="2" borderId="28" xfId="88" applyFont="1" applyFill="1" applyBorder="1" applyAlignment="1">
      <alignment horizontal="center" vertical="center" wrapText="1"/>
      <protection/>
    </xf>
    <xf numFmtId="0" fontId="8" fillId="2" borderId="0" xfId="88" applyFont="1" applyFill="1" applyBorder="1" applyAlignment="1">
      <alignment horizontal="center" vertical="center" wrapText="1"/>
      <protection/>
    </xf>
    <xf numFmtId="0" fontId="8" fillId="2" borderId="33" xfId="88" applyFont="1" applyFill="1" applyBorder="1" applyAlignment="1">
      <alignment horizontal="center" vertical="center" wrapText="1"/>
      <protection/>
    </xf>
    <xf numFmtId="0" fontId="8" fillId="2" borderId="29" xfId="88" applyFont="1" applyFill="1" applyBorder="1" applyAlignment="1">
      <alignment horizontal="center" vertical="center" wrapText="1"/>
      <protection/>
    </xf>
    <xf numFmtId="0" fontId="8" fillId="2" borderId="34" xfId="88" applyFont="1" applyFill="1" applyBorder="1" applyAlignment="1">
      <alignment horizontal="center" vertical="center" wrapText="1"/>
      <protection/>
    </xf>
    <xf numFmtId="0" fontId="8" fillId="2" borderId="35" xfId="88" applyFont="1" applyFill="1" applyBorder="1" applyAlignment="1">
      <alignment horizontal="center" vertical="center" wrapText="1"/>
      <protection/>
    </xf>
    <xf numFmtId="0" fontId="3" fillId="2" borderId="19" xfId="88" applyNumberFormat="1" applyFont="1" applyFill="1" applyBorder="1" applyAlignment="1">
      <alignment horizontal="center" vertical="center" wrapText="1"/>
      <protection/>
    </xf>
    <xf numFmtId="0" fontId="3" fillId="2" borderId="30" xfId="88" applyFont="1" applyFill="1" applyBorder="1" applyAlignment="1">
      <alignment horizontal="center" vertical="center" wrapText="1"/>
      <protection/>
    </xf>
    <xf numFmtId="0" fontId="3" fillId="2" borderId="28" xfId="88" applyFont="1" applyFill="1" applyBorder="1" applyAlignment="1">
      <alignment horizontal="center" vertical="center" wrapText="1"/>
      <protection/>
    </xf>
    <xf numFmtId="0" fontId="3" fillId="2" borderId="29" xfId="88" applyFont="1" applyFill="1" applyBorder="1" applyAlignment="1">
      <alignment horizontal="center" vertical="center" wrapText="1"/>
      <protection/>
    </xf>
    <xf numFmtId="0" fontId="7" fillId="2" borderId="19" xfId="88" applyFont="1" applyFill="1" applyBorder="1" applyAlignment="1">
      <alignment horizontal="center" vertical="center" wrapText="1"/>
      <protection/>
    </xf>
    <xf numFmtId="0" fontId="5" fillId="2" borderId="19" xfId="88" applyNumberFormat="1" applyFont="1" applyFill="1" applyBorder="1" applyAlignment="1">
      <alignment horizontal="center" vertical="center" wrapText="1"/>
      <protection/>
    </xf>
    <xf numFmtId="0" fontId="7" fillId="2" borderId="23" xfId="88" applyFont="1" applyFill="1" applyBorder="1" applyAlignment="1">
      <alignment horizontal="center" vertical="center" wrapText="1"/>
      <protection/>
    </xf>
    <xf numFmtId="0" fontId="7" fillId="2" borderId="24" xfId="88" applyFont="1" applyFill="1" applyBorder="1" applyAlignment="1">
      <alignment horizontal="center" vertical="center" wrapText="1"/>
      <protection/>
    </xf>
    <xf numFmtId="0" fontId="7" fillId="2" borderId="25" xfId="88" applyFont="1" applyFill="1" applyBorder="1" applyAlignment="1">
      <alignment horizontal="center" vertical="center" wrapText="1"/>
      <protection/>
    </xf>
    <xf numFmtId="0" fontId="7" fillId="2" borderId="26" xfId="88" applyFont="1" applyFill="1" applyBorder="1" applyAlignment="1">
      <alignment horizontal="center" vertical="center" wrapText="1"/>
      <protection/>
    </xf>
    <xf numFmtId="0" fontId="7" fillId="2" borderId="27" xfId="88" applyFont="1" applyFill="1" applyBorder="1" applyAlignment="1">
      <alignment horizontal="center" vertical="center" wrapText="1"/>
      <protection/>
    </xf>
    <xf numFmtId="0" fontId="7" fillId="2" borderId="20" xfId="88" applyFont="1" applyFill="1" applyBorder="1" applyAlignment="1">
      <alignment horizontal="center" vertical="center" wrapText="1"/>
      <protection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akcent 1" xfId="21"/>
    <cellStyle name="20% — akcent 2" xfId="22"/>
    <cellStyle name="20% — akcent 3" xfId="23"/>
    <cellStyle name="20% — akcent 4" xfId="24"/>
    <cellStyle name="20% — akcent 5" xfId="25"/>
    <cellStyle name="20% — akcent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akcent 1" xfId="33"/>
    <cellStyle name="40% — akcent 2" xfId="34"/>
    <cellStyle name="40% — akcent 3" xfId="35"/>
    <cellStyle name="40% — akcent 4" xfId="36"/>
    <cellStyle name="40% — akcent 5" xfId="37"/>
    <cellStyle name="40% — akcent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akcent 1" xfId="45"/>
    <cellStyle name="60% — akcent 2" xfId="46"/>
    <cellStyle name="60% — akcent 3" xfId="47"/>
    <cellStyle name="60% — akcent 4" xfId="48"/>
    <cellStyle name="60% — akcent 5" xfId="49"/>
    <cellStyle name="60% — akcent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cent 1" xfId="57"/>
    <cellStyle name="Akcent 2" xfId="58"/>
    <cellStyle name="Akcent 3" xfId="59"/>
    <cellStyle name="Akcent 4" xfId="60"/>
    <cellStyle name="Akcent 5" xfId="61"/>
    <cellStyle name="Akcent 6" xfId="62"/>
    <cellStyle name="Bad" xfId="63"/>
    <cellStyle name="Calculation" xfId="64"/>
    <cellStyle name="Check Cell" xfId="65"/>
    <cellStyle name="Dane wejściowe" xfId="66"/>
    <cellStyle name="Dane wyjściowe" xfId="67"/>
    <cellStyle name="Dobry" xfId="68"/>
    <cellStyle name="Comma" xfId="69"/>
    <cellStyle name="Comma [0]" xfId="70"/>
    <cellStyle name="Explanatory Text" xfId="71"/>
    <cellStyle name="Good" xfId="72"/>
    <cellStyle name="Heading 1" xfId="73"/>
    <cellStyle name="Heading 2" xfId="74"/>
    <cellStyle name="Heading 3" xfId="75"/>
    <cellStyle name="Heading 4" xfId="76"/>
    <cellStyle name="Hyperlink" xfId="77"/>
    <cellStyle name="Input" xfId="78"/>
    <cellStyle name="Komórka połączona" xfId="79"/>
    <cellStyle name="Komórka zaznaczona" xfId="80"/>
    <cellStyle name="Linked Cell" xfId="81"/>
    <cellStyle name="Nagłówek 1" xfId="82"/>
    <cellStyle name="Nagłówek 2" xfId="83"/>
    <cellStyle name="Nagłówek 3" xfId="84"/>
    <cellStyle name="Nagłówek 4" xfId="85"/>
    <cellStyle name="Neutral" xfId="86"/>
    <cellStyle name="Neutralny" xfId="87"/>
    <cellStyle name="Normalny_Zeszyt1" xfId="88"/>
    <cellStyle name="Note" xfId="89"/>
    <cellStyle name="Obliczenia" xfId="90"/>
    <cellStyle name="Followed Hyperlink" xfId="91"/>
    <cellStyle name="Output" xfId="92"/>
    <cellStyle name="Percent" xfId="93"/>
    <cellStyle name="Suma" xfId="94"/>
    <cellStyle name="Tekst objaśnienia" xfId="95"/>
    <cellStyle name="Tekst ostrzeżenia" xfId="96"/>
    <cellStyle name="Title" xfId="97"/>
    <cellStyle name="Total" xfId="98"/>
    <cellStyle name="Tytuł" xfId="99"/>
    <cellStyle name="Uwaga" xfId="100"/>
    <cellStyle name="Currency" xfId="101"/>
    <cellStyle name="Currency [0]" xfId="102"/>
    <cellStyle name="Warning Text" xfId="103"/>
    <cellStyle name="Zły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5F5F5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CDCD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Q102"/>
  <sheetViews>
    <sheetView tabSelected="1" zoomScaleSheetLayoutView="50" workbookViewId="0" topLeftCell="A1">
      <selection activeCell="A13" sqref="A13"/>
    </sheetView>
  </sheetViews>
  <sheetFormatPr defaultColWidth="9.00390625" defaultRowHeight="13.5" customHeight="1"/>
  <cols>
    <col min="1" max="1" width="22.625" style="2" customWidth="1"/>
    <col min="2" max="3" width="14.75390625" style="2" customWidth="1"/>
    <col min="4" max="4" width="13.25390625" style="2" customWidth="1"/>
    <col min="5" max="5" width="12.25390625" style="2" customWidth="1"/>
    <col min="6" max="7" width="11.25390625" style="2" bestFit="1" customWidth="1"/>
    <col min="8" max="8" width="9.375" style="2" bestFit="1" customWidth="1"/>
    <col min="9" max="9" width="13.875" style="2" bestFit="1" customWidth="1"/>
    <col min="10" max="10" width="12.00390625" style="2" bestFit="1" customWidth="1"/>
    <col min="11" max="11" width="10.125" style="2" bestFit="1" customWidth="1"/>
    <col min="12" max="12" width="13.25390625" style="2" customWidth="1"/>
    <col min="13" max="13" width="11.25390625" style="2" bestFit="1" customWidth="1"/>
    <col min="14" max="14" width="10.875" style="2" bestFit="1" customWidth="1"/>
    <col min="15" max="16" width="9.375" style="2" bestFit="1" customWidth="1"/>
    <col min="17" max="17" width="8.75390625" style="2" bestFit="1" customWidth="1"/>
    <col min="18" max="16384" width="9.125" style="2" customWidth="1"/>
  </cols>
  <sheetData>
    <row r="1" spans="1:13" ht="75" customHeight="1">
      <c r="A1" s="50" t="s">
        <v>78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</row>
    <row r="2" spans="1:13" ht="13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3.5" customHeight="1">
      <c r="A3" s="54" t="s">
        <v>62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</row>
    <row r="5" spans="2:17" ht="13.5" customHeight="1">
      <c r="B5" s="9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8"/>
      <c r="O5" s="8"/>
      <c r="P5" s="8"/>
      <c r="Q5" s="8"/>
    </row>
    <row r="6" spans="1:17" ht="13.5" customHeight="1">
      <c r="A6" s="56" t="s">
        <v>0</v>
      </c>
      <c r="B6" s="55" t="s">
        <v>63</v>
      </c>
      <c r="C6" s="47" t="s">
        <v>67</v>
      </c>
      <c r="D6" s="48"/>
      <c r="E6" s="48"/>
      <c r="F6" s="48"/>
      <c r="G6" s="48"/>
      <c r="H6" s="48"/>
      <c r="I6" s="48"/>
      <c r="J6" s="48"/>
      <c r="K6" s="48"/>
      <c r="L6" s="48"/>
      <c r="M6" s="48"/>
      <c r="N6" s="49"/>
      <c r="O6" s="94" t="s">
        <v>66</v>
      </c>
      <c r="P6" s="95"/>
      <c r="Q6" s="96"/>
    </row>
    <row r="7" spans="1:17" ht="13.5" customHeight="1">
      <c r="A7" s="57"/>
      <c r="B7" s="42"/>
      <c r="C7" s="43" t="s">
        <v>64</v>
      </c>
      <c r="D7" s="43" t="s">
        <v>75</v>
      </c>
      <c r="E7" s="43" t="s">
        <v>68</v>
      </c>
      <c r="F7" s="43" t="s">
        <v>69</v>
      </c>
      <c r="G7" s="43" t="s">
        <v>24</v>
      </c>
      <c r="H7" s="43" t="s">
        <v>25</v>
      </c>
      <c r="I7" s="59" t="s">
        <v>65</v>
      </c>
      <c r="J7" s="43" t="s">
        <v>13</v>
      </c>
      <c r="K7" s="43" t="s">
        <v>14</v>
      </c>
      <c r="L7" s="43" t="s">
        <v>15</v>
      </c>
      <c r="M7" s="43" t="s">
        <v>16</v>
      </c>
      <c r="N7" s="42" t="s">
        <v>17</v>
      </c>
      <c r="O7" s="46" t="s">
        <v>18</v>
      </c>
      <c r="P7" s="46" t="s">
        <v>19</v>
      </c>
      <c r="Q7" s="46" t="s">
        <v>20</v>
      </c>
    </row>
    <row r="8" spans="1:17" ht="13.5" customHeight="1">
      <c r="A8" s="57"/>
      <c r="B8" s="42"/>
      <c r="C8" s="44"/>
      <c r="D8" s="44"/>
      <c r="E8" s="44"/>
      <c r="F8" s="44"/>
      <c r="G8" s="44"/>
      <c r="H8" s="44"/>
      <c r="I8" s="59"/>
      <c r="J8" s="44"/>
      <c r="K8" s="44"/>
      <c r="L8" s="44"/>
      <c r="M8" s="44"/>
      <c r="N8" s="42"/>
      <c r="O8" s="46"/>
      <c r="P8" s="46"/>
      <c r="Q8" s="46"/>
    </row>
    <row r="9" spans="1:17" ht="11.25" customHeight="1">
      <c r="A9" s="57"/>
      <c r="B9" s="42"/>
      <c r="C9" s="44"/>
      <c r="D9" s="44"/>
      <c r="E9" s="44"/>
      <c r="F9" s="44"/>
      <c r="G9" s="44"/>
      <c r="H9" s="44"/>
      <c r="I9" s="59"/>
      <c r="J9" s="44"/>
      <c r="K9" s="44"/>
      <c r="L9" s="44"/>
      <c r="M9" s="44"/>
      <c r="N9" s="42"/>
      <c r="O9" s="46"/>
      <c r="P9" s="46"/>
      <c r="Q9" s="46"/>
    </row>
    <row r="10" spans="1:17" ht="16.5" customHeight="1">
      <c r="A10" s="58"/>
      <c r="B10" s="43"/>
      <c r="C10" s="44"/>
      <c r="D10" s="44"/>
      <c r="E10" s="44"/>
      <c r="F10" s="44"/>
      <c r="G10" s="44"/>
      <c r="H10" s="44"/>
      <c r="I10" s="60"/>
      <c r="J10" s="44"/>
      <c r="K10" s="44"/>
      <c r="L10" s="44"/>
      <c r="M10" s="44"/>
      <c r="N10" s="43"/>
      <c r="O10" s="46"/>
      <c r="P10" s="46"/>
      <c r="Q10" s="46"/>
    </row>
    <row r="11" spans="1:17" ht="16.5" customHeight="1">
      <c r="A11" s="11">
        <v>1</v>
      </c>
      <c r="B11" s="11">
        <v>2</v>
      </c>
      <c r="C11" s="11">
        <v>3</v>
      </c>
      <c r="D11" s="11">
        <v>4</v>
      </c>
      <c r="E11" s="11">
        <v>5</v>
      </c>
      <c r="F11" s="11">
        <v>6</v>
      </c>
      <c r="G11" s="11">
        <v>7</v>
      </c>
      <c r="H11" s="11">
        <v>8</v>
      </c>
      <c r="I11" s="11">
        <v>9</v>
      </c>
      <c r="J11" s="11">
        <v>10</v>
      </c>
      <c r="K11" s="11">
        <v>11</v>
      </c>
      <c r="L11" s="11">
        <v>12</v>
      </c>
      <c r="M11" s="11">
        <v>13</v>
      </c>
      <c r="N11" s="11">
        <v>14</v>
      </c>
      <c r="O11" s="11">
        <v>15</v>
      </c>
      <c r="P11" s="11">
        <v>16</v>
      </c>
      <c r="Q11" s="11">
        <v>17</v>
      </c>
    </row>
    <row r="12" spans="1:17" ht="13.5" customHeight="1">
      <c r="A12" s="11"/>
      <c r="B12" s="35" t="s">
        <v>77</v>
      </c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7"/>
      <c r="P12" s="37"/>
      <c r="Q12" s="38"/>
    </row>
    <row r="13" spans="1:17" ht="48">
      <c r="A13" s="26" t="s">
        <v>44</v>
      </c>
      <c r="B13" s="27">
        <f>25423764326.59</f>
        <v>25423764326.59</v>
      </c>
      <c r="C13" s="27">
        <f>25422883038.97</f>
        <v>25422883038.97</v>
      </c>
      <c r="D13" s="27">
        <f>2421629870.47</f>
        <v>2421629870.47</v>
      </c>
      <c r="E13" s="27">
        <f>339449656.52</f>
        <v>339449656.52</v>
      </c>
      <c r="F13" s="27">
        <f>255407204.16</f>
        <v>255407204.16</v>
      </c>
      <c r="G13" s="27">
        <f>1820550076.72</f>
        <v>1820550076.72</v>
      </c>
      <c r="H13" s="27">
        <f>6222933.07</f>
        <v>6222933.07</v>
      </c>
      <c r="I13" s="27">
        <f>0</f>
        <v>0</v>
      </c>
      <c r="J13" s="27">
        <f>22403850378.46</f>
        <v>22403850378.46</v>
      </c>
      <c r="K13" s="27">
        <f>462436955.78</f>
        <v>462436955.78</v>
      </c>
      <c r="L13" s="27">
        <f>94328847.91</f>
        <v>94328847.91</v>
      </c>
      <c r="M13" s="27">
        <f>22749351.75</f>
        <v>22749351.75</v>
      </c>
      <c r="N13" s="27">
        <f>17887634.6</f>
        <v>17887634.6</v>
      </c>
      <c r="O13" s="27">
        <f>881287.62</f>
        <v>881287.62</v>
      </c>
      <c r="P13" s="27">
        <f>881287.62</f>
        <v>881287.62</v>
      </c>
      <c r="Q13" s="27">
        <f>0</f>
        <v>0</v>
      </c>
    </row>
    <row r="14" spans="1:17" ht="26.25" customHeight="1">
      <c r="A14" s="28" t="s">
        <v>45</v>
      </c>
      <c r="B14" s="27">
        <f>292597757.99</f>
        <v>292597757.99</v>
      </c>
      <c r="C14" s="27">
        <f>292597757.99</f>
        <v>292597757.99</v>
      </c>
      <c r="D14" s="27">
        <f>6425775.43</f>
        <v>6425775.43</v>
      </c>
      <c r="E14" s="27">
        <f>1809160.67</f>
        <v>1809160.67</v>
      </c>
      <c r="F14" s="27">
        <f>0</f>
        <v>0</v>
      </c>
      <c r="G14" s="27">
        <f>4616614.76</f>
        <v>4616614.76</v>
      </c>
      <c r="H14" s="27">
        <f>0</f>
        <v>0</v>
      </c>
      <c r="I14" s="27">
        <f>0</f>
        <v>0</v>
      </c>
      <c r="J14" s="27">
        <f>253524938.08</f>
        <v>253524938.08</v>
      </c>
      <c r="K14" s="27">
        <f>32182000</f>
        <v>32182000</v>
      </c>
      <c r="L14" s="27">
        <f>465044.48</f>
        <v>465044.48</v>
      </c>
      <c r="M14" s="27">
        <f>0</f>
        <v>0</v>
      </c>
      <c r="N14" s="27">
        <f>0</f>
        <v>0</v>
      </c>
      <c r="O14" s="27">
        <f>0</f>
        <v>0</v>
      </c>
      <c r="P14" s="27">
        <f>0</f>
        <v>0</v>
      </c>
      <c r="Q14" s="27">
        <f>0</f>
        <v>0</v>
      </c>
    </row>
    <row r="15" spans="1:17" ht="27" customHeight="1">
      <c r="A15" s="18" t="s">
        <v>46</v>
      </c>
      <c r="B15" s="32">
        <f>139902.14</f>
        <v>139902.14</v>
      </c>
      <c r="C15" s="32">
        <f>139902.14</f>
        <v>139902.14</v>
      </c>
      <c r="D15" s="32">
        <f>0</f>
        <v>0</v>
      </c>
      <c r="E15" s="32">
        <f>0</f>
        <v>0</v>
      </c>
      <c r="F15" s="32">
        <f>0</f>
        <v>0</v>
      </c>
      <c r="G15" s="32">
        <f>0</f>
        <v>0</v>
      </c>
      <c r="H15" s="32">
        <f>0</f>
        <v>0</v>
      </c>
      <c r="I15" s="32">
        <f>0</f>
        <v>0</v>
      </c>
      <c r="J15" s="32">
        <f>139902.14</f>
        <v>139902.14</v>
      </c>
      <c r="K15" s="32">
        <f>0</f>
        <v>0</v>
      </c>
      <c r="L15" s="32">
        <f>0</f>
        <v>0</v>
      </c>
      <c r="M15" s="32">
        <f>0</f>
        <v>0</v>
      </c>
      <c r="N15" s="32">
        <f>0</f>
        <v>0</v>
      </c>
      <c r="O15" s="32">
        <f>0</f>
        <v>0</v>
      </c>
      <c r="P15" s="32">
        <f>0</f>
        <v>0</v>
      </c>
      <c r="Q15" s="32">
        <f>0</f>
        <v>0</v>
      </c>
    </row>
    <row r="16" spans="1:17" ht="24" customHeight="1">
      <c r="A16" s="18" t="s">
        <v>47</v>
      </c>
      <c r="B16" s="32">
        <f>292457855.85</f>
        <v>292457855.85</v>
      </c>
      <c r="C16" s="32">
        <f>292457855.85</f>
        <v>292457855.85</v>
      </c>
      <c r="D16" s="32">
        <f>6425775.43</f>
        <v>6425775.43</v>
      </c>
      <c r="E16" s="32">
        <f>1809160.67</f>
        <v>1809160.67</v>
      </c>
      <c r="F16" s="32">
        <f>0</f>
        <v>0</v>
      </c>
      <c r="G16" s="32">
        <f>4616614.76</f>
        <v>4616614.76</v>
      </c>
      <c r="H16" s="32">
        <f>0</f>
        <v>0</v>
      </c>
      <c r="I16" s="32">
        <f>0</f>
        <v>0</v>
      </c>
      <c r="J16" s="32">
        <f>253385035.94</f>
        <v>253385035.94</v>
      </c>
      <c r="K16" s="32">
        <f>32182000</f>
        <v>32182000</v>
      </c>
      <c r="L16" s="32">
        <f>465044.48</f>
        <v>465044.48</v>
      </c>
      <c r="M16" s="32">
        <f>0</f>
        <v>0</v>
      </c>
      <c r="N16" s="32">
        <f>0</f>
        <v>0</v>
      </c>
      <c r="O16" s="32">
        <f>0</f>
        <v>0</v>
      </c>
      <c r="P16" s="32">
        <f>0</f>
        <v>0</v>
      </c>
      <c r="Q16" s="32">
        <f>0</f>
        <v>0</v>
      </c>
    </row>
    <row r="17" spans="1:17" ht="31.5" customHeight="1">
      <c r="A17" s="29" t="s">
        <v>48</v>
      </c>
      <c r="B17" s="27">
        <f>25061168118.02</f>
        <v>25061168118.02</v>
      </c>
      <c r="C17" s="27">
        <f>25060286830.4</f>
        <v>25060286830.4</v>
      </c>
      <c r="D17" s="27">
        <f>2398121972.31</f>
        <v>2398121972.31</v>
      </c>
      <c r="E17" s="27">
        <f>334178602.89</f>
        <v>334178602.89</v>
      </c>
      <c r="F17" s="27">
        <f>251615656.13</f>
        <v>251615656.13</v>
      </c>
      <c r="G17" s="27">
        <f>1808970197.24</f>
        <v>1808970197.24</v>
      </c>
      <c r="H17" s="27">
        <f>3357516.05</f>
        <v>3357516.05</v>
      </c>
      <c r="I17" s="27">
        <f>0</f>
        <v>0</v>
      </c>
      <c r="J17" s="27">
        <f>22149911188.44</f>
        <v>22149911188.44</v>
      </c>
      <c r="K17" s="27">
        <f>420321552.11</f>
        <v>420321552.11</v>
      </c>
      <c r="L17" s="27">
        <f>70994268.35</f>
        <v>70994268.35</v>
      </c>
      <c r="M17" s="27">
        <f>7853663.55</f>
        <v>7853663.55</v>
      </c>
      <c r="N17" s="27">
        <f>13084185.64</f>
        <v>13084185.64</v>
      </c>
      <c r="O17" s="27">
        <f>881287.62</f>
        <v>881287.62</v>
      </c>
      <c r="P17" s="27">
        <f>881287.62</f>
        <v>881287.62</v>
      </c>
      <c r="Q17" s="27">
        <f>0</f>
        <v>0</v>
      </c>
    </row>
    <row r="18" spans="1:17" ht="33" customHeight="1">
      <c r="A18" s="19" t="s">
        <v>49</v>
      </c>
      <c r="B18" s="32">
        <f>486458611.76</f>
        <v>486458611.76</v>
      </c>
      <c r="C18" s="32">
        <f>486458611.76</f>
        <v>486458611.76</v>
      </c>
      <c r="D18" s="32">
        <f>99108563.42</f>
        <v>99108563.42</v>
      </c>
      <c r="E18" s="32">
        <f>67976585.15</f>
        <v>67976585.15</v>
      </c>
      <c r="F18" s="32">
        <f>2571076</f>
        <v>2571076</v>
      </c>
      <c r="G18" s="32">
        <f>28414265.8</f>
        <v>28414265.8</v>
      </c>
      <c r="H18" s="32">
        <f>146636.47</f>
        <v>146636.47</v>
      </c>
      <c r="I18" s="32">
        <f>0</f>
        <v>0</v>
      </c>
      <c r="J18" s="32">
        <f>375653198.31</f>
        <v>375653198.31</v>
      </c>
      <c r="K18" s="32">
        <f>8960591.21</f>
        <v>8960591.21</v>
      </c>
      <c r="L18" s="32">
        <f>2020850.07</f>
        <v>2020850.07</v>
      </c>
      <c r="M18" s="32">
        <f>567341.52</f>
        <v>567341.52</v>
      </c>
      <c r="N18" s="32">
        <f>148067.23</f>
        <v>148067.23</v>
      </c>
      <c r="O18" s="32">
        <f>0</f>
        <v>0</v>
      </c>
      <c r="P18" s="32">
        <f>0</f>
        <v>0</v>
      </c>
      <c r="Q18" s="32">
        <f>0</f>
        <v>0</v>
      </c>
    </row>
    <row r="19" spans="1:17" ht="25.5" customHeight="1">
      <c r="A19" s="20" t="s">
        <v>50</v>
      </c>
      <c r="B19" s="32">
        <f>24574709506.26</f>
        <v>24574709506.26</v>
      </c>
      <c r="C19" s="32">
        <f>24573828218.64</f>
        <v>24573828218.64</v>
      </c>
      <c r="D19" s="32">
        <f>2299013408.89</f>
        <v>2299013408.89</v>
      </c>
      <c r="E19" s="32">
        <f>266202017.74</f>
        <v>266202017.74</v>
      </c>
      <c r="F19" s="32">
        <f>249044580.13</f>
        <v>249044580.13</v>
      </c>
      <c r="G19" s="32">
        <f>1780555931.44</f>
        <v>1780555931.44</v>
      </c>
      <c r="H19" s="32">
        <f>3210879.58</f>
        <v>3210879.58</v>
      </c>
      <c r="I19" s="32">
        <f>0</f>
        <v>0</v>
      </c>
      <c r="J19" s="32">
        <f>21774257990.13</f>
        <v>21774257990.13</v>
      </c>
      <c r="K19" s="32">
        <f>411360960.9</f>
        <v>411360960.9</v>
      </c>
      <c r="L19" s="32">
        <f>68973418.28</f>
        <v>68973418.28</v>
      </c>
      <c r="M19" s="32">
        <f>7286322.03</f>
        <v>7286322.03</v>
      </c>
      <c r="N19" s="32">
        <f>12936118.41</f>
        <v>12936118.41</v>
      </c>
      <c r="O19" s="32">
        <f>881287.62</f>
        <v>881287.62</v>
      </c>
      <c r="P19" s="32">
        <f>881287.62</f>
        <v>881287.62</v>
      </c>
      <c r="Q19" s="32">
        <f>0</f>
        <v>0</v>
      </c>
    </row>
    <row r="20" spans="1:17" ht="27.75" customHeight="1">
      <c r="A20" s="30" t="s">
        <v>51</v>
      </c>
      <c r="B20" s="27">
        <f>0</f>
        <v>0</v>
      </c>
      <c r="C20" s="27">
        <f>0</f>
        <v>0</v>
      </c>
      <c r="D20" s="27">
        <f>0</f>
        <v>0</v>
      </c>
      <c r="E20" s="27">
        <f>0</f>
        <v>0</v>
      </c>
      <c r="F20" s="27">
        <f>0</f>
        <v>0</v>
      </c>
      <c r="G20" s="27">
        <f>0</f>
        <v>0</v>
      </c>
      <c r="H20" s="27">
        <f>0</f>
        <v>0</v>
      </c>
      <c r="I20" s="27">
        <f>0</f>
        <v>0</v>
      </c>
      <c r="J20" s="27">
        <f>0</f>
        <v>0</v>
      </c>
      <c r="K20" s="27">
        <f>0</f>
        <v>0</v>
      </c>
      <c r="L20" s="27">
        <f>0</f>
        <v>0</v>
      </c>
      <c r="M20" s="27">
        <f>0</f>
        <v>0</v>
      </c>
      <c r="N20" s="27">
        <f>0</f>
        <v>0</v>
      </c>
      <c r="O20" s="27">
        <f>0</f>
        <v>0</v>
      </c>
      <c r="P20" s="27">
        <f>0</f>
        <v>0</v>
      </c>
      <c r="Q20" s="27">
        <f>0</f>
        <v>0</v>
      </c>
    </row>
    <row r="21" spans="1:17" ht="36">
      <c r="A21" s="31" t="s">
        <v>52</v>
      </c>
      <c r="B21" s="27">
        <f>69998450.58</f>
        <v>69998450.58</v>
      </c>
      <c r="C21" s="27">
        <f>69998450.58</f>
        <v>69998450.58</v>
      </c>
      <c r="D21" s="27">
        <f>17082122.73</f>
        <v>17082122.73</v>
      </c>
      <c r="E21" s="27">
        <f>3461892.96</f>
        <v>3461892.96</v>
      </c>
      <c r="F21" s="27">
        <f>3791548.03</f>
        <v>3791548.03</v>
      </c>
      <c r="G21" s="27">
        <f>6963264.72</f>
        <v>6963264.72</v>
      </c>
      <c r="H21" s="27">
        <f>2865417.02</f>
        <v>2865417.02</v>
      </c>
      <c r="I21" s="27">
        <f>0</f>
        <v>0</v>
      </c>
      <c r="J21" s="27">
        <f>414251.94</f>
        <v>414251.94</v>
      </c>
      <c r="K21" s="27">
        <f>9933403.67</f>
        <v>9933403.67</v>
      </c>
      <c r="L21" s="27">
        <f>22869535.08</f>
        <v>22869535.08</v>
      </c>
      <c r="M21" s="27">
        <f>14895688.2</f>
        <v>14895688.2</v>
      </c>
      <c r="N21" s="27">
        <f>4803448.96</f>
        <v>4803448.96</v>
      </c>
      <c r="O21" s="27">
        <f>0</f>
        <v>0</v>
      </c>
      <c r="P21" s="27">
        <f>0</f>
        <v>0</v>
      </c>
      <c r="Q21" s="27">
        <f>0</f>
        <v>0</v>
      </c>
    </row>
    <row r="22" spans="1:17" ht="27" customHeight="1">
      <c r="A22" s="18" t="s">
        <v>53</v>
      </c>
      <c r="B22" s="32">
        <f>36990353.47</f>
        <v>36990353.47</v>
      </c>
      <c r="C22" s="32">
        <f>36990353.47</f>
        <v>36990353.47</v>
      </c>
      <c r="D22" s="32">
        <f>2180121.35</f>
        <v>2180121.35</v>
      </c>
      <c r="E22" s="32">
        <f>14858</f>
        <v>14858</v>
      </c>
      <c r="F22" s="32">
        <f>328201.57</f>
        <v>328201.57</v>
      </c>
      <c r="G22" s="32">
        <f>1837061.78</f>
        <v>1837061.78</v>
      </c>
      <c r="H22" s="32">
        <f>0</f>
        <v>0</v>
      </c>
      <c r="I22" s="32">
        <f>0</f>
        <v>0</v>
      </c>
      <c r="J22" s="32">
        <f>0</f>
        <v>0</v>
      </c>
      <c r="K22" s="32">
        <f>2088</f>
        <v>2088</v>
      </c>
      <c r="L22" s="32">
        <f>21750150.18</f>
        <v>21750150.18</v>
      </c>
      <c r="M22" s="32">
        <f>8557297.51</f>
        <v>8557297.51</v>
      </c>
      <c r="N22" s="32">
        <f>4500696.43</f>
        <v>4500696.43</v>
      </c>
      <c r="O22" s="32">
        <f>0</f>
        <v>0</v>
      </c>
      <c r="P22" s="32">
        <f>0</f>
        <v>0</v>
      </c>
      <c r="Q22" s="32">
        <f>0</f>
        <v>0</v>
      </c>
    </row>
    <row r="23" spans="1:17" ht="31.5" customHeight="1">
      <c r="A23" s="24" t="s">
        <v>54</v>
      </c>
      <c r="B23" s="32">
        <f>33008097.11</f>
        <v>33008097.11</v>
      </c>
      <c r="C23" s="32">
        <f>33008097.11</f>
        <v>33008097.11</v>
      </c>
      <c r="D23" s="32">
        <f>14902001.38</f>
        <v>14902001.38</v>
      </c>
      <c r="E23" s="32">
        <f>3447034.96</f>
        <v>3447034.96</v>
      </c>
      <c r="F23" s="32">
        <f>3463346.46</f>
        <v>3463346.46</v>
      </c>
      <c r="G23" s="32">
        <f>5126202.94</f>
        <v>5126202.94</v>
      </c>
      <c r="H23" s="32">
        <f>2865417.02</f>
        <v>2865417.02</v>
      </c>
      <c r="I23" s="32">
        <f>0</f>
        <v>0</v>
      </c>
      <c r="J23" s="32">
        <f>414251.94</f>
        <v>414251.94</v>
      </c>
      <c r="K23" s="32">
        <f>9931315.67</f>
        <v>9931315.67</v>
      </c>
      <c r="L23" s="32">
        <f>1119384.9</f>
        <v>1119384.9</v>
      </c>
      <c r="M23" s="32">
        <f>6338390.69</f>
        <v>6338390.69</v>
      </c>
      <c r="N23" s="32">
        <f>302752.53</f>
        <v>302752.53</v>
      </c>
      <c r="O23" s="32">
        <f>0</f>
        <v>0</v>
      </c>
      <c r="P23" s="32">
        <f>0</f>
        <v>0</v>
      </c>
      <c r="Q23" s="32">
        <f>0</f>
        <v>0</v>
      </c>
    </row>
    <row r="24" spans="1:17" ht="19.5" customHeight="1">
      <c r="A24" s="15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</row>
    <row r="25" spans="1:17" ht="19.5" customHeight="1">
      <c r="A25" s="15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</row>
    <row r="26" spans="1:17" ht="19.5" customHeight="1">
      <c r="A26" s="15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</row>
    <row r="27" spans="1:17" ht="19.5" customHeight="1">
      <c r="A27" s="15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</row>
    <row r="28" spans="1:17" ht="19.5" customHeight="1">
      <c r="A28" s="15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</row>
    <row r="29" spans="1:17" ht="19.5" customHeight="1">
      <c r="A29" s="15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</row>
    <row r="30" spans="1:17" ht="19.5" customHeight="1">
      <c r="A30" s="15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</row>
    <row r="31" spans="1:17" ht="19.5" customHeight="1">
      <c r="A31" s="15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</row>
    <row r="32" spans="1:17" ht="19.5" customHeight="1">
      <c r="A32" s="15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</row>
    <row r="33" spans="1:17" ht="19.5" customHeight="1">
      <c r="A33" s="15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</row>
    <row r="34" spans="1:13" ht="45.75" customHeight="1">
      <c r="A34" s="50" t="s">
        <v>78</v>
      </c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</row>
    <row r="36" spans="1:13" ht="13.5" customHeight="1">
      <c r="A36" s="54" t="s">
        <v>8</v>
      </c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</row>
    <row r="38" spans="1:17" ht="13.5" customHeight="1">
      <c r="A38" s="39" t="s">
        <v>0</v>
      </c>
      <c r="B38" s="55" t="s">
        <v>9</v>
      </c>
      <c r="C38" s="47" t="s">
        <v>11</v>
      </c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9"/>
      <c r="O38" s="51" t="s">
        <v>21</v>
      </c>
      <c r="P38" s="52"/>
      <c r="Q38" s="53"/>
    </row>
    <row r="39" spans="1:17" ht="13.5" customHeight="1">
      <c r="A39" s="40"/>
      <c r="B39" s="42"/>
      <c r="C39" s="42" t="s">
        <v>10</v>
      </c>
      <c r="D39" s="44" t="s">
        <v>12</v>
      </c>
      <c r="E39" s="44" t="s">
        <v>22</v>
      </c>
      <c r="F39" s="44" t="s">
        <v>23</v>
      </c>
      <c r="G39" s="44" t="s">
        <v>72</v>
      </c>
      <c r="H39" s="44" t="s">
        <v>25</v>
      </c>
      <c r="I39" s="44" t="s">
        <v>1</v>
      </c>
      <c r="J39" s="44" t="s">
        <v>13</v>
      </c>
      <c r="K39" s="44" t="s">
        <v>14</v>
      </c>
      <c r="L39" s="44" t="s">
        <v>15</v>
      </c>
      <c r="M39" s="44" t="s">
        <v>16</v>
      </c>
      <c r="N39" s="88" t="s">
        <v>17</v>
      </c>
      <c r="O39" s="46" t="s">
        <v>18</v>
      </c>
      <c r="P39" s="46" t="s">
        <v>19</v>
      </c>
      <c r="Q39" s="97" t="s">
        <v>20</v>
      </c>
    </row>
    <row r="40" spans="1:17" ht="11.25" customHeight="1">
      <c r="A40" s="40"/>
      <c r="B40" s="42"/>
      <c r="C40" s="42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88"/>
      <c r="O40" s="46"/>
      <c r="P40" s="46"/>
      <c r="Q40" s="98"/>
    </row>
    <row r="41" spans="1:17" ht="32.25" customHeight="1">
      <c r="A41" s="41"/>
      <c r="B41" s="43"/>
      <c r="C41" s="43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88"/>
      <c r="O41" s="46"/>
      <c r="P41" s="46"/>
      <c r="Q41" s="99"/>
    </row>
    <row r="42" spans="1:17" ht="12.75" customHeight="1">
      <c r="A42" s="11">
        <v>1</v>
      </c>
      <c r="B42" s="11">
        <v>2</v>
      </c>
      <c r="C42" s="11">
        <v>3</v>
      </c>
      <c r="D42" s="11">
        <v>4</v>
      </c>
      <c r="E42" s="11">
        <v>5</v>
      </c>
      <c r="F42" s="11">
        <v>6</v>
      </c>
      <c r="G42" s="11">
        <v>7</v>
      </c>
      <c r="H42" s="11">
        <v>8</v>
      </c>
      <c r="I42" s="11">
        <v>9</v>
      </c>
      <c r="J42" s="11">
        <v>10</v>
      </c>
      <c r="K42" s="11">
        <v>11</v>
      </c>
      <c r="L42" s="11">
        <v>12</v>
      </c>
      <c r="M42" s="11">
        <v>13</v>
      </c>
      <c r="N42" s="11">
        <v>14</v>
      </c>
      <c r="O42" s="11"/>
      <c r="P42" s="11"/>
      <c r="Q42" s="17"/>
    </row>
    <row r="43" spans="1:17" ht="13.5" customHeight="1">
      <c r="A43" s="11"/>
      <c r="B43" s="47" t="s">
        <v>77</v>
      </c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9"/>
      <c r="O43" s="11">
        <v>15</v>
      </c>
      <c r="P43" s="11">
        <v>16</v>
      </c>
      <c r="Q43" s="11">
        <v>17</v>
      </c>
    </row>
    <row r="44" spans="1:17" ht="27.75" customHeight="1" hidden="1">
      <c r="A44" s="12" t="s">
        <v>26</v>
      </c>
      <c r="B44" s="13">
        <f>0</f>
        <v>0</v>
      </c>
      <c r="C44" s="13">
        <f>0</f>
        <v>0</v>
      </c>
      <c r="D44" s="13">
        <f>0</f>
        <v>0</v>
      </c>
      <c r="E44" s="13">
        <f>0</f>
        <v>0</v>
      </c>
      <c r="F44" s="13">
        <f>0</f>
        <v>0</v>
      </c>
      <c r="G44" s="13">
        <f>0</f>
        <v>0</v>
      </c>
      <c r="H44" s="13">
        <f>0</f>
        <v>0</v>
      </c>
      <c r="I44" s="13">
        <f>0</f>
        <v>0</v>
      </c>
      <c r="J44" s="13">
        <f>0</f>
        <v>0</v>
      </c>
      <c r="K44" s="13">
        <f>0</f>
        <v>0</v>
      </c>
      <c r="L44" s="13">
        <f>0</f>
        <v>0</v>
      </c>
      <c r="M44" s="13">
        <f>0</f>
        <v>0</v>
      </c>
      <c r="N44" s="13">
        <f>0</f>
        <v>0</v>
      </c>
      <c r="O44" s="13">
        <f>0</f>
        <v>0</v>
      </c>
      <c r="P44" s="13">
        <f>0</f>
        <v>0</v>
      </c>
      <c r="Q44" s="13">
        <f>0</f>
        <v>0</v>
      </c>
    </row>
    <row r="45" spans="1:17" ht="24.75" customHeight="1">
      <c r="A45" s="33" t="s">
        <v>39</v>
      </c>
      <c r="B45" s="34">
        <f>6721570.56</f>
        <v>6721570.56</v>
      </c>
      <c r="C45" s="34">
        <f>6721570.56</f>
        <v>6721570.56</v>
      </c>
      <c r="D45" s="34">
        <f>74202</f>
        <v>74202</v>
      </c>
      <c r="E45" s="34">
        <f>162</f>
        <v>162</v>
      </c>
      <c r="F45" s="34">
        <f>0</f>
        <v>0</v>
      </c>
      <c r="G45" s="34">
        <f>74040</f>
        <v>74040</v>
      </c>
      <c r="H45" s="34">
        <f>0</f>
        <v>0</v>
      </c>
      <c r="I45" s="34">
        <f>0</f>
        <v>0</v>
      </c>
      <c r="J45" s="34">
        <f>167613.2</f>
        <v>167613.2</v>
      </c>
      <c r="K45" s="34">
        <f>5024725</f>
        <v>5024725</v>
      </c>
      <c r="L45" s="34">
        <f>232050.93</f>
        <v>232050.93</v>
      </c>
      <c r="M45" s="34">
        <f>900465.93</f>
        <v>900465.93</v>
      </c>
      <c r="N45" s="34">
        <f>322513.5</f>
        <v>322513.5</v>
      </c>
      <c r="O45" s="34">
        <f>0</f>
        <v>0</v>
      </c>
      <c r="P45" s="34">
        <f>0</f>
        <v>0</v>
      </c>
      <c r="Q45" s="34">
        <f>0</f>
        <v>0</v>
      </c>
    </row>
    <row r="46" spans="1:17" ht="24.75" customHeight="1">
      <c r="A46" s="22" t="s">
        <v>27</v>
      </c>
      <c r="B46" s="25">
        <f>1068436.42</f>
        <v>1068436.42</v>
      </c>
      <c r="C46" s="25">
        <f>1068436.42</f>
        <v>1068436.42</v>
      </c>
      <c r="D46" s="25">
        <f>74202</f>
        <v>74202</v>
      </c>
      <c r="E46" s="25">
        <f>162</f>
        <v>162</v>
      </c>
      <c r="F46" s="25">
        <f>0</f>
        <v>0</v>
      </c>
      <c r="G46" s="25">
        <f>74040</f>
        <v>74040</v>
      </c>
      <c r="H46" s="25">
        <f>0</f>
        <v>0</v>
      </c>
      <c r="I46" s="25">
        <f>0</f>
        <v>0</v>
      </c>
      <c r="J46" s="25">
        <f>6447</f>
        <v>6447</v>
      </c>
      <c r="K46" s="25">
        <f>0</f>
        <v>0</v>
      </c>
      <c r="L46" s="25">
        <f>55650.93</f>
        <v>55650.93</v>
      </c>
      <c r="M46" s="25">
        <f>679622.99</f>
        <v>679622.99</v>
      </c>
      <c r="N46" s="25">
        <f>252513.5</f>
        <v>252513.5</v>
      </c>
      <c r="O46" s="14">
        <f>0</f>
        <v>0</v>
      </c>
      <c r="P46" s="14">
        <f>0</f>
        <v>0</v>
      </c>
      <c r="Q46" s="14">
        <f>0</f>
        <v>0</v>
      </c>
    </row>
    <row r="47" spans="1:17" ht="24.75" customHeight="1">
      <c r="A47" s="22" t="s">
        <v>28</v>
      </c>
      <c r="B47" s="25">
        <f>5653134.14</f>
        <v>5653134.14</v>
      </c>
      <c r="C47" s="25">
        <f>5653134.14</f>
        <v>5653134.14</v>
      </c>
      <c r="D47" s="25">
        <f>0</f>
        <v>0</v>
      </c>
      <c r="E47" s="25">
        <f>0</f>
        <v>0</v>
      </c>
      <c r="F47" s="25">
        <f>0</f>
        <v>0</v>
      </c>
      <c r="G47" s="25">
        <f>0</f>
        <v>0</v>
      </c>
      <c r="H47" s="25">
        <f>0</f>
        <v>0</v>
      </c>
      <c r="I47" s="25">
        <f>0</f>
        <v>0</v>
      </c>
      <c r="J47" s="25">
        <f>161166.2</f>
        <v>161166.2</v>
      </c>
      <c r="K47" s="25">
        <f>5024725</f>
        <v>5024725</v>
      </c>
      <c r="L47" s="25">
        <f>176400</f>
        <v>176400</v>
      </c>
      <c r="M47" s="25">
        <f>220842.94</f>
        <v>220842.94</v>
      </c>
      <c r="N47" s="25">
        <f>70000</f>
        <v>70000</v>
      </c>
      <c r="O47" s="14">
        <f>0</f>
        <v>0</v>
      </c>
      <c r="P47" s="14">
        <f>0</f>
        <v>0</v>
      </c>
      <c r="Q47" s="14">
        <f>0</f>
        <v>0</v>
      </c>
    </row>
    <row r="48" spans="1:17" ht="24.75" customHeight="1">
      <c r="A48" s="23" t="s">
        <v>40</v>
      </c>
      <c r="B48" s="25">
        <f>298618505.11</f>
        <v>298618505.11</v>
      </c>
      <c r="C48" s="25">
        <f>298505339.74</f>
        <v>298505339.74</v>
      </c>
      <c r="D48" s="25">
        <f>16034031.59</f>
        <v>16034031.59</v>
      </c>
      <c r="E48" s="25">
        <f>219505.45</f>
        <v>219505.45</v>
      </c>
      <c r="F48" s="25">
        <f>1429610.88</f>
        <v>1429610.88</v>
      </c>
      <c r="G48" s="25">
        <f>14168299.1</f>
        <v>14168299.1</v>
      </c>
      <c r="H48" s="25">
        <f>216616.16</f>
        <v>216616.16</v>
      </c>
      <c r="I48" s="25">
        <f>0</f>
        <v>0</v>
      </c>
      <c r="J48" s="25">
        <f>2871386.44</f>
        <v>2871386.44</v>
      </c>
      <c r="K48" s="25">
        <f>61750.5</f>
        <v>61750.5</v>
      </c>
      <c r="L48" s="25">
        <f>102033110.08</f>
        <v>102033110.08</v>
      </c>
      <c r="M48" s="25">
        <f>142687663.63</f>
        <v>142687663.63</v>
      </c>
      <c r="N48" s="25">
        <f>34817397.5</f>
        <v>34817397.5</v>
      </c>
      <c r="O48" s="14">
        <f>113165.37</f>
        <v>113165.37</v>
      </c>
      <c r="P48" s="14">
        <f>6962.76</f>
        <v>6962.76</v>
      </c>
      <c r="Q48" s="14">
        <f>106202.61</f>
        <v>106202.61</v>
      </c>
    </row>
    <row r="49" spans="1:17" ht="24.75" customHeight="1">
      <c r="A49" s="22" t="s">
        <v>29</v>
      </c>
      <c r="B49" s="25">
        <f>39474234.61</f>
        <v>39474234.61</v>
      </c>
      <c r="C49" s="25">
        <f>39370077.61</f>
        <v>39370077.61</v>
      </c>
      <c r="D49" s="25">
        <f>8623464.58</f>
        <v>8623464.58</v>
      </c>
      <c r="E49" s="25">
        <f>59104.65</f>
        <v>59104.65</v>
      </c>
      <c r="F49" s="25">
        <f>0</f>
        <v>0</v>
      </c>
      <c r="G49" s="25">
        <f>8564359.93</f>
        <v>8564359.93</v>
      </c>
      <c r="H49" s="25">
        <f>0</f>
        <v>0</v>
      </c>
      <c r="I49" s="25">
        <f>0</f>
        <v>0</v>
      </c>
      <c r="J49" s="25">
        <f>2192250.57</f>
        <v>2192250.57</v>
      </c>
      <c r="K49" s="25">
        <f>0</f>
        <v>0</v>
      </c>
      <c r="L49" s="25">
        <f>10147099.84</f>
        <v>10147099.84</v>
      </c>
      <c r="M49" s="25">
        <f>1809205.16</f>
        <v>1809205.16</v>
      </c>
      <c r="N49" s="25">
        <f>16598057.46</f>
        <v>16598057.46</v>
      </c>
      <c r="O49" s="14">
        <f>104157</f>
        <v>104157</v>
      </c>
      <c r="P49" s="14">
        <f>0</f>
        <v>0</v>
      </c>
      <c r="Q49" s="14">
        <f>104157</f>
        <v>104157</v>
      </c>
    </row>
    <row r="50" spans="1:17" ht="24.75" customHeight="1">
      <c r="A50" s="22" t="s">
        <v>30</v>
      </c>
      <c r="B50" s="25">
        <f>259144270.5</f>
        <v>259144270.5</v>
      </c>
      <c r="C50" s="25">
        <f>259135262.13</f>
        <v>259135262.13</v>
      </c>
      <c r="D50" s="25">
        <f>7410567.01</f>
        <v>7410567.01</v>
      </c>
      <c r="E50" s="25">
        <f>160400.8</f>
        <v>160400.8</v>
      </c>
      <c r="F50" s="25">
        <f>1429610.88</f>
        <v>1429610.88</v>
      </c>
      <c r="G50" s="25">
        <f>5603939.17</f>
        <v>5603939.17</v>
      </c>
      <c r="H50" s="25">
        <f>216616.16</f>
        <v>216616.16</v>
      </c>
      <c r="I50" s="25">
        <f>0</f>
        <v>0</v>
      </c>
      <c r="J50" s="25">
        <f>679135.87</f>
        <v>679135.87</v>
      </c>
      <c r="K50" s="25">
        <f>61750.5</f>
        <v>61750.5</v>
      </c>
      <c r="L50" s="25">
        <f>91886010.24</f>
        <v>91886010.24</v>
      </c>
      <c r="M50" s="25">
        <f>140878458.47</f>
        <v>140878458.47</v>
      </c>
      <c r="N50" s="25">
        <f>18219340.04</f>
        <v>18219340.04</v>
      </c>
      <c r="O50" s="14">
        <f>9008.37</f>
        <v>9008.37</v>
      </c>
      <c r="P50" s="14">
        <f>6962.76</f>
        <v>6962.76</v>
      </c>
      <c r="Q50" s="14">
        <f>2045.61</f>
        <v>2045.61</v>
      </c>
    </row>
    <row r="51" spans="1:17" ht="24.75" customHeight="1">
      <c r="A51" s="33" t="s">
        <v>41</v>
      </c>
      <c r="B51" s="34">
        <f>10427464994.41</f>
        <v>10427464994.41</v>
      </c>
      <c r="C51" s="34">
        <f>10427464994.41</f>
        <v>10427464994.41</v>
      </c>
      <c r="D51" s="34">
        <f>11697828.71</f>
        <v>11697828.71</v>
      </c>
      <c r="E51" s="34">
        <f>390121.52</f>
        <v>390121.52</v>
      </c>
      <c r="F51" s="34">
        <f>1325.58</f>
        <v>1325.58</v>
      </c>
      <c r="G51" s="34">
        <f>11306381.61</f>
        <v>11306381.61</v>
      </c>
      <c r="H51" s="34">
        <f>0</f>
        <v>0</v>
      </c>
      <c r="I51" s="34">
        <f>0</f>
        <v>0</v>
      </c>
      <c r="J51" s="34">
        <f>10413889276.5</f>
        <v>10413889276.5</v>
      </c>
      <c r="K51" s="34">
        <f>23672.89</f>
        <v>23672.89</v>
      </c>
      <c r="L51" s="34">
        <f>1840916.31</f>
        <v>1840916.31</v>
      </c>
      <c r="M51" s="34">
        <f>13300</f>
        <v>13300</v>
      </c>
      <c r="N51" s="34">
        <f>0</f>
        <v>0</v>
      </c>
      <c r="O51" s="34">
        <f>0</f>
        <v>0</v>
      </c>
      <c r="P51" s="34">
        <f>0</f>
        <v>0</v>
      </c>
      <c r="Q51" s="34">
        <f>0</f>
        <v>0</v>
      </c>
    </row>
    <row r="52" spans="1:17" ht="24.75" customHeight="1">
      <c r="A52" s="22" t="s">
        <v>31</v>
      </c>
      <c r="B52" s="25">
        <f>9701539.21</f>
        <v>9701539.21</v>
      </c>
      <c r="C52" s="25">
        <f>9701539.21</f>
        <v>9701539.21</v>
      </c>
      <c r="D52" s="25">
        <f>9701539.21</f>
        <v>9701539.21</v>
      </c>
      <c r="E52" s="25">
        <f>0</f>
        <v>0</v>
      </c>
      <c r="F52" s="25">
        <f>0</f>
        <v>0</v>
      </c>
      <c r="G52" s="25">
        <f>9701539.21</f>
        <v>9701539.21</v>
      </c>
      <c r="H52" s="25">
        <f>0</f>
        <v>0</v>
      </c>
      <c r="I52" s="25">
        <f>0</f>
        <v>0</v>
      </c>
      <c r="J52" s="25">
        <f>0</f>
        <v>0</v>
      </c>
      <c r="K52" s="25">
        <f>0</f>
        <v>0</v>
      </c>
      <c r="L52" s="25">
        <f>0</f>
        <v>0</v>
      </c>
      <c r="M52" s="25">
        <f>0</f>
        <v>0</v>
      </c>
      <c r="N52" s="25">
        <f>0</f>
        <v>0</v>
      </c>
      <c r="O52" s="14">
        <f>0</f>
        <v>0</v>
      </c>
      <c r="P52" s="14">
        <f>0</f>
        <v>0</v>
      </c>
      <c r="Q52" s="14">
        <f>0</f>
        <v>0</v>
      </c>
    </row>
    <row r="53" spans="1:17" ht="24.75" customHeight="1">
      <c r="A53" s="22" t="s">
        <v>32</v>
      </c>
      <c r="B53" s="25">
        <f>7675505871.03</f>
        <v>7675505871.03</v>
      </c>
      <c r="C53" s="25">
        <f>7675505871.03</f>
        <v>7675505871.03</v>
      </c>
      <c r="D53" s="25">
        <f>1871394.87</f>
        <v>1871394.87</v>
      </c>
      <c r="E53" s="25">
        <f>276312.47</f>
        <v>276312.47</v>
      </c>
      <c r="F53" s="25">
        <f>240</f>
        <v>240</v>
      </c>
      <c r="G53" s="25">
        <f>1594842.4</f>
        <v>1594842.4</v>
      </c>
      <c r="H53" s="25">
        <f>0</f>
        <v>0</v>
      </c>
      <c r="I53" s="25">
        <f>0</f>
        <v>0</v>
      </c>
      <c r="J53" s="25">
        <f>7672008366.95</f>
        <v>7672008366.95</v>
      </c>
      <c r="K53" s="25">
        <f>23672.89</f>
        <v>23672.89</v>
      </c>
      <c r="L53" s="25">
        <f>1602436.32</f>
        <v>1602436.32</v>
      </c>
      <c r="M53" s="25">
        <f>0</f>
        <v>0</v>
      </c>
      <c r="N53" s="25">
        <f>0</f>
        <v>0</v>
      </c>
      <c r="O53" s="14">
        <f>0</f>
        <v>0</v>
      </c>
      <c r="P53" s="14">
        <f>0</f>
        <v>0</v>
      </c>
      <c r="Q53" s="14">
        <f>0</f>
        <v>0</v>
      </c>
    </row>
    <row r="54" spans="1:17" ht="24.75" customHeight="1">
      <c r="A54" s="22" t="s">
        <v>33</v>
      </c>
      <c r="B54" s="25">
        <f>2742257584.17</f>
        <v>2742257584.17</v>
      </c>
      <c r="C54" s="25">
        <f>2742257584.17</f>
        <v>2742257584.17</v>
      </c>
      <c r="D54" s="25">
        <f>124894.63</f>
        <v>124894.63</v>
      </c>
      <c r="E54" s="25">
        <f>113809.05</f>
        <v>113809.05</v>
      </c>
      <c r="F54" s="25">
        <f>1085.58</f>
        <v>1085.58</v>
      </c>
      <c r="G54" s="25">
        <f>10000</f>
        <v>10000</v>
      </c>
      <c r="H54" s="25">
        <f>0</f>
        <v>0</v>
      </c>
      <c r="I54" s="25">
        <f>0</f>
        <v>0</v>
      </c>
      <c r="J54" s="25">
        <f>2741880909.55</f>
        <v>2741880909.55</v>
      </c>
      <c r="K54" s="25">
        <f>0</f>
        <v>0</v>
      </c>
      <c r="L54" s="25">
        <f>238479.99</f>
        <v>238479.99</v>
      </c>
      <c r="M54" s="25">
        <f>13300</f>
        <v>13300</v>
      </c>
      <c r="N54" s="25">
        <f>0</f>
        <v>0</v>
      </c>
      <c r="O54" s="14">
        <f>0</f>
        <v>0</v>
      </c>
      <c r="P54" s="14">
        <f>0</f>
        <v>0</v>
      </c>
      <c r="Q54" s="14">
        <f>0</f>
        <v>0</v>
      </c>
    </row>
    <row r="55" spans="1:17" ht="24.75" customHeight="1">
      <c r="A55" s="33" t="s">
        <v>42</v>
      </c>
      <c r="B55" s="34">
        <f>8534580170.88</f>
        <v>8534580170.88</v>
      </c>
      <c r="C55" s="34">
        <f>8517406324.18</f>
        <v>8517406324.18</v>
      </c>
      <c r="D55" s="34">
        <f>108102018.87</f>
        <v>108102018.87</v>
      </c>
      <c r="E55" s="34">
        <f>56295794.93</f>
        <v>56295794.93</v>
      </c>
      <c r="F55" s="34">
        <f>2162479.38</f>
        <v>2162479.38</v>
      </c>
      <c r="G55" s="34">
        <f>49485044.12</f>
        <v>49485044.12</v>
      </c>
      <c r="H55" s="34">
        <f>158700.44</f>
        <v>158700.44</v>
      </c>
      <c r="I55" s="34">
        <f>0</f>
        <v>0</v>
      </c>
      <c r="J55" s="34">
        <f>5385563.91</f>
        <v>5385563.91</v>
      </c>
      <c r="K55" s="34">
        <f>15566231.31</f>
        <v>15566231.31</v>
      </c>
      <c r="L55" s="34">
        <f>1836369850.33</f>
        <v>1836369850.33</v>
      </c>
      <c r="M55" s="34">
        <f>6504053921.51</f>
        <v>6504053921.51</v>
      </c>
      <c r="N55" s="34">
        <f>47928738.25</f>
        <v>47928738.25</v>
      </c>
      <c r="O55" s="34">
        <f>17173846.7</f>
        <v>17173846.7</v>
      </c>
      <c r="P55" s="34">
        <f>11426565.9</f>
        <v>11426565.9</v>
      </c>
      <c r="Q55" s="34">
        <f>5747280.8</f>
        <v>5747280.8</v>
      </c>
    </row>
    <row r="56" spans="1:17" ht="24.75" customHeight="1">
      <c r="A56" s="21" t="s">
        <v>34</v>
      </c>
      <c r="B56" s="25">
        <f>1096275646.88</f>
        <v>1096275646.88</v>
      </c>
      <c r="C56" s="25">
        <f>1096179734.08</f>
        <v>1096179734.08</v>
      </c>
      <c r="D56" s="25">
        <f>6337381.67</f>
        <v>6337381.67</v>
      </c>
      <c r="E56" s="25">
        <f>2203503.27</f>
        <v>2203503.27</v>
      </c>
      <c r="F56" s="25">
        <f>115443.33</f>
        <v>115443.33</v>
      </c>
      <c r="G56" s="25">
        <f>3963113.83</f>
        <v>3963113.83</v>
      </c>
      <c r="H56" s="25">
        <f>55321.24</f>
        <v>55321.24</v>
      </c>
      <c r="I56" s="25">
        <f>0</f>
        <v>0</v>
      </c>
      <c r="J56" s="25">
        <f>20308.47</f>
        <v>20308.47</v>
      </c>
      <c r="K56" s="25">
        <f>631502.57</f>
        <v>631502.57</v>
      </c>
      <c r="L56" s="25">
        <f>149509217.75</f>
        <v>149509217.75</v>
      </c>
      <c r="M56" s="25">
        <f>924765882.71</f>
        <v>924765882.71</v>
      </c>
      <c r="N56" s="25">
        <f>14915440.91</f>
        <v>14915440.91</v>
      </c>
      <c r="O56" s="14">
        <f>95912.8</f>
        <v>95912.8</v>
      </c>
      <c r="P56" s="14">
        <f>95481.54</f>
        <v>95481.54</v>
      </c>
      <c r="Q56" s="14">
        <f>431.26</f>
        <v>431.26</v>
      </c>
    </row>
    <row r="57" spans="1:17" ht="24.75" customHeight="1">
      <c r="A57" s="22" t="s">
        <v>35</v>
      </c>
      <c r="B57" s="25">
        <f>7438304524</f>
        <v>7438304524</v>
      </c>
      <c r="C57" s="25">
        <f>7421226590.1</f>
        <v>7421226590.1</v>
      </c>
      <c r="D57" s="25">
        <f>101764637.2</f>
        <v>101764637.2</v>
      </c>
      <c r="E57" s="25">
        <f>54092291.66</f>
        <v>54092291.66</v>
      </c>
      <c r="F57" s="25">
        <f>2047036.05</f>
        <v>2047036.05</v>
      </c>
      <c r="G57" s="25">
        <f>45521930.29</f>
        <v>45521930.29</v>
      </c>
      <c r="H57" s="25">
        <f>103379.2</f>
        <v>103379.2</v>
      </c>
      <c r="I57" s="25">
        <f>0</f>
        <v>0</v>
      </c>
      <c r="J57" s="25">
        <f>5365255.44</f>
        <v>5365255.44</v>
      </c>
      <c r="K57" s="25">
        <f>14934728.74</f>
        <v>14934728.74</v>
      </c>
      <c r="L57" s="25">
        <f>1686860632.58</f>
        <v>1686860632.58</v>
      </c>
      <c r="M57" s="25">
        <f>5579288038.8</f>
        <v>5579288038.8</v>
      </c>
      <c r="N57" s="25">
        <f>33013297.34</f>
        <v>33013297.34</v>
      </c>
      <c r="O57" s="14">
        <f>17077933.9</f>
        <v>17077933.9</v>
      </c>
      <c r="P57" s="14">
        <f>11331084.36</f>
        <v>11331084.36</v>
      </c>
      <c r="Q57" s="14">
        <f>5746849.54</f>
        <v>5746849.54</v>
      </c>
    </row>
    <row r="58" spans="1:17" ht="24.75" customHeight="1">
      <c r="A58" s="33" t="s">
        <v>43</v>
      </c>
      <c r="B58" s="34">
        <f>6194734884.75</f>
        <v>6194734884.75</v>
      </c>
      <c r="C58" s="34">
        <f>6194005186.03</f>
        <v>6194005186.03</v>
      </c>
      <c r="D58" s="34">
        <f>1095468500.99</f>
        <v>1095468500.99</v>
      </c>
      <c r="E58" s="34">
        <f>899986719.63</f>
        <v>899986719.63</v>
      </c>
      <c r="F58" s="34">
        <f>26397541.47</f>
        <v>26397541.47</v>
      </c>
      <c r="G58" s="34">
        <f>164578294.86</f>
        <v>164578294.86</v>
      </c>
      <c r="H58" s="34">
        <f>4505945.03</f>
        <v>4505945.03</v>
      </c>
      <c r="I58" s="34">
        <f>15137</f>
        <v>15137</v>
      </c>
      <c r="J58" s="34">
        <f>7512617.72</f>
        <v>7512617.72</v>
      </c>
      <c r="K58" s="34">
        <f>13111973.29</f>
        <v>13111973.29</v>
      </c>
      <c r="L58" s="34">
        <f>3028902872.33</f>
        <v>3028902872.33</v>
      </c>
      <c r="M58" s="34">
        <f>1987912702.32</f>
        <v>1987912702.32</v>
      </c>
      <c r="N58" s="34">
        <f>61081382.38</f>
        <v>61081382.38</v>
      </c>
      <c r="O58" s="34">
        <f>729698.72</f>
        <v>729698.72</v>
      </c>
      <c r="P58" s="34">
        <f>590988.39</f>
        <v>590988.39</v>
      </c>
      <c r="Q58" s="34">
        <f>138710.33</f>
        <v>138710.33</v>
      </c>
    </row>
    <row r="59" spans="1:17" ht="30" customHeight="1">
      <c r="A59" s="21" t="s">
        <v>36</v>
      </c>
      <c r="B59" s="25">
        <f>431555819.71</f>
        <v>431555819.71</v>
      </c>
      <c r="C59" s="25">
        <f>431489369.84</f>
        <v>431489369.84</v>
      </c>
      <c r="D59" s="25">
        <f>30666059.59</f>
        <v>30666059.59</v>
      </c>
      <c r="E59" s="25">
        <f>3197737.4</f>
        <v>3197737.4</v>
      </c>
      <c r="F59" s="25">
        <f>1428285.59</f>
        <v>1428285.59</v>
      </c>
      <c r="G59" s="25">
        <f>23759967.79</f>
        <v>23759967.79</v>
      </c>
      <c r="H59" s="25">
        <f>2280068.81</f>
        <v>2280068.81</v>
      </c>
      <c r="I59" s="25">
        <f>0</f>
        <v>0</v>
      </c>
      <c r="J59" s="25">
        <f>194893</f>
        <v>194893</v>
      </c>
      <c r="K59" s="25">
        <f>2292022.19</f>
        <v>2292022.19</v>
      </c>
      <c r="L59" s="25">
        <f>148065818.9</f>
        <v>148065818.9</v>
      </c>
      <c r="M59" s="25">
        <f>246110377.03</f>
        <v>246110377.03</v>
      </c>
      <c r="N59" s="25">
        <f>4160199.13</f>
        <v>4160199.13</v>
      </c>
      <c r="O59" s="14">
        <f>66449.87</f>
        <v>66449.87</v>
      </c>
      <c r="P59" s="14">
        <f>60577.87</f>
        <v>60577.87</v>
      </c>
      <c r="Q59" s="14">
        <f>5872</f>
        <v>5872</v>
      </c>
    </row>
    <row r="60" spans="1:17" ht="36">
      <c r="A60" s="21" t="s">
        <v>37</v>
      </c>
      <c r="B60" s="25">
        <f>3911192118.92</f>
        <v>3911192118.92</v>
      </c>
      <c r="C60" s="25">
        <f>3910535486.8</f>
        <v>3910535486.8</v>
      </c>
      <c r="D60" s="25">
        <f>757754663.41</f>
        <v>757754663.41</v>
      </c>
      <c r="E60" s="25">
        <f>692098885.72</f>
        <v>692098885.72</v>
      </c>
      <c r="F60" s="25">
        <f>13700803.07</f>
        <v>13700803.07</v>
      </c>
      <c r="G60" s="25">
        <f>50489553.43</f>
        <v>50489553.43</v>
      </c>
      <c r="H60" s="25">
        <f>1465421.19</f>
        <v>1465421.19</v>
      </c>
      <c r="I60" s="25">
        <f>11537</f>
        <v>11537</v>
      </c>
      <c r="J60" s="25">
        <f>4969758.97</f>
        <v>4969758.97</v>
      </c>
      <c r="K60" s="25">
        <f>6393562.63</f>
        <v>6393562.63</v>
      </c>
      <c r="L60" s="25">
        <f>2106268482.94</f>
        <v>2106268482.94</v>
      </c>
      <c r="M60" s="25">
        <f>1025948201.84</f>
        <v>1025948201.84</v>
      </c>
      <c r="N60" s="25">
        <f>9189280.01</f>
        <v>9189280.01</v>
      </c>
      <c r="O60" s="14">
        <f>656632.12</f>
        <v>656632.12</v>
      </c>
      <c r="P60" s="14">
        <f>527772.88</f>
        <v>527772.88</v>
      </c>
      <c r="Q60" s="14">
        <f>128859.24</f>
        <v>128859.24</v>
      </c>
    </row>
    <row r="61" spans="1:17" ht="30.75" customHeight="1">
      <c r="A61" s="21" t="s">
        <v>38</v>
      </c>
      <c r="B61" s="25">
        <f>1851986946.12</f>
        <v>1851986946.12</v>
      </c>
      <c r="C61" s="25">
        <f>1851980329.39</f>
        <v>1851980329.39</v>
      </c>
      <c r="D61" s="25">
        <f>307047777.99</f>
        <v>307047777.99</v>
      </c>
      <c r="E61" s="25">
        <f>204690096.51</f>
        <v>204690096.51</v>
      </c>
      <c r="F61" s="25">
        <f>11268452.81</f>
        <v>11268452.81</v>
      </c>
      <c r="G61" s="25">
        <f>90328773.64</f>
        <v>90328773.64</v>
      </c>
      <c r="H61" s="25">
        <f>760455.03</f>
        <v>760455.03</v>
      </c>
      <c r="I61" s="25">
        <f>3600</f>
        <v>3600</v>
      </c>
      <c r="J61" s="25">
        <f>2347965.75</f>
        <v>2347965.75</v>
      </c>
      <c r="K61" s="25">
        <f>4426388.47</f>
        <v>4426388.47</v>
      </c>
      <c r="L61" s="25">
        <f>774568570.49</f>
        <v>774568570.49</v>
      </c>
      <c r="M61" s="25">
        <f>715854123.45</f>
        <v>715854123.45</v>
      </c>
      <c r="N61" s="25">
        <f>47731903.24</f>
        <v>47731903.24</v>
      </c>
      <c r="O61" s="14">
        <f>6616.73</f>
        <v>6616.73</v>
      </c>
      <c r="P61" s="14">
        <f>2637.64</f>
        <v>2637.64</v>
      </c>
      <c r="Q61" s="14">
        <f>3979.09</f>
        <v>3979.09</v>
      </c>
    </row>
    <row r="78" spans="1:13" ht="75" customHeight="1">
      <c r="A78" s="50" t="s">
        <v>78</v>
      </c>
      <c r="B78" s="50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</row>
    <row r="79" spans="2:13" ht="13.5" customHeight="1">
      <c r="B79" s="54" t="s">
        <v>2</v>
      </c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</row>
    <row r="81" spans="2:12" ht="13.5" customHeight="1">
      <c r="B81" s="79" t="s">
        <v>0</v>
      </c>
      <c r="C81" s="80"/>
      <c r="D81" s="80"/>
      <c r="E81" s="81"/>
      <c r="F81" s="89" t="s">
        <v>70</v>
      </c>
      <c r="G81" s="61" t="s">
        <v>76</v>
      </c>
      <c r="H81" s="62"/>
      <c r="I81" s="62"/>
      <c r="J81" s="62"/>
      <c r="K81" s="62"/>
      <c r="L81" s="63"/>
    </row>
    <row r="82" spans="2:12" ht="13.5" customHeight="1">
      <c r="B82" s="82"/>
      <c r="C82" s="83"/>
      <c r="D82" s="83"/>
      <c r="E82" s="84"/>
      <c r="F82" s="90"/>
      <c r="G82" s="92" t="s">
        <v>71</v>
      </c>
      <c r="H82" s="45" t="s">
        <v>68</v>
      </c>
      <c r="I82" s="45" t="s">
        <v>69</v>
      </c>
      <c r="J82" s="45" t="s">
        <v>72</v>
      </c>
      <c r="K82" s="45" t="s">
        <v>73</v>
      </c>
      <c r="L82" s="93" t="s">
        <v>74</v>
      </c>
    </row>
    <row r="83" spans="2:12" ht="13.5" customHeight="1">
      <c r="B83" s="82"/>
      <c r="C83" s="83"/>
      <c r="D83" s="83"/>
      <c r="E83" s="84"/>
      <c r="F83" s="90"/>
      <c r="G83" s="92"/>
      <c r="H83" s="45"/>
      <c r="I83" s="45"/>
      <c r="J83" s="45"/>
      <c r="K83" s="45"/>
      <c r="L83" s="93"/>
    </row>
    <row r="84" spans="2:12" ht="11.25" customHeight="1">
      <c r="B84" s="82"/>
      <c r="C84" s="83"/>
      <c r="D84" s="83"/>
      <c r="E84" s="84"/>
      <c r="F84" s="90"/>
      <c r="G84" s="92"/>
      <c r="H84" s="45"/>
      <c r="I84" s="45"/>
      <c r="J84" s="45"/>
      <c r="K84" s="45"/>
      <c r="L84" s="93"/>
    </row>
    <row r="85" spans="2:12" ht="11.25" customHeight="1">
      <c r="B85" s="85"/>
      <c r="C85" s="86"/>
      <c r="D85" s="86"/>
      <c r="E85" s="87"/>
      <c r="F85" s="91"/>
      <c r="G85" s="92"/>
      <c r="H85" s="45"/>
      <c r="I85" s="45"/>
      <c r="J85" s="45"/>
      <c r="K85" s="45"/>
      <c r="L85" s="93"/>
    </row>
    <row r="86" spans="2:12" ht="11.25" customHeight="1">
      <c r="B86" s="45">
        <v>1</v>
      </c>
      <c r="C86" s="45"/>
      <c r="D86" s="45"/>
      <c r="E86" s="45"/>
      <c r="F86" s="3">
        <v>2</v>
      </c>
      <c r="G86" s="3">
        <v>3</v>
      </c>
      <c r="H86" s="3">
        <v>4</v>
      </c>
      <c r="I86" s="3">
        <v>5</v>
      </c>
      <c r="J86" s="3">
        <v>6</v>
      </c>
      <c r="K86" s="3">
        <v>7</v>
      </c>
      <c r="L86" s="10">
        <v>8</v>
      </c>
    </row>
    <row r="87" spans="2:12" ht="13.5" customHeight="1">
      <c r="B87" s="45"/>
      <c r="C87" s="45"/>
      <c r="D87" s="45"/>
      <c r="E87" s="45"/>
      <c r="F87" s="61" t="s">
        <v>77</v>
      </c>
      <c r="G87" s="37"/>
      <c r="H87" s="37"/>
      <c r="I87" s="37"/>
      <c r="J87" s="37"/>
      <c r="K87" s="37"/>
      <c r="L87" s="38"/>
    </row>
    <row r="88" spans="2:12" ht="33.75" customHeight="1">
      <c r="B88" s="72" t="s">
        <v>55</v>
      </c>
      <c r="C88" s="73"/>
      <c r="D88" s="73"/>
      <c r="E88" s="74"/>
      <c r="F88" s="32">
        <f>1042577419.64</f>
        <v>1042577419.64</v>
      </c>
      <c r="G88" s="32">
        <f>325556454.24</f>
        <v>325556454.24</v>
      </c>
      <c r="H88" s="32">
        <f>30990844.44</f>
        <v>30990844.44</v>
      </c>
      <c r="I88" s="32">
        <f>53983872.88</f>
        <v>53983872.88</v>
      </c>
      <c r="J88" s="32">
        <f>230171740.47</f>
        <v>230171740.47</v>
      </c>
      <c r="K88" s="32">
        <f>10409996.45</f>
        <v>10409996.45</v>
      </c>
      <c r="L88" s="32">
        <f>717020965.4</f>
        <v>717020965.4</v>
      </c>
    </row>
    <row r="89" spans="2:12" ht="33.75" customHeight="1">
      <c r="B89" s="72" t="s">
        <v>56</v>
      </c>
      <c r="C89" s="73"/>
      <c r="D89" s="73"/>
      <c r="E89" s="74"/>
      <c r="F89" s="32">
        <f>9234300.33</f>
        <v>9234300.33</v>
      </c>
      <c r="G89" s="32">
        <f>8992674.33</f>
        <v>8992674.33</v>
      </c>
      <c r="H89" s="32">
        <f>6108444.17</f>
        <v>6108444.17</v>
      </c>
      <c r="I89" s="32">
        <f>0</f>
        <v>0</v>
      </c>
      <c r="J89" s="32">
        <f>2884230.16</f>
        <v>2884230.16</v>
      </c>
      <c r="K89" s="32">
        <f>0</f>
        <v>0</v>
      </c>
      <c r="L89" s="32">
        <f>241626</f>
        <v>241626</v>
      </c>
    </row>
    <row r="90" spans="2:12" ht="33.75" customHeight="1">
      <c r="B90" s="72" t="s">
        <v>57</v>
      </c>
      <c r="C90" s="73"/>
      <c r="D90" s="73"/>
      <c r="E90" s="74"/>
      <c r="F90" s="32">
        <f>121218619</f>
        <v>121218619</v>
      </c>
      <c r="G90" s="32">
        <f>64552110.72</f>
        <v>64552110.72</v>
      </c>
      <c r="H90" s="32">
        <f>0</f>
        <v>0</v>
      </c>
      <c r="I90" s="32">
        <f>49539595</f>
        <v>49539595</v>
      </c>
      <c r="J90" s="32">
        <f>14357515.72</f>
        <v>14357515.72</v>
      </c>
      <c r="K90" s="32">
        <f>655000</f>
        <v>655000</v>
      </c>
      <c r="L90" s="32">
        <f>56666508.28</f>
        <v>56666508.28</v>
      </c>
    </row>
    <row r="91" spans="2:12" ht="22.5" customHeight="1">
      <c r="B91" s="72" t="s">
        <v>58</v>
      </c>
      <c r="C91" s="73"/>
      <c r="D91" s="73"/>
      <c r="E91" s="74"/>
      <c r="F91" s="32">
        <f>16958955.39</f>
        <v>16958955.39</v>
      </c>
      <c r="G91" s="32">
        <f>593720</f>
        <v>593720</v>
      </c>
      <c r="H91" s="32">
        <f>0</f>
        <v>0</v>
      </c>
      <c r="I91" s="32">
        <f>0</f>
        <v>0</v>
      </c>
      <c r="J91" s="32">
        <f>593720</f>
        <v>593720</v>
      </c>
      <c r="K91" s="32">
        <f>0</f>
        <v>0</v>
      </c>
      <c r="L91" s="32">
        <f>16365235.39</f>
        <v>16365235.39</v>
      </c>
    </row>
    <row r="92" spans="2:12" ht="33.75" customHeight="1">
      <c r="B92" s="72" t="s">
        <v>59</v>
      </c>
      <c r="C92" s="73"/>
      <c r="D92" s="73"/>
      <c r="E92" s="74"/>
      <c r="F92" s="32">
        <f>19374.16</f>
        <v>19374.16</v>
      </c>
      <c r="G92" s="32">
        <f>0</f>
        <v>0</v>
      </c>
      <c r="H92" s="32">
        <f>0</f>
        <v>0</v>
      </c>
      <c r="I92" s="32">
        <f>0</f>
        <v>0</v>
      </c>
      <c r="J92" s="32">
        <f>0</f>
        <v>0</v>
      </c>
      <c r="K92" s="32">
        <f>0</f>
        <v>0</v>
      </c>
      <c r="L92" s="32">
        <f>19374.16</f>
        <v>19374.16</v>
      </c>
    </row>
    <row r="93" spans="2:12" ht="33.75" customHeight="1">
      <c r="B93" s="72" t="s">
        <v>60</v>
      </c>
      <c r="C93" s="73"/>
      <c r="D93" s="73"/>
      <c r="E93" s="74"/>
      <c r="F93" s="32">
        <f>3865970.88</f>
        <v>3865970.88</v>
      </c>
      <c r="G93" s="32">
        <f>144000</f>
        <v>144000</v>
      </c>
      <c r="H93" s="32">
        <f>0</f>
        <v>0</v>
      </c>
      <c r="I93" s="32">
        <f>0</f>
        <v>0</v>
      </c>
      <c r="J93" s="32">
        <f>144000</f>
        <v>144000</v>
      </c>
      <c r="K93" s="32">
        <f>0</f>
        <v>0</v>
      </c>
      <c r="L93" s="32">
        <f>3721970.88</f>
        <v>3721970.88</v>
      </c>
    </row>
    <row r="94" spans="2:12" ht="22.5" customHeight="1">
      <c r="B94" s="72" t="s">
        <v>61</v>
      </c>
      <c r="C94" s="73"/>
      <c r="D94" s="73"/>
      <c r="E94" s="74"/>
      <c r="F94" s="32">
        <f>34000</f>
        <v>34000</v>
      </c>
      <c r="G94" s="32">
        <f>0</f>
        <v>0</v>
      </c>
      <c r="H94" s="32">
        <f>0</f>
        <v>0</v>
      </c>
      <c r="I94" s="32">
        <f>0</f>
        <v>0</v>
      </c>
      <c r="J94" s="32">
        <f>0</f>
        <v>0</v>
      </c>
      <c r="K94" s="32">
        <f>0</f>
        <v>0</v>
      </c>
      <c r="L94" s="32">
        <f>34000</f>
        <v>34000</v>
      </c>
    </row>
    <row r="97" spans="1:13" ht="75" customHeight="1">
      <c r="A97" s="50" t="s">
        <v>78</v>
      </c>
      <c r="B97" s="50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</row>
    <row r="98" ht="13.5" customHeight="1">
      <c r="B98" s="4"/>
    </row>
    <row r="99" spans="2:11" ht="13.5" customHeight="1">
      <c r="B99" s="5"/>
      <c r="C99" s="61"/>
      <c r="D99" s="62"/>
      <c r="E99" s="62"/>
      <c r="F99" s="63"/>
      <c r="G99" s="61" t="s">
        <v>3</v>
      </c>
      <c r="H99" s="63"/>
      <c r="I99" s="61" t="s">
        <v>4</v>
      </c>
      <c r="J99" s="63"/>
      <c r="K99" s="5"/>
    </row>
    <row r="100" spans="2:11" ht="13.5" customHeight="1">
      <c r="B100" s="6"/>
      <c r="C100" s="69" t="s">
        <v>5</v>
      </c>
      <c r="D100" s="70"/>
      <c r="E100" s="70"/>
      <c r="F100" s="71"/>
      <c r="G100" s="65">
        <f>1788</f>
        <v>1788</v>
      </c>
      <c r="H100" s="66"/>
      <c r="I100" s="67">
        <f>4886976891.44</f>
        <v>4886976891.44</v>
      </c>
      <c r="J100" s="68"/>
      <c r="K100" s="7"/>
    </row>
    <row r="101" spans="2:11" ht="13.5" customHeight="1">
      <c r="B101" s="6"/>
      <c r="C101" s="72" t="s">
        <v>6</v>
      </c>
      <c r="D101" s="73"/>
      <c r="E101" s="73"/>
      <c r="F101" s="74"/>
      <c r="G101" s="75">
        <f>624</f>
        <v>624</v>
      </c>
      <c r="H101" s="76"/>
      <c r="I101" s="77">
        <f>-1490529354.61</f>
        <v>-1490529354.61</v>
      </c>
      <c r="J101" s="78"/>
      <c r="K101" s="7"/>
    </row>
    <row r="102" spans="2:11" ht="13.5" customHeight="1">
      <c r="B102" s="6"/>
      <c r="C102" s="69" t="s">
        <v>7</v>
      </c>
      <c r="D102" s="70"/>
      <c r="E102" s="70"/>
      <c r="F102" s="71"/>
      <c r="G102" s="65">
        <f>0</f>
        <v>0</v>
      </c>
      <c r="H102" s="66"/>
      <c r="I102" s="67">
        <f>0</f>
        <v>0</v>
      </c>
      <c r="J102" s="68"/>
      <c r="K102" s="7"/>
    </row>
  </sheetData>
  <sheetProtection/>
  <mergeCells count="79">
    <mergeCell ref="B43:N43"/>
    <mergeCell ref="B86:E86"/>
    <mergeCell ref="F87:L87"/>
    <mergeCell ref="L82:L85"/>
    <mergeCell ref="O6:Q6"/>
    <mergeCell ref="O7:O10"/>
    <mergeCell ref="A78:M78"/>
    <mergeCell ref="L39:L41"/>
    <mergeCell ref="P39:P41"/>
    <mergeCell ref="Q39:Q41"/>
    <mergeCell ref="N39:N41"/>
    <mergeCell ref="O39:O41"/>
    <mergeCell ref="D39:D41"/>
    <mergeCell ref="H7:H10"/>
    <mergeCell ref="B93:E93"/>
    <mergeCell ref="B89:E89"/>
    <mergeCell ref="M39:M41"/>
    <mergeCell ref="B88:E88"/>
    <mergeCell ref="F81:F85"/>
    <mergeCell ref="G82:G85"/>
    <mergeCell ref="I100:J100"/>
    <mergeCell ref="B79:M79"/>
    <mergeCell ref="I99:J99"/>
    <mergeCell ref="B87:E87"/>
    <mergeCell ref="B81:E85"/>
    <mergeCell ref="B94:E94"/>
    <mergeCell ref="A97:M97"/>
    <mergeCell ref="B90:E90"/>
    <mergeCell ref="B91:E91"/>
    <mergeCell ref="B92:E92"/>
    <mergeCell ref="G102:H102"/>
    <mergeCell ref="I102:J102"/>
    <mergeCell ref="C99:F99"/>
    <mergeCell ref="C100:F100"/>
    <mergeCell ref="C101:F101"/>
    <mergeCell ref="C102:F102"/>
    <mergeCell ref="G100:H100"/>
    <mergeCell ref="G99:H99"/>
    <mergeCell ref="G101:H101"/>
    <mergeCell ref="I101:J101"/>
    <mergeCell ref="G81:L81"/>
    <mergeCell ref="H82:H85"/>
    <mergeCell ref="I82:I85"/>
    <mergeCell ref="J82:J85"/>
    <mergeCell ref="A1:M1"/>
    <mergeCell ref="C5:M5"/>
    <mergeCell ref="A3:M3"/>
    <mergeCell ref="K7:K10"/>
    <mergeCell ref="C7:C10"/>
    <mergeCell ref="B38:B41"/>
    <mergeCell ref="B6:B10"/>
    <mergeCell ref="A6:A10"/>
    <mergeCell ref="C6:N6"/>
    <mergeCell ref="D7:D10"/>
    <mergeCell ref="E7:E10"/>
    <mergeCell ref="G7:G10"/>
    <mergeCell ref="F7:F10"/>
    <mergeCell ref="I7:I10"/>
    <mergeCell ref="J7:J10"/>
    <mergeCell ref="J39:J41"/>
    <mergeCell ref="Q7:Q10"/>
    <mergeCell ref="C38:N38"/>
    <mergeCell ref="L7:L10"/>
    <mergeCell ref="M7:M10"/>
    <mergeCell ref="N7:N10"/>
    <mergeCell ref="P7:P10"/>
    <mergeCell ref="A34:M34"/>
    <mergeCell ref="O38:Q38"/>
    <mergeCell ref="A36:M36"/>
    <mergeCell ref="B12:Q12"/>
    <mergeCell ref="A38:A41"/>
    <mergeCell ref="C39:C41"/>
    <mergeCell ref="E39:E41"/>
    <mergeCell ref="K82:K85"/>
    <mergeCell ref="F39:F41"/>
    <mergeCell ref="G39:G41"/>
    <mergeCell ref="H39:H41"/>
    <mergeCell ref="K39:K41"/>
    <mergeCell ref="I39:I41"/>
  </mergeCells>
  <printOptions/>
  <pageMargins left="0.1968503937007874" right="0.1968503937007874" top="0.1968503937007874" bottom="0.1968503937007874" header="0" footer="0"/>
  <pageSetup firstPageNumber="1" useFirstPageNumber="1" horizontalDpi="300" verticalDpi="300" orientation="landscape" paperSize="9" scale="69" r:id="rId1"/>
  <headerFooter alignWithMargins="0">
    <oddFooter>&amp;L&amp;D&amp;Rstrona &amp;P z 3</oddFooter>
  </headerFooter>
  <rowBreaks count="2" manualBreakCount="2">
    <brk id="33" max="255" man="1"/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Min. Fin.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2016-08-26T11:23:29Z</cp:lastPrinted>
  <dcterms:created xsi:type="dcterms:W3CDTF">2001-05-17T08:58:03Z</dcterms:created>
  <dcterms:modified xsi:type="dcterms:W3CDTF">2018-11-19T09:10:31Z</dcterms:modified>
  <cp:category/>
  <cp:version/>
  <cp:contentType/>
  <cp:contentStatus/>
</cp:coreProperties>
</file>