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doch_wyd!$A$1:$M$116</definedName>
  </definedNames>
  <calcPr calcId="152511"/>
</workbook>
</file>

<file path=xl/calcChain.xml><?xml version="1.0" encoding="utf-8"?>
<calcChain xmlns="http://schemas.openxmlformats.org/spreadsheetml/2006/main">
  <c r="C117" i="4" l="1"/>
  <c r="C116" i="4"/>
  <c r="C115" i="4"/>
  <c r="C114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79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6" i="4" s="1"/>
  <c r="C74" i="4"/>
  <c r="E7" i="4"/>
  <c r="E21" i="4" s="1"/>
  <c r="E53" i="4"/>
  <c r="E55" i="4" s="1"/>
  <c r="G7" i="4"/>
  <c r="G21" i="4" s="1"/>
  <c r="G53" i="4"/>
  <c r="G55" i="4"/>
  <c r="I53" i="4"/>
  <c r="I55" i="4" s="1"/>
  <c r="I7" i="4"/>
  <c r="I21" i="4" s="1"/>
  <c r="K9" i="4"/>
  <c r="D114" i="4"/>
  <c r="B81" i="4" s="1"/>
  <c r="J40" i="4"/>
  <c r="J16" i="4"/>
  <c r="J45" i="4"/>
  <c r="J26" i="4"/>
  <c r="J35" i="4"/>
  <c r="J10" i="4"/>
  <c r="J24" i="4"/>
  <c r="J8" i="4"/>
  <c r="J43" i="4"/>
  <c r="J29" i="4"/>
  <c r="J33" i="4"/>
  <c r="J9" i="4"/>
  <c r="J13" i="4"/>
  <c r="J25" i="4"/>
  <c r="J41" i="4"/>
  <c r="J50" i="4"/>
  <c r="J54" i="4"/>
  <c r="J51" i="4"/>
  <c r="J42" i="4"/>
  <c r="J12" i="4"/>
  <c r="J18" i="4"/>
  <c r="J37" i="4"/>
  <c r="J48" i="4"/>
  <c r="J11" i="4"/>
  <c r="J6" i="4"/>
  <c r="J14" i="4"/>
  <c r="J38" i="4"/>
  <c r="J20" i="4"/>
  <c r="J32" i="4"/>
  <c r="J30" i="4"/>
  <c r="D74" i="4"/>
  <c r="J34" i="4"/>
  <c r="J39" i="4"/>
  <c r="J27" i="4"/>
  <c r="D53" i="4"/>
  <c r="D55" i="4" s="1"/>
  <c r="J15" i="4"/>
  <c r="J28" i="4"/>
  <c r="J49" i="4"/>
  <c r="J31" i="4"/>
  <c r="J44" i="4"/>
  <c r="J36" i="4"/>
  <c r="J47" i="4"/>
  <c r="J19" i="4"/>
  <c r="J17" i="4"/>
  <c r="F53" i="4"/>
  <c r="F55" i="4" s="1"/>
  <c r="F7" i="4"/>
  <c r="F21" i="4" s="1"/>
  <c r="H7" i="4"/>
  <c r="H21" i="4" s="1"/>
  <c r="H53" i="4"/>
  <c r="H55" i="4" s="1"/>
  <c r="K8" i="4"/>
  <c r="K10" i="4"/>
  <c r="K12" i="4"/>
  <c r="K14" i="4"/>
  <c r="K16" i="4"/>
  <c r="K18" i="4"/>
  <c r="K20" i="4"/>
  <c r="D23" i="4"/>
  <c r="J23" i="4" s="1"/>
  <c r="D46" i="4"/>
  <c r="J46" i="4" s="1"/>
  <c r="C67" i="4"/>
  <c r="K64" i="4"/>
  <c r="E67" i="4"/>
  <c r="E73" i="4" s="1"/>
  <c r="G67" i="4"/>
  <c r="G73" i="4" s="1"/>
  <c r="I67" i="4"/>
  <c r="I73" i="4" s="1"/>
  <c r="K66" i="4"/>
  <c r="K69" i="4"/>
  <c r="K71" i="4"/>
  <c r="C80" i="4"/>
  <c r="K78" i="4"/>
  <c r="E80" i="4"/>
  <c r="G80" i="4"/>
  <c r="I80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1" i="4"/>
  <c r="K13" i="4"/>
  <c r="K15" i="4"/>
  <c r="K17" i="4"/>
  <c r="K19" i="4"/>
  <c r="K24" i="4"/>
  <c r="C23" i="4"/>
  <c r="C22" i="4" s="1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C46" i="4"/>
  <c r="K46" i="4" s="1"/>
  <c r="K47" i="4"/>
  <c r="K48" i="4"/>
  <c r="K49" i="4"/>
  <c r="K50" i="4"/>
  <c r="K51" i="4"/>
  <c r="K54" i="4"/>
  <c r="J70" i="4"/>
  <c r="D67" i="4"/>
  <c r="D73" i="4" s="1"/>
  <c r="J71" i="4"/>
  <c r="J68" i="4"/>
  <c r="J67" i="4"/>
  <c r="J64" i="4"/>
  <c r="J66" i="4"/>
  <c r="J72" i="4"/>
  <c r="J69" i="4"/>
  <c r="J65" i="4"/>
  <c r="F67" i="4"/>
  <c r="F73" i="4" s="1"/>
  <c r="H67" i="4"/>
  <c r="H73" i="4" s="1"/>
  <c r="K65" i="4"/>
  <c r="K68" i="4"/>
  <c r="K70" i="4"/>
  <c r="K72" i="4"/>
  <c r="J78" i="4"/>
  <c r="D80" i="4"/>
  <c r="J80" i="4"/>
  <c r="J79" i="4"/>
  <c r="F80" i="4"/>
  <c r="H80" i="4"/>
  <c r="K79" i="4"/>
  <c r="J86" i="4"/>
  <c r="J91" i="4"/>
  <c r="J89" i="4"/>
  <c r="J93" i="4"/>
  <c r="J87" i="4"/>
  <c r="J88" i="4"/>
  <c r="J94" i="4"/>
  <c r="J92" i="4"/>
  <c r="J90" i="4"/>
  <c r="J97" i="4"/>
  <c r="J99" i="4"/>
  <c r="J98" i="4"/>
  <c r="J96" i="4"/>
  <c r="J95" i="4"/>
  <c r="C73" i="4"/>
  <c r="K67" i="4"/>
  <c r="K23" i="4"/>
  <c r="B1" i="4" l="1"/>
  <c r="B57" i="4"/>
  <c r="K80" i="4"/>
  <c r="J73" i="4"/>
  <c r="K73" i="4"/>
  <c r="D22" i="4"/>
  <c r="D75" i="4"/>
  <c r="J55" i="4"/>
  <c r="J53" i="4"/>
  <c r="C7" i="4"/>
  <c r="C53" i="4"/>
  <c r="J22" i="4" l="1"/>
  <c r="K22" i="4"/>
  <c r="D7" i="4"/>
  <c r="C55" i="4"/>
  <c r="K53" i="4"/>
  <c r="C21" i="4"/>
  <c r="J7" i="4" l="1"/>
  <c r="L13" i="4"/>
  <c r="L14" i="4"/>
  <c r="L16" i="4"/>
  <c r="L8" i="4"/>
  <c r="D21" i="4"/>
  <c r="J21" i="4" s="1"/>
  <c r="L17" i="4"/>
  <c r="L11" i="4"/>
  <c r="L15" i="4"/>
  <c r="L10" i="4"/>
  <c r="L9" i="4"/>
  <c r="L21" i="4"/>
  <c r="L20" i="4"/>
  <c r="L12" i="4"/>
  <c r="L19" i="4"/>
  <c r="L18" i="4"/>
  <c r="L7" i="4"/>
  <c r="K7" i="4"/>
  <c r="K55" i="4"/>
  <c r="C75" i="4"/>
  <c r="K21" i="4" l="1"/>
</calcChain>
</file>

<file path=xl/sharedStrings.xml><?xml version="1.0" encoding="utf-8"?>
<sst xmlns="http://schemas.openxmlformats.org/spreadsheetml/2006/main" count="351" uniqueCount="112">
  <si>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</si>
  <si>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</si>
  <si>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</si>
  <si>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</si>
  <si>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</si>
  <si>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</si>
  <si>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</si>
  <si>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</si>
  <si>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</si>
  <si>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</si>
  <si>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</si>
  <si>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</si>
  <si>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</si>
  <si>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</si>
  <si>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</si>
  <si>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</si>
  <si>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</si>
  <si>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</si>
  <si>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</si>
  <si>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</si>
  <si>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</si>
  <si>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</si>
  <si>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</si>
  <si>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</si>
  <si>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</si>
  <si>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</si>
  <si>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</si>
  <si>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</si>
  <si>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</si>
  <si>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</si>
  <si>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</si>
  <si>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</si>
  <si>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</si>
  <si>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</si>
  <si>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</si>
  <si>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</si>
  <si>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</si>
  <si>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</si>
  <si>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</si>
  <si>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</si>
  <si>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</si>
  <si>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</si>
  <si>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</si>
  <si>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</si>
  <si>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</si>
  <si>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</si>
  <si>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</si>
  <si>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</si>
  <si>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</si>
  <si>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</si>
  <si>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</si>
  <si>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</si>
  <si>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</si>
  <si>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</si>
  <si>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</si>
  <si>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</si>
  <si>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</si>
  <si>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</si>
  <si>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</si>
  <si>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</si>
  <si>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</si>
  <si>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</si>
  <si>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</si>
  <si>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</si>
  <si>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</si>
  <si>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</si>
  <si>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</si>
  <si>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</si>
  <si>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</si>
  <si>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</si>
  <si>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</si>
  <si>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</si>
  <si>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</si>
  <si>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</si>
  <si>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</si>
  <si>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</si>
  <si>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</si>
  <si>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</si>
  <si>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</si>
  <si>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</si>
  <si>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</si>
  <si>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</si>
  <si>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</si>
  <si>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</si>
  <si>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</si>
  <si>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</si>
  <si>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</si>
  <si>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</si>
  <si>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</si>
  <si>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</si>
  <si>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</si>
  <si>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</si>
  <si>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</si>
  <si>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</si>
  <si>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</si>
  <si>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</si>
  <si>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</si>
  <si>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niewykorzystane środki pieniężne o których mowa w art. 217 ust. 2 pkt. 8 ustawy o finansach publicznych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</si>
  <si>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</si>
  <si>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</si>
  <si>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</si>
  <si>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</si>
  <si>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</si>
  <si>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</si>
  <si>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</si>
  <si>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FINANSOWANIE DEFICYTU (E1+E2+E3+E4+E5+E6+E7)  
z tego: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</si>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</sst>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4" fontId="12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164" fontId="11" fillId="3" borderId="1" xfId="1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4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11" fillId="5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4" fontId="4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">
    <cellStyle name="Dziesiętny" xfId="1" builtinId="3"/>
    <cellStyle name="Dziesiętny 3" xfId="2"/>
    <cellStyle name="Normalny" xfId="0" builtinId="0"/>
    <cellStyle name="Normalny 2" xfId="3"/>
    <cellStyle name="Normalny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7"/>
  <sheetViews>
    <sheetView tabSelected="1" topLeftCell="B1" zoomScaleNormal="100" workbookViewId="0">
      <selection activeCell="B3" sqref="B3:B4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",$D$114," ",$C$115," rok     ",$C$117,"")</f>
        <v xml:space="preserve">Informacja z wykonania budżetów gmin za IV Kwartały 2022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25" t="s">
        <v>0</v>
      </c>
      <c r="C3" s="15" t="s">
        <v>36</v>
      </c>
      <c r="D3" s="15" t="s">
        <v>37</v>
      </c>
      <c r="E3" s="15" t="s">
        <v>38</v>
      </c>
      <c r="F3" s="15" t="s">
        <v>39</v>
      </c>
      <c r="G3" s="15" t="s">
        <v>40</v>
      </c>
      <c r="H3" s="15" t="s">
        <v>41</v>
      </c>
      <c r="I3" s="15" t="s">
        <v>42</v>
      </c>
      <c r="J3" s="17" t="s">
        <v>2</v>
      </c>
      <c r="K3" s="15" t="s">
        <v>18</v>
      </c>
      <c r="L3" s="15" t="s">
        <v>3</v>
      </c>
    </row>
    <row r="4" spans="2:13" x14ac:dyDescent="0.2">
      <c r="B4" s="125"/>
      <c r="C4" s="122" t="s">
        <v>75</v>
      </c>
      <c r="D4" s="123"/>
      <c r="E4" s="123"/>
      <c r="F4" s="123"/>
      <c r="G4" s="123"/>
      <c r="H4" s="123"/>
      <c r="I4" s="124"/>
      <c r="J4" s="127" t="s">
        <v>4</v>
      </c>
      <c r="K4" s="127"/>
      <c r="L4" s="127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178867100679.02</f>
        <v>178867100679.01999</v>
      </c>
      <c r="D6" s="45">
        <f>171813485531.74</f>
        <v>171813485531.73999</v>
      </c>
      <c r="E6" s="45">
        <f>3282205540.42</f>
        <v>3282205540.4200001</v>
      </c>
      <c r="F6" s="45">
        <f>826170163.83</f>
        <v>826170163.83000004</v>
      </c>
      <c r="G6" s="45">
        <f>100201899.65</f>
        <v>100201899.65000001</v>
      </c>
      <c r="H6" s="45">
        <f>106874506.68</f>
        <v>106874506.68000001</v>
      </c>
      <c r="I6" s="45">
        <f>3627462.49</f>
        <v>3627462.49</v>
      </c>
      <c r="J6" s="46">
        <f t="shared" ref="J6:J55" si="0">IF($D$6=0,"",100*$D6/$D$6)</f>
        <v>100</v>
      </c>
      <c r="K6" s="46">
        <f t="shared" ref="K6:K51" si="1">IF(C6=0,"",100*D6/C6)</f>
        <v>96.056505013776786</v>
      </c>
      <c r="L6" s="46"/>
    </row>
    <row r="7" spans="2:13" ht="25.5" customHeight="1" x14ac:dyDescent="0.2">
      <c r="B7" s="85" t="s">
        <v>59</v>
      </c>
      <c r="C7" s="25">
        <f>C6-C22-C46</f>
        <v>80036976712.199997</v>
      </c>
      <c r="D7" s="25">
        <f>D6-D22-D46</f>
        <v>79358222470.779999</v>
      </c>
      <c r="E7" s="25">
        <f>E6</f>
        <v>3282205540.4200001</v>
      </c>
      <c r="F7" s="25">
        <f>F6</f>
        <v>826170163.83000004</v>
      </c>
      <c r="G7" s="25">
        <f>G6</f>
        <v>100201899.65000001</v>
      </c>
      <c r="H7" s="25">
        <f>H6</f>
        <v>106874506.68000001</v>
      </c>
      <c r="I7" s="25">
        <f>I6</f>
        <v>3627462.49</v>
      </c>
      <c r="J7" s="34">
        <f t="shared" si="0"/>
        <v>46.188587714856496</v>
      </c>
      <c r="K7" s="34">
        <f t="shared" si="1"/>
        <v>99.151949174866147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35</v>
      </c>
      <c r="C8" s="24">
        <f>1522040003.08</f>
        <v>1522040003.0799999</v>
      </c>
      <c r="D8" s="24">
        <f>1512328761.43</f>
        <v>1512328761.4300001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0.88021540145672661</v>
      </c>
      <c r="K8" s="35">
        <f t="shared" si="1"/>
        <v>99.3619588427145</v>
      </c>
      <c r="L8" s="35">
        <f t="shared" si="2"/>
        <v>1.9056988858172135</v>
      </c>
    </row>
    <row r="9" spans="2:13" ht="22.5" customHeight="1" outlineLevel="1" x14ac:dyDescent="0.2">
      <c r="B9" s="54" t="s">
        <v>19</v>
      </c>
      <c r="C9" s="24">
        <f>29182466650.17</f>
        <v>29182466650.169998</v>
      </c>
      <c r="D9" s="24">
        <f>30140174281.36</f>
        <v>30140174281.360001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17.542379859229413</v>
      </c>
      <c r="K9" s="35">
        <f t="shared" si="1"/>
        <v>103.28179122988708</v>
      </c>
      <c r="L9" s="35">
        <f t="shared" si="2"/>
        <v>37.979900939008211</v>
      </c>
    </row>
    <row r="10" spans="2:13" ht="13.5" customHeight="1" outlineLevel="1" x14ac:dyDescent="0.2">
      <c r="B10" s="54" t="s">
        <v>20</v>
      </c>
      <c r="C10" s="24">
        <f>1732191112.95</f>
        <v>1732191112.95</v>
      </c>
      <c r="D10" s="24">
        <f>1670430429.33</f>
        <v>1670430429.3299999</v>
      </c>
      <c r="E10" s="24">
        <f>149328520.24</f>
        <v>149328520.24000001</v>
      </c>
      <c r="F10" s="24">
        <f>1099577.53</f>
        <v>1099577.53</v>
      </c>
      <c r="G10" s="24">
        <f>2918763.91</f>
        <v>2918763.91</v>
      </c>
      <c r="H10" s="24">
        <f>1214469.74</f>
        <v>1214469.74</v>
      </c>
      <c r="I10" s="24">
        <f>3179.25</f>
        <v>3179.25</v>
      </c>
      <c r="J10" s="35">
        <f t="shared" si="0"/>
        <v>0.97223476036251688</v>
      </c>
      <c r="K10" s="35">
        <f t="shared" si="1"/>
        <v>96.43453409047811</v>
      </c>
      <c r="L10" s="35">
        <f t="shared" si="2"/>
        <v>2.1049241998144033</v>
      </c>
    </row>
    <row r="11" spans="2:13" ht="13.5" customHeight="1" outlineLevel="1" x14ac:dyDescent="0.2">
      <c r="B11" s="54" t="s">
        <v>21</v>
      </c>
      <c r="C11" s="24">
        <f>17387685774.16</f>
        <v>17387685774.16</v>
      </c>
      <c r="D11" s="53">
        <f>17448306511.39</f>
        <v>17448306511.389999</v>
      </c>
      <c r="E11" s="24">
        <f>2149654521.13</f>
        <v>2149654521.1300001</v>
      </c>
      <c r="F11" s="24">
        <f>650241194.6</f>
        <v>650241194.60000002</v>
      </c>
      <c r="G11" s="24">
        <f>73799076.42</f>
        <v>73799076.420000002</v>
      </c>
      <c r="H11" s="24">
        <f>73029178.67</f>
        <v>73029178.670000002</v>
      </c>
      <c r="I11" s="24">
        <f>3058879.07</f>
        <v>3058879.07</v>
      </c>
      <c r="J11" s="35">
        <f t="shared" si="0"/>
        <v>10.15537660352434</v>
      </c>
      <c r="K11" s="35">
        <f t="shared" si="1"/>
        <v>100.34864178026548</v>
      </c>
      <c r="L11" s="35">
        <f t="shared" si="2"/>
        <v>21.986765792057064</v>
      </c>
    </row>
    <row r="12" spans="2:13" ht="13.5" customHeight="1" outlineLevel="1" x14ac:dyDescent="0.2">
      <c r="B12" s="54" t="s">
        <v>22</v>
      </c>
      <c r="C12" s="24">
        <f>323122756.65</f>
        <v>323122756.64999998</v>
      </c>
      <c r="D12" s="53">
        <f>325071941.34</f>
        <v>325071941.33999997</v>
      </c>
      <c r="E12" s="24">
        <f>1013166.14</f>
        <v>1013166.14</v>
      </c>
      <c r="F12" s="24">
        <f>607559.89</f>
        <v>607559.89</v>
      </c>
      <c r="G12" s="24">
        <f>123719.8</f>
        <v>123719.8</v>
      </c>
      <c r="H12" s="24">
        <f>12395.03</f>
        <v>12395.03</v>
      </c>
      <c r="I12" s="24">
        <f>57</f>
        <v>57</v>
      </c>
      <c r="J12" s="35">
        <f t="shared" si="0"/>
        <v>0.18920048116941773</v>
      </c>
      <c r="K12" s="35">
        <f t="shared" si="1"/>
        <v>100.60323349249936</v>
      </c>
      <c r="L12" s="35">
        <f t="shared" si="2"/>
        <v>0.40962603649507484</v>
      </c>
    </row>
    <row r="13" spans="2:13" ht="13.5" customHeight="1" outlineLevel="1" x14ac:dyDescent="0.2">
      <c r="B13" s="54" t="s">
        <v>23</v>
      </c>
      <c r="C13" s="24">
        <f>959429076.11</f>
        <v>959429076.11000001</v>
      </c>
      <c r="D13" s="53">
        <f>950813888.67</f>
        <v>950813888.66999996</v>
      </c>
      <c r="E13" s="24">
        <f>956518614.69</f>
        <v>956518614.69000006</v>
      </c>
      <c r="F13" s="24">
        <f>1850963.26</f>
        <v>1850963.26</v>
      </c>
      <c r="G13" s="24">
        <f>2896598.47</f>
        <v>2896598.47</v>
      </c>
      <c r="H13" s="24">
        <f>2873392.93</f>
        <v>2873392.93</v>
      </c>
      <c r="I13" s="24">
        <f>44836.13</f>
        <v>44836.13</v>
      </c>
      <c r="J13" s="35">
        <f t="shared" si="0"/>
        <v>0.55339887071573979</v>
      </c>
      <c r="K13" s="35">
        <f t="shared" si="1"/>
        <v>99.102050620048928</v>
      </c>
      <c r="L13" s="35">
        <f t="shared" si="2"/>
        <v>1.1981290143187031</v>
      </c>
    </row>
    <row r="14" spans="2:13" ht="33.950000000000003" customHeight="1" outlineLevel="1" x14ac:dyDescent="0.2">
      <c r="B14" s="54" t="s">
        <v>44</v>
      </c>
      <c r="C14" s="24">
        <f>85896240.29</f>
        <v>85896240.290000007</v>
      </c>
      <c r="D14" s="53">
        <f>99467580.39</f>
        <v>99467580.390000001</v>
      </c>
      <c r="E14" s="24">
        <f>0</f>
        <v>0</v>
      </c>
      <c r="F14" s="24">
        <f>0</f>
        <v>0</v>
      </c>
      <c r="G14" s="24">
        <f>21501.15</f>
        <v>21501.15</v>
      </c>
      <c r="H14" s="24">
        <f>77907.07</f>
        <v>77907.070000000007</v>
      </c>
      <c r="I14" s="24">
        <f>0</f>
        <v>0</v>
      </c>
      <c r="J14" s="35">
        <f t="shared" si="0"/>
        <v>5.7892766730248797E-2</v>
      </c>
      <c r="K14" s="35">
        <f t="shared" si="1"/>
        <v>115.79969048025954</v>
      </c>
      <c r="L14" s="35">
        <f t="shared" si="2"/>
        <v>0.12533998027315235</v>
      </c>
    </row>
    <row r="15" spans="2:13" ht="13.5" customHeight="1" outlineLevel="1" x14ac:dyDescent="0.2">
      <c r="B15" s="54" t="s">
        <v>28</v>
      </c>
      <c r="C15" s="24">
        <f>207992376.07</f>
        <v>207992376.06999999</v>
      </c>
      <c r="D15" s="53">
        <f>246742942.8</f>
        <v>246742942.80000001</v>
      </c>
      <c r="E15" s="24">
        <f>0</f>
        <v>0</v>
      </c>
      <c r="F15" s="24">
        <f>0</f>
        <v>0</v>
      </c>
      <c r="G15" s="24">
        <f>4802254.78</f>
        <v>4802254.78</v>
      </c>
      <c r="H15" s="24">
        <f>7789417.31</f>
        <v>7789417.3099999996</v>
      </c>
      <c r="I15" s="24">
        <f>0</f>
        <v>0</v>
      </c>
      <c r="J15" s="35">
        <f t="shared" si="0"/>
        <v>0.14361092904690412</v>
      </c>
      <c r="K15" s="35">
        <f t="shared" si="1"/>
        <v>118.63076304150613</v>
      </c>
      <c r="L15" s="35">
        <f t="shared" si="2"/>
        <v>0.31092297069891112</v>
      </c>
    </row>
    <row r="16" spans="2:13" ht="22.5" customHeight="1" outlineLevel="1" x14ac:dyDescent="0.2">
      <c r="B16" s="54" t="s">
        <v>29</v>
      </c>
      <c r="C16" s="24">
        <f>1843038010.71</f>
        <v>1843038010.71</v>
      </c>
      <c r="D16" s="53">
        <f>1947537506.7</f>
        <v>1947537506.7</v>
      </c>
      <c r="E16" s="24">
        <f>0</f>
        <v>0</v>
      </c>
      <c r="F16" s="24">
        <f>0</f>
        <v>0</v>
      </c>
      <c r="G16" s="24">
        <f>209793.87</f>
        <v>209793.87</v>
      </c>
      <c r="H16" s="24">
        <f>5595924.16</f>
        <v>5595924.1600000001</v>
      </c>
      <c r="I16" s="24">
        <f>0</f>
        <v>0</v>
      </c>
      <c r="J16" s="35">
        <f t="shared" si="0"/>
        <v>1.133518420089453</v>
      </c>
      <c r="K16" s="35">
        <f t="shared" si="1"/>
        <v>105.66995880620732</v>
      </c>
      <c r="L16" s="35">
        <f t="shared" si="2"/>
        <v>2.4541092857984448</v>
      </c>
    </row>
    <row r="17" spans="2:12" ht="13.5" customHeight="1" outlineLevel="1" x14ac:dyDescent="0.2">
      <c r="B17" s="54" t="s">
        <v>30</v>
      </c>
      <c r="C17" s="24">
        <f>199125019.82</f>
        <v>199125019.81999999</v>
      </c>
      <c r="D17" s="53">
        <f>190231690.76</f>
        <v>190231690.75999999</v>
      </c>
      <c r="E17" s="24">
        <f>0</f>
        <v>0</v>
      </c>
      <c r="F17" s="24">
        <f>0</f>
        <v>0</v>
      </c>
      <c r="G17" s="24">
        <f>1981</f>
        <v>1981</v>
      </c>
      <c r="H17" s="24">
        <f>0</f>
        <v>0</v>
      </c>
      <c r="I17" s="24">
        <f>0</f>
        <v>0</v>
      </c>
      <c r="J17" s="35">
        <f t="shared" si="0"/>
        <v>0.11071988334981861</v>
      </c>
      <c r="K17" s="35">
        <f t="shared" si="1"/>
        <v>95.53379627128767</v>
      </c>
      <c r="L17" s="35">
        <f t="shared" si="2"/>
        <v>0.23971264077902454</v>
      </c>
    </row>
    <row r="18" spans="2:12" ht="13.5" customHeight="1" outlineLevel="1" x14ac:dyDescent="0.2">
      <c r="B18" s="54" t="s">
        <v>31</v>
      </c>
      <c r="C18" s="24">
        <f>426790188.11</f>
        <v>426790188.11000001</v>
      </c>
      <c r="D18" s="53">
        <f>407913428.47</f>
        <v>407913428.47000003</v>
      </c>
      <c r="E18" s="24">
        <f>0</f>
        <v>0</v>
      </c>
      <c r="F18" s="24">
        <f>0</f>
        <v>0</v>
      </c>
      <c r="G18" s="24">
        <f>30546.23</f>
        <v>30546.23</v>
      </c>
      <c r="H18" s="24">
        <f>559478.86</f>
        <v>559478.86</v>
      </c>
      <c r="I18" s="24">
        <f>0</f>
        <v>0</v>
      </c>
      <c r="J18" s="35">
        <f t="shared" si="0"/>
        <v>0.23741642118926926</v>
      </c>
      <c r="K18" s="35">
        <f t="shared" si="1"/>
        <v>95.577039921279834</v>
      </c>
      <c r="L18" s="35">
        <f t="shared" si="2"/>
        <v>0.51401532918683412</v>
      </c>
    </row>
    <row r="19" spans="2:12" ht="13.5" customHeight="1" outlineLevel="1" x14ac:dyDescent="0.2">
      <c r="B19" s="54" t="s">
        <v>32</v>
      </c>
      <c r="C19" s="24">
        <f>112806114.21</f>
        <v>112806114.20999999</v>
      </c>
      <c r="D19" s="53">
        <f>102238758.27</f>
        <v>102238758.27</v>
      </c>
      <c r="E19" s="24">
        <f>2450641.25</f>
        <v>2450641.25</v>
      </c>
      <c r="F19" s="24">
        <f>6102</f>
        <v>6102</v>
      </c>
      <c r="G19" s="24">
        <f>18412</f>
        <v>18412</v>
      </c>
      <c r="H19" s="24">
        <f>104054.13</f>
        <v>104054.13</v>
      </c>
      <c r="I19" s="24">
        <f>0</f>
        <v>0</v>
      </c>
      <c r="J19" s="35">
        <f t="shared" si="0"/>
        <v>5.9505665666222056E-2</v>
      </c>
      <c r="K19" s="35">
        <f t="shared" si="1"/>
        <v>90.632284416492013</v>
      </c>
      <c r="L19" s="35">
        <f t="shared" si="2"/>
        <v>0.12883196609859135</v>
      </c>
    </row>
    <row r="20" spans="2:12" ht="13.5" customHeight="1" outlineLevel="1" x14ac:dyDescent="0.2">
      <c r="B20" s="54" t="s">
        <v>24</v>
      </c>
      <c r="C20" s="24">
        <f>5015044026.1</f>
        <v>5015044026.1000004</v>
      </c>
      <c r="D20" s="53">
        <f>4515467843.43</f>
        <v>4515467843.4300003</v>
      </c>
      <c r="E20" s="24">
        <f>0</f>
        <v>0</v>
      </c>
      <c r="F20" s="24">
        <f>96746.71</f>
        <v>96746.71</v>
      </c>
      <c r="G20" s="24">
        <f>0</f>
        <v>0</v>
      </c>
      <c r="H20" s="24">
        <f>0</f>
        <v>0</v>
      </c>
      <c r="I20" s="24">
        <f>4840.65</f>
        <v>4840.6499999999996</v>
      </c>
      <c r="J20" s="35">
        <f t="shared" si="0"/>
        <v>2.6281219017559798</v>
      </c>
      <c r="K20" s="35">
        <f t="shared" si="1"/>
        <v>90.038448714108284</v>
      </c>
      <c r="L20" s="35">
        <f t="shared" si="2"/>
        <v>5.6899810792670067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21039349363.769997</v>
      </c>
      <c r="D21" s="24">
        <f t="shared" ref="D21:I21" si="3">D7-D8-D9-D10-D11-D12-D13-D14-D15-D16-D17-D18-D19-D20</f>
        <v>19801496906.440006</v>
      </c>
      <c r="E21" s="24">
        <f t="shared" si="3"/>
        <v>23240076.970000148</v>
      </c>
      <c r="F21" s="24">
        <f t="shared" si="3"/>
        <v>172268019.84000006</v>
      </c>
      <c r="G21" s="24">
        <f t="shared" si="3"/>
        <v>15379252.020000009</v>
      </c>
      <c r="H21" s="24">
        <f t="shared" si="3"/>
        <v>15618288.780000011</v>
      </c>
      <c r="I21" s="24">
        <f t="shared" si="3"/>
        <v>515670.39000000036</v>
      </c>
      <c r="J21" s="35">
        <f t="shared" si="0"/>
        <v>11.524995750570449</v>
      </c>
      <c r="K21" s="35">
        <f t="shared" si="1"/>
        <v>94.116488889805751</v>
      </c>
      <c r="L21" s="35">
        <f t="shared" si="2"/>
        <v>24.952041880387373</v>
      </c>
    </row>
    <row r="22" spans="2:12" ht="27" customHeight="1" x14ac:dyDescent="0.2">
      <c r="B22" s="85" t="s">
        <v>101</v>
      </c>
      <c r="C22" s="45">
        <f>C23+C42+C44</f>
        <v>63975015630.369987</v>
      </c>
      <c r="D22" s="45">
        <f>D23+D42+D44</f>
        <v>57552658961.959999</v>
      </c>
      <c r="E22" s="41" t="s">
        <v>58</v>
      </c>
      <c r="F22" s="41" t="s">
        <v>58</v>
      </c>
      <c r="G22" s="41" t="s">
        <v>58</v>
      </c>
      <c r="H22" s="41" t="s">
        <v>58</v>
      </c>
      <c r="I22" s="41" t="s">
        <v>58</v>
      </c>
      <c r="J22" s="46">
        <f t="shared" si="0"/>
        <v>33.497172113028348</v>
      </c>
      <c r="K22" s="46">
        <f t="shared" si="1"/>
        <v>89.961148731066217</v>
      </c>
      <c r="L22" s="29"/>
    </row>
    <row r="23" spans="2:12" ht="27" customHeight="1" outlineLevel="1" x14ac:dyDescent="0.2">
      <c r="B23" s="93" t="s">
        <v>60</v>
      </c>
      <c r="C23" s="45">
        <f>C24+C26+C28+C30+C32+C34+C36+C38+C40</f>
        <v>56460694372.449997</v>
      </c>
      <c r="D23" s="45">
        <f>D24+D26+D28+D30+D32+D34+D36+D38+D40</f>
        <v>51838074853.909996</v>
      </c>
      <c r="E23" s="41" t="s">
        <v>58</v>
      </c>
      <c r="F23" s="41" t="s">
        <v>58</v>
      </c>
      <c r="G23" s="41" t="s">
        <v>58</v>
      </c>
      <c r="H23" s="41" t="s">
        <v>58</v>
      </c>
      <c r="I23" s="41" t="s">
        <v>58</v>
      </c>
      <c r="J23" s="46">
        <f t="shared" si="0"/>
        <v>30.171132780106301</v>
      </c>
      <c r="K23" s="46">
        <f t="shared" si="1"/>
        <v>91.812676818945391</v>
      </c>
      <c r="L23" s="29"/>
    </row>
    <row r="24" spans="2:12" ht="22.5" customHeight="1" outlineLevel="1" x14ac:dyDescent="0.2">
      <c r="B24" s="83" t="s">
        <v>9</v>
      </c>
      <c r="C24" s="24">
        <f>27070928306.02</f>
        <v>27070928306.02</v>
      </c>
      <c r="D24" s="24">
        <f>26725203279.8</f>
        <v>26725203279.799999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15.55477627212383</v>
      </c>
      <c r="K24" s="35">
        <f t="shared" si="1"/>
        <v>98.722891870157554</v>
      </c>
      <c r="L24" s="29"/>
    </row>
    <row r="25" spans="2:12" ht="13.5" customHeight="1" outlineLevel="1" x14ac:dyDescent="0.2">
      <c r="B25" s="94" t="s">
        <v>6</v>
      </c>
      <c r="C25" s="24">
        <f>20545149.11</f>
        <v>20545149.109999999</v>
      </c>
      <c r="D25" s="24">
        <f>13218040.4</f>
        <v>13218040.4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7.6932496649444685E-3</v>
      </c>
      <c r="K25" s="35">
        <f t="shared" si="1"/>
        <v>64.336551315494447</v>
      </c>
      <c r="L25" s="29"/>
    </row>
    <row r="26" spans="2:12" ht="13.5" customHeight="1" outlineLevel="1" x14ac:dyDescent="0.2">
      <c r="B26" s="83" t="s">
        <v>7</v>
      </c>
      <c r="C26" s="24">
        <f>3809246634.17</f>
        <v>3809246634.1700001</v>
      </c>
      <c r="D26" s="24">
        <f>3659402973.89</f>
        <v>3659402973.8899999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2.1298694701202483</v>
      </c>
      <c r="K26" s="35">
        <f t="shared" si="1"/>
        <v>96.066317708707516</v>
      </c>
      <c r="L26" s="29"/>
    </row>
    <row r="27" spans="2:12" ht="13.5" customHeight="1" outlineLevel="1" x14ac:dyDescent="0.2">
      <c r="B27" s="94" t="s">
        <v>6</v>
      </c>
      <c r="C27" s="24">
        <f>380675707.03</f>
        <v>380675707.02999997</v>
      </c>
      <c r="D27" s="24">
        <f>340421371.74</f>
        <v>340421371.74000001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0.19813425627589182</v>
      </c>
      <c r="K27" s="35">
        <f t="shared" si="1"/>
        <v>89.425557095812351</v>
      </c>
      <c r="L27" s="29"/>
    </row>
    <row r="28" spans="2:12" ht="35.1" customHeight="1" outlineLevel="1" x14ac:dyDescent="0.2">
      <c r="B28" s="83" t="s">
        <v>10</v>
      </c>
      <c r="C28" s="24">
        <f>138930834.66</f>
        <v>138930834.66</v>
      </c>
      <c r="D28" s="24">
        <f>133616703.93</f>
        <v>133616703.93000001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7.7768461256969429E-2</v>
      </c>
      <c r="K28" s="35">
        <f t="shared" si="1"/>
        <v>96.174981066654453</v>
      </c>
      <c r="L28" s="29"/>
    </row>
    <row r="29" spans="2:12" ht="13.5" customHeight="1" outlineLevel="1" x14ac:dyDescent="0.2">
      <c r="B29" s="94" t="s">
        <v>6</v>
      </c>
      <c r="C29" s="24">
        <f>22689501.49</f>
        <v>22689501.489999998</v>
      </c>
      <c r="D29" s="24">
        <f>20672121.79</f>
        <v>20672121.789999999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1.2031722496067477E-2</v>
      </c>
      <c r="K29" s="35">
        <f t="shared" si="1"/>
        <v>91.108752649814178</v>
      </c>
      <c r="L29" s="29"/>
    </row>
    <row r="30" spans="2:12" ht="24" customHeight="1" outlineLevel="1" x14ac:dyDescent="0.2">
      <c r="B30" s="83" t="s">
        <v>11</v>
      </c>
      <c r="C30" s="24">
        <f>681098968.36</f>
        <v>681098968.36000001</v>
      </c>
      <c r="D30" s="24">
        <f>643943403.53</f>
        <v>643943403.52999997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0.37479211921990896</v>
      </c>
      <c r="K30" s="35">
        <f t="shared" si="1"/>
        <v>94.544762720832495</v>
      </c>
      <c r="L30" s="29"/>
    </row>
    <row r="31" spans="2:12" ht="13.5" customHeight="1" outlineLevel="1" x14ac:dyDescent="0.2">
      <c r="B31" s="94" t="s">
        <v>6</v>
      </c>
      <c r="C31" s="24">
        <f>262605096.42</f>
        <v>262605096.41999999</v>
      </c>
      <c r="D31" s="24">
        <f>227443814</f>
        <v>227443814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0.13237832484225059</v>
      </c>
      <c r="K31" s="35">
        <f t="shared" si="1"/>
        <v>86.610586428313468</v>
      </c>
      <c r="L31" s="29"/>
    </row>
    <row r="32" spans="2:12" ht="35.1" customHeight="1" outlineLevel="1" x14ac:dyDescent="0.2">
      <c r="B32" s="83" t="s">
        <v>76</v>
      </c>
      <c r="C32" s="24">
        <f>601985093.85</f>
        <v>601985093.85000002</v>
      </c>
      <c r="D32" s="24">
        <f>539696409.73</f>
        <v>539696409.73000002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0.31411760727611748</v>
      </c>
      <c r="K32" s="35">
        <f t="shared" si="1"/>
        <v>89.652786297143621</v>
      </c>
      <c r="L32" s="29"/>
    </row>
    <row r="33" spans="2:12" ht="13.5" customHeight="1" outlineLevel="1" x14ac:dyDescent="0.2">
      <c r="B33" s="94" t="s">
        <v>6</v>
      </c>
      <c r="C33" s="24">
        <f>510903229.75</f>
        <v>510903229.75</v>
      </c>
      <c r="D33" s="24">
        <f>455211272.8</f>
        <v>455211272.80000001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0.2649450195316051</v>
      </c>
      <c r="K33" s="35">
        <f t="shared" si="1"/>
        <v>89.099313978255395</v>
      </c>
      <c r="L33" s="29"/>
    </row>
    <row r="34" spans="2:12" ht="13.5" customHeight="1" outlineLevel="1" x14ac:dyDescent="0.2">
      <c r="B34" s="83" t="s">
        <v>8</v>
      </c>
      <c r="C34" s="24">
        <f>362963334.81</f>
        <v>362963334.81</v>
      </c>
      <c r="D34" s="24">
        <f>329620317.14</f>
        <v>329620317.13999999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0.19184775637364482</v>
      </c>
      <c r="K34" s="35">
        <f t="shared" si="1"/>
        <v>90.813667808222547</v>
      </c>
      <c r="L34" s="29"/>
    </row>
    <row r="35" spans="2:12" ht="13.5" customHeight="1" outlineLevel="1" x14ac:dyDescent="0.2">
      <c r="B35" s="95" t="s">
        <v>6</v>
      </c>
      <c r="C35" s="22">
        <f>320018107.03</f>
        <v>320018107.02999997</v>
      </c>
      <c r="D35" s="22">
        <f>289284242.08</f>
        <v>289284242.07999998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0.16837109216701096</v>
      </c>
      <c r="K35" s="35">
        <f t="shared" si="1"/>
        <v>90.396210628444578</v>
      </c>
      <c r="L35" s="29"/>
    </row>
    <row r="36" spans="2:12" ht="71.099999999999994" customHeight="1" outlineLevel="1" x14ac:dyDescent="0.2">
      <c r="B36" s="83" t="s">
        <v>94</v>
      </c>
      <c r="C36" s="22">
        <f>8498262.82</f>
        <v>8498262.8200000003</v>
      </c>
      <c r="D36" s="22">
        <f>6785457.14</f>
        <v>6785457.1399999997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3.9493158054502578E-3</v>
      </c>
      <c r="K36" s="35">
        <f>IF(C36=0,"",100*D36/C36)</f>
        <v>79.845225826988482</v>
      </c>
      <c r="L36" s="29"/>
    </row>
    <row r="37" spans="2:12" ht="13.5" customHeight="1" outlineLevel="1" x14ac:dyDescent="0.2">
      <c r="B37" s="95" t="s">
        <v>95</v>
      </c>
      <c r="C37" s="22">
        <f>7604269.82</f>
        <v>7604269.8200000003</v>
      </c>
      <c r="D37" s="22">
        <f>5997675.43</f>
        <v>5997675.4299999997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3.490805981520012E-3</v>
      </c>
      <c r="K37" s="35">
        <f>IF(C37=0,"",100*D37/C37)</f>
        <v>78.872469967142749</v>
      </c>
      <c r="L37" s="29"/>
    </row>
    <row r="38" spans="2:12" ht="48" customHeight="1" outlineLevel="1" x14ac:dyDescent="0.2">
      <c r="B38" s="96" t="s">
        <v>92</v>
      </c>
      <c r="C38" s="22">
        <f>20321465404.62</f>
        <v>20321465404.619999</v>
      </c>
      <c r="D38" s="22">
        <f>16464890137.75</f>
        <v>16464890137.75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9.5830022229008076</v>
      </c>
      <c r="K38" s="35">
        <f t="shared" si="1"/>
        <v>81.022159622439318</v>
      </c>
      <c r="L38" s="29"/>
    </row>
    <row r="39" spans="2:12" ht="13.5" customHeight="1" outlineLevel="1" x14ac:dyDescent="0.2">
      <c r="B39" s="95" t="s">
        <v>6</v>
      </c>
      <c r="C39" s="22">
        <f>5671695594.55</f>
        <v>5671695594.5500002</v>
      </c>
      <c r="D39" s="22">
        <f>3642257043.06</f>
        <v>3642257043.0599999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2.1198900841733677</v>
      </c>
      <c r="K39" s="35">
        <f t="shared" si="1"/>
        <v>64.218133401938715</v>
      </c>
      <c r="L39" s="29"/>
    </row>
    <row r="40" spans="2:12" ht="22.5" outlineLevel="1" x14ac:dyDescent="0.2">
      <c r="B40" s="96" t="s">
        <v>108</v>
      </c>
      <c r="C40" s="22">
        <f>3465577533.14</f>
        <v>3465577533.1399999</v>
      </c>
      <c r="D40" s="22">
        <f>3334916171</f>
        <v>3334916171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1.9410095550293249</v>
      </c>
      <c r="K40" s="35">
        <f t="shared" si="1"/>
        <v>96.229737730853373</v>
      </c>
      <c r="L40" s="29"/>
    </row>
    <row r="41" spans="2:12" ht="13.5" customHeight="1" outlineLevel="1" x14ac:dyDescent="0.2">
      <c r="B41" s="95" t="s">
        <v>6</v>
      </c>
      <c r="C41" s="22">
        <f>519704.61</f>
        <v>519704.61</v>
      </c>
      <c r="D41" s="22">
        <f>345374.61</f>
        <v>345374.61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2.0101717215683699E-4</v>
      </c>
      <c r="K41" s="35">
        <f t="shared" si="1"/>
        <v>66.455945041549668</v>
      </c>
      <c r="L41" s="29"/>
    </row>
    <row r="42" spans="2:12" outlineLevel="1" x14ac:dyDescent="0.2">
      <c r="B42" s="93" t="s">
        <v>88</v>
      </c>
      <c r="C42" s="45">
        <f>1011619126.68</f>
        <v>1011619126.6799999</v>
      </c>
      <c r="D42" s="45">
        <f>724911889.410001</f>
        <v>724911889.41000104</v>
      </c>
      <c r="E42" s="41" t="s">
        <v>58</v>
      </c>
      <c r="F42" s="41" t="s">
        <v>58</v>
      </c>
      <c r="G42" s="41" t="s">
        <v>58</v>
      </c>
      <c r="H42" s="41" t="s">
        <v>58</v>
      </c>
      <c r="I42" s="41" t="s">
        <v>58</v>
      </c>
      <c r="J42" s="46">
        <f t="shared" si="0"/>
        <v>0.42191792289557178</v>
      </c>
      <c r="K42" s="46">
        <f t="shared" si="1"/>
        <v>71.65857883579821</v>
      </c>
      <c r="L42" s="29"/>
    </row>
    <row r="43" spans="2:12" ht="13.5" customHeight="1" outlineLevel="1" x14ac:dyDescent="0.2">
      <c r="B43" s="95" t="s">
        <v>89</v>
      </c>
      <c r="C43" s="22">
        <f>743364167.850001</f>
        <v>743364167.85000098</v>
      </c>
      <c r="D43" s="22">
        <f>483852660.97</f>
        <v>483852660.97000003</v>
      </c>
      <c r="E43" s="24" t="s">
        <v>58</v>
      </c>
      <c r="F43" s="24" t="s">
        <v>58</v>
      </c>
      <c r="G43" s="24" t="s">
        <v>58</v>
      </c>
      <c r="H43" s="24" t="s">
        <v>58</v>
      </c>
      <c r="I43" s="24" t="s">
        <v>58</v>
      </c>
      <c r="J43" s="35">
        <f t="shared" si="0"/>
        <v>0.28161506617046972</v>
      </c>
      <c r="K43" s="35">
        <f t="shared" si="1"/>
        <v>65.089586221168759</v>
      </c>
      <c r="L43" s="29"/>
    </row>
    <row r="44" spans="2:12" ht="13.5" customHeight="1" outlineLevel="1" x14ac:dyDescent="0.2">
      <c r="B44" s="93" t="s">
        <v>90</v>
      </c>
      <c r="C44" s="41">
        <f>6502702131.23999</f>
        <v>6502702131.2399902</v>
      </c>
      <c r="D44" s="41">
        <f>4989672218.64</f>
        <v>4989672218.6400003</v>
      </c>
      <c r="E44" s="41" t="s">
        <v>58</v>
      </c>
      <c r="F44" s="41" t="s">
        <v>58</v>
      </c>
      <c r="G44" s="41" t="s">
        <v>58</v>
      </c>
      <c r="H44" s="41" t="s">
        <v>58</v>
      </c>
      <c r="I44" s="41" t="s">
        <v>58</v>
      </c>
      <c r="J44" s="55">
        <f t="shared" si="0"/>
        <v>2.9041214100264749</v>
      </c>
      <c r="K44" s="55">
        <f t="shared" si="1"/>
        <v>76.732289407334846</v>
      </c>
      <c r="L44" s="29"/>
    </row>
    <row r="45" spans="2:12" ht="13.5" customHeight="1" outlineLevel="1" x14ac:dyDescent="0.2">
      <c r="B45" s="95" t="s">
        <v>91</v>
      </c>
      <c r="C45" s="22">
        <f>5033816696.72</f>
        <v>5033816696.7200003</v>
      </c>
      <c r="D45" s="22">
        <f>3635123562.32</f>
        <v>3635123562.3200002</v>
      </c>
      <c r="E45" s="24" t="s">
        <v>58</v>
      </c>
      <c r="F45" s="24" t="s">
        <v>58</v>
      </c>
      <c r="G45" s="24" t="s">
        <v>58</v>
      </c>
      <c r="H45" s="24" t="s">
        <v>58</v>
      </c>
      <c r="I45" s="24" t="s">
        <v>58</v>
      </c>
      <c r="J45" s="35">
        <f t="shared" si="0"/>
        <v>2.1157382094134078</v>
      </c>
      <c r="K45" s="35">
        <f t="shared" si="1"/>
        <v>72.214063032700835</v>
      </c>
      <c r="L45" s="29"/>
    </row>
    <row r="46" spans="2:12" s="5" customFormat="1" ht="25.5" customHeight="1" x14ac:dyDescent="0.2">
      <c r="B46" s="85" t="s">
        <v>61</v>
      </c>
      <c r="C46" s="25">
        <f>C47+C48+C49+C50+C51</f>
        <v>34855108336.449997</v>
      </c>
      <c r="D46" s="25">
        <f>D47+D48+D49+D50+D51</f>
        <v>34902604099</v>
      </c>
      <c r="E46" s="23" t="s">
        <v>58</v>
      </c>
      <c r="F46" s="23" t="s">
        <v>58</v>
      </c>
      <c r="G46" s="23" t="s">
        <v>58</v>
      </c>
      <c r="H46" s="23" t="s">
        <v>58</v>
      </c>
      <c r="I46" s="23" t="s">
        <v>58</v>
      </c>
      <c r="J46" s="34">
        <f t="shared" si="0"/>
        <v>20.314240172115163</v>
      </c>
      <c r="K46" s="34">
        <f t="shared" si="1"/>
        <v>100.13626628869299</v>
      </c>
      <c r="L46" s="30"/>
    </row>
    <row r="47" spans="2:12" ht="13.5" customHeight="1" outlineLevel="1" x14ac:dyDescent="0.2">
      <c r="B47" s="32" t="s">
        <v>48</v>
      </c>
      <c r="C47" s="22">
        <f>9282934230</f>
        <v>9282934230</v>
      </c>
      <c r="D47" s="22">
        <f>9282887031</f>
        <v>9282887031</v>
      </c>
      <c r="E47" s="24" t="s">
        <v>58</v>
      </c>
      <c r="F47" s="24" t="s">
        <v>58</v>
      </c>
      <c r="G47" s="24" t="s">
        <v>58</v>
      </c>
      <c r="H47" s="24" t="s">
        <v>58</v>
      </c>
      <c r="I47" s="24" t="s">
        <v>58</v>
      </c>
      <c r="J47" s="35">
        <f t="shared" si="0"/>
        <v>5.402886160111759</v>
      </c>
      <c r="K47" s="35">
        <f t="shared" si="1"/>
        <v>99.999491550852014</v>
      </c>
      <c r="L47" s="29"/>
    </row>
    <row r="48" spans="2:12" ht="13.5" customHeight="1" outlineLevel="1" x14ac:dyDescent="0.2">
      <c r="B48" s="54" t="s">
        <v>47</v>
      </c>
      <c r="C48" s="24">
        <f>24929111293.45</f>
        <v>24929111293.450001</v>
      </c>
      <c r="D48" s="24">
        <f>24928789599</f>
        <v>24928789599</v>
      </c>
      <c r="E48" s="24" t="s">
        <v>58</v>
      </c>
      <c r="F48" s="24" t="s">
        <v>58</v>
      </c>
      <c r="G48" s="24" t="s">
        <v>58</v>
      </c>
      <c r="H48" s="24" t="s">
        <v>58</v>
      </c>
      <c r="I48" s="24" t="s">
        <v>58</v>
      </c>
      <c r="J48" s="35">
        <f t="shared" si="0"/>
        <v>14.50921592204983</v>
      </c>
      <c r="K48" s="35">
        <f t="shared" si="1"/>
        <v>99.998709563103901</v>
      </c>
      <c r="L48" s="29"/>
    </row>
    <row r="49" spans="1:26" ht="13.5" customHeight="1" outlineLevel="1" x14ac:dyDescent="0.2">
      <c r="B49" s="54" t="s">
        <v>46</v>
      </c>
      <c r="C49" s="24">
        <f>0</f>
        <v>0</v>
      </c>
      <c r="D49" s="24">
        <f>0</f>
        <v>0</v>
      </c>
      <c r="E49" s="24" t="s">
        <v>58</v>
      </c>
      <c r="F49" s="24" t="s">
        <v>58</v>
      </c>
      <c r="G49" s="24" t="s">
        <v>58</v>
      </c>
      <c r="H49" s="24" t="s">
        <v>58</v>
      </c>
      <c r="I49" s="24" t="s">
        <v>58</v>
      </c>
      <c r="J49" s="35">
        <f t="shared" si="0"/>
        <v>0</v>
      </c>
      <c r="K49" s="35" t="str">
        <f t="shared" si="1"/>
        <v/>
      </c>
      <c r="L49" s="29"/>
    </row>
    <row r="50" spans="1:26" ht="13.5" customHeight="1" outlineLevel="1" x14ac:dyDescent="0.2">
      <c r="B50" s="54" t="s">
        <v>45</v>
      </c>
      <c r="C50" s="24">
        <f>340944397</f>
        <v>340944397</v>
      </c>
      <c r="D50" s="24">
        <f>340944397</f>
        <v>340944397</v>
      </c>
      <c r="E50" s="24" t="s">
        <v>58</v>
      </c>
      <c r="F50" s="24" t="s">
        <v>58</v>
      </c>
      <c r="G50" s="24" t="s">
        <v>58</v>
      </c>
      <c r="H50" s="24" t="s">
        <v>58</v>
      </c>
      <c r="I50" s="24" t="s">
        <v>58</v>
      </c>
      <c r="J50" s="35">
        <f t="shared" si="0"/>
        <v>0.19843867083239841</v>
      </c>
      <c r="K50" s="35">
        <f t="shared" si="1"/>
        <v>100</v>
      </c>
      <c r="L50" s="29"/>
    </row>
    <row r="51" spans="1:26" s="5" customFormat="1" ht="13.5" customHeight="1" outlineLevel="1" x14ac:dyDescent="0.2">
      <c r="B51" s="54" t="s">
        <v>43</v>
      </c>
      <c r="C51" s="24">
        <f>302118416</f>
        <v>302118416</v>
      </c>
      <c r="D51" s="24">
        <f>349983072</f>
        <v>349983072</v>
      </c>
      <c r="E51" s="24" t="s">
        <v>58</v>
      </c>
      <c r="F51" s="24" t="s">
        <v>58</v>
      </c>
      <c r="G51" s="24" t="s">
        <v>58</v>
      </c>
      <c r="H51" s="24" t="s">
        <v>58</v>
      </c>
      <c r="I51" s="24" t="s">
        <v>58</v>
      </c>
      <c r="J51" s="35">
        <f t="shared" si="0"/>
        <v>0.20369941912117592</v>
      </c>
      <c r="K51" s="35">
        <f t="shared" si="1"/>
        <v>115.8430117017428</v>
      </c>
      <c r="L51" s="30"/>
    </row>
    <row r="52" spans="1:26" s="5" customFormat="1" x14ac:dyDescent="0.2">
      <c r="A52" s="2"/>
      <c r="B52" s="20"/>
      <c r="C52" s="7"/>
      <c r="D52" s="8"/>
      <c r="E52" s="16"/>
      <c r="F52" s="16"/>
      <c r="G52" s="16"/>
      <c r="H52" s="16"/>
      <c r="I52" s="16"/>
      <c r="J52" s="9"/>
      <c r="K52" s="9"/>
      <c r="L52" s="3"/>
    </row>
    <row r="53" spans="1:26" s="5" customFormat="1" ht="13.5" customHeight="1" x14ac:dyDescent="0.2">
      <c r="A53" s="2"/>
      <c r="B53" s="84" t="s">
        <v>5</v>
      </c>
      <c r="C53" s="41">
        <f t="shared" ref="C53:I53" si="4">+C6</f>
        <v>178867100679.01999</v>
      </c>
      <c r="D53" s="41">
        <f t="shared" si="4"/>
        <v>171813485531.73999</v>
      </c>
      <c r="E53" s="41">
        <f t="shared" si="4"/>
        <v>3282205540.4200001</v>
      </c>
      <c r="F53" s="41">
        <f t="shared" si="4"/>
        <v>826170163.83000004</v>
      </c>
      <c r="G53" s="41">
        <f t="shared" si="4"/>
        <v>100201899.65000001</v>
      </c>
      <c r="H53" s="41">
        <f t="shared" si="4"/>
        <v>106874506.68000001</v>
      </c>
      <c r="I53" s="41">
        <f t="shared" si="4"/>
        <v>3627462.49</v>
      </c>
      <c r="J53" s="56">
        <f t="shared" si="0"/>
        <v>100</v>
      </c>
      <c r="K53" s="78">
        <f>IF(C53=0,"",100*D53/C53)</f>
        <v>96.056505013776786</v>
      </c>
      <c r="L53" s="80"/>
    </row>
    <row r="54" spans="1:26" s="5" customFormat="1" ht="13.5" customHeight="1" x14ac:dyDescent="0.2">
      <c r="A54" s="2"/>
      <c r="B54" s="86" t="s">
        <v>71</v>
      </c>
      <c r="C54" s="24">
        <f>19262599548.12</f>
        <v>19262599548.119999</v>
      </c>
      <c r="D54" s="24">
        <f>14853090296.39</f>
        <v>14853090296.389999</v>
      </c>
      <c r="E54" s="24">
        <f>0</f>
        <v>0</v>
      </c>
      <c r="F54" s="24">
        <f>1551</f>
        <v>1551</v>
      </c>
      <c r="G54" s="24">
        <f>0</f>
        <v>0</v>
      </c>
      <c r="H54" s="24">
        <f>0</f>
        <v>0</v>
      </c>
      <c r="I54" s="24">
        <f>4840.65</f>
        <v>4840.6499999999996</v>
      </c>
      <c r="J54" s="38">
        <f t="shared" si="0"/>
        <v>8.6448920178888482</v>
      </c>
      <c r="K54" s="79">
        <f>IF(C54=0,"",100*D54/C54)</f>
        <v>77.108441460797749</v>
      </c>
      <c r="L54" s="80"/>
    </row>
    <row r="55" spans="1:26" s="5" customFormat="1" ht="13.5" customHeight="1" x14ac:dyDescent="0.2">
      <c r="A55" s="2"/>
      <c r="B55" s="86" t="s">
        <v>72</v>
      </c>
      <c r="C55" s="24">
        <f>C53-C54</f>
        <v>159604501130.89999</v>
      </c>
      <c r="D55" s="24">
        <f t="shared" ref="D55:I55" si="5">D53-D54</f>
        <v>156960395235.34998</v>
      </c>
      <c r="E55" s="24">
        <f t="shared" si="5"/>
        <v>3282205540.4200001</v>
      </c>
      <c r="F55" s="24">
        <f t="shared" si="5"/>
        <v>826168612.83000004</v>
      </c>
      <c r="G55" s="24">
        <f t="shared" si="5"/>
        <v>100201899.65000001</v>
      </c>
      <c r="H55" s="24">
        <f t="shared" si="5"/>
        <v>106874506.68000001</v>
      </c>
      <c r="I55" s="24">
        <f t="shared" si="5"/>
        <v>3622621.8400000003</v>
      </c>
      <c r="J55" s="38">
        <f t="shared" si="0"/>
        <v>91.35510798211115</v>
      </c>
      <c r="K55" s="79">
        <f>IF(C55=0,"",100*D55/C55)</f>
        <v>98.343338767506665</v>
      </c>
      <c r="L55" s="80"/>
    </row>
    <row r="56" spans="1:26" s="5" customFormat="1" ht="13.5" customHeight="1" x14ac:dyDescent="0.2">
      <c r="A56" s="2"/>
      <c r="B56" s="105" t="s">
        <v>109</v>
      </c>
      <c r="C56" s="105"/>
      <c r="D56" s="105"/>
      <c r="E56" s="105"/>
      <c r="F56" s="76"/>
      <c r="G56" s="76"/>
      <c r="H56" s="76"/>
      <c r="I56" s="76"/>
      <c r="J56" s="9"/>
      <c r="K56" s="9"/>
      <c r="L56" s="9"/>
    </row>
    <row r="57" spans="1:26" ht="15" x14ac:dyDescent="0.2">
      <c r="B57" s="91" t="str">
        <f>CONCATENATE("Informacja z wykonania budżetów gmin za ",$D$114," ",$C$115," rok     ",$C$117,"")</f>
        <v xml:space="preserve">Informacja z wykonania budżetów gmin za IV Kwartały 2022 rok     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</row>
    <row r="58" spans="1:26" s="5" customFormat="1" ht="7.5" customHeight="1" x14ac:dyDescent="0.2">
      <c r="B58" s="6"/>
      <c r="C58" s="7"/>
      <c r="D58" s="8"/>
      <c r="E58" s="8"/>
      <c r="F58" s="4"/>
      <c r="G58" s="4"/>
      <c r="H58" s="4"/>
      <c r="I58" s="4"/>
      <c r="J58" s="4"/>
      <c r="K58" s="9"/>
      <c r="L58" s="9"/>
      <c r="M58" s="3"/>
    </row>
    <row r="59" spans="1:26" ht="29.25" customHeight="1" x14ac:dyDescent="0.2">
      <c r="B59" s="125" t="s">
        <v>0</v>
      </c>
      <c r="C59" s="109" t="s">
        <v>54</v>
      </c>
      <c r="D59" s="109" t="s">
        <v>56</v>
      </c>
      <c r="E59" s="109" t="s">
        <v>55</v>
      </c>
      <c r="F59" s="109" t="s">
        <v>12</v>
      </c>
      <c r="G59" s="109"/>
      <c r="H59" s="109"/>
      <c r="I59" s="128" t="s">
        <v>82</v>
      </c>
      <c r="J59" s="109" t="s">
        <v>2</v>
      </c>
      <c r="K59" s="106" t="s">
        <v>18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2">
      <c r="B60" s="125"/>
      <c r="C60" s="109"/>
      <c r="D60" s="109"/>
      <c r="E60" s="110"/>
      <c r="F60" s="111" t="s">
        <v>57</v>
      </c>
      <c r="G60" s="112" t="s">
        <v>34</v>
      </c>
      <c r="H60" s="110"/>
      <c r="I60" s="129"/>
      <c r="J60" s="109"/>
      <c r="K60" s="106"/>
      <c r="L60" s="11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.75" customHeight="1" x14ac:dyDescent="0.2">
      <c r="B61" s="125"/>
      <c r="C61" s="109"/>
      <c r="D61" s="109"/>
      <c r="E61" s="110"/>
      <c r="F61" s="110"/>
      <c r="G61" s="18" t="s">
        <v>52</v>
      </c>
      <c r="H61" s="18" t="s">
        <v>53</v>
      </c>
      <c r="I61" s="130"/>
      <c r="J61" s="109"/>
      <c r="K61" s="106"/>
      <c r="L61" s="11"/>
      <c r="M61" s="10"/>
      <c r="N61" s="2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2">
      <c r="B62" s="125"/>
      <c r="C62" s="122" t="s">
        <v>75</v>
      </c>
      <c r="D62" s="123"/>
      <c r="E62" s="123"/>
      <c r="F62" s="123"/>
      <c r="G62" s="123"/>
      <c r="H62" s="123"/>
      <c r="I62" s="124"/>
      <c r="J62" s="127" t="s">
        <v>4</v>
      </c>
      <c r="K62" s="127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B63" s="17">
        <v>1</v>
      </c>
      <c r="C63" s="19">
        <v>2</v>
      </c>
      <c r="D63" s="19">
        <v>3</v>
      </c>
      <c r="E63" s="19">
        <v>4</v>
      </c>
      <c r="F63" s="17">
        <v>5</v>
      </c>
      <c r="G63" s="17">
        <v>6</v>
      </c>
      <c r="H63" s="19">
        <v>7</v>
      </c>
      <c r="I63" s="19">
        <v>8</v>
      </c>
      <c r="J63" s="17">
        <v>9</v>
      </c>
      <c r="K63" s="19">
        <v>10</v>
      </c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2">
      <c r="B64" s="84" t="s">
        <v>62</v>
      </c>
      <c r="C64" s="57">
        <f>196511212868.1</f>
        <v>196511212868.10001</v>
      </c>
      <c r="D64" s="68">
        <f>175500611526.63</f>
        <v>175500611526.63</v>
      </c>
      <c r="E64" s="68">
        <f>175856228418.97</f>
        <v>175856228418.97</v>
      </c>
      <c r="F64" s="57">
        <f>6656765290.61</f>
        <v>6656765290.6099997</v>
      </c>
      <c r="G64" s="57">
        <f>1097123.26</f>
        <v>1097123.26</v>
      </c>
      <c r="H64" s="57">
        <f>22578364.21</f>
        <v>22578364.210000001</v>
      </c>
      <c r="I64" s="69">
        <f>1262200789.84</f>
        <v>1262200789.8399999</v>
      </c>
      <c r="J64" s="52">
        <f>IF($D$64=0,"",100*$D64/$D$64)</f>
        <v>100</v>
      </c>
      <c r="K64" s="52">
        <f>IF(C64=0,"",100*D64/C64)</f>
        <v>89.308192120531814</v>
      </c>
      <c r="N64" s="77"/>
    </row>
    <row r="65" spans="2:14" ht="13.5" customHeight="1" x14ac:dyDescent="0.2">
      <c r="B65" s="85" t="s">
        <v>14</v>
      </c>
      <c r="C65" s="26">
        <f>40923434924.31</f>
        <v>40923434924.309998</v>
      </c>
      <c r="D65" s="26">
        <f>31959779362.84</f>
        <v>31959779362.84</v>
      </c>
      <c r="E65" s="26">
        <f>32105037449.05</f>
        <v>32105037449.049999</v>
      </c>
      <c r="F65" s="26">
        <f>862574409.43</f>
        <v>862574409.42999995</v>
      </c>
      <c r="G65" s="26">
        <f>61289.24</f>
        <v>61289.24</v>
      </c>
      <c r="H65" s="26">
        <f>8527882.57</f>
        <v>8527882.5700000003</v>
      </c>
      <c r="I65" s="70">
        <f>1152720991.32</f>
        <v>1152720991.3199999</v>
      </c>
      <c r="J65" s="52">
        <f t="shared" ref="J65:J73" si="6">IF($D$64=0,"",100*$D65/$D$64)</f>
        <v>18.210637037005711</v>
      </c>
      <c r="K65" s="52">
        <f t="shared" ref="K65:K73" si="7">IF(C65=0,"",100*D65/C65)</f>
        <v>78.096522009824582</v>
      </c>
      <c r="N65" s="61"/>
    </row>
    <row r="66" spans="2:14" ht="13.5" customHeight="1" outlineLevel="1" x14ac:dyDescent="0.2">
      <c r="B66" s="32" t="s">
        <v>13</v>
      </c>
      <c r="C66" s="22">
        <f>39428504693.16</f>
        <v>39428504693.160004</v>
      </c>
      <c r="D66" s="22">
        <f>30517139546.2</f>
        <v>30517139546.200001</v>
      </c>
      <c r="E66" s="22">
        <f>30662397632.41</f>
        <v>30662397632.41</v>
      </c>
      <c r="F66" s="22">
        <f>862574409.43</f>
        <v>862574409.42999995</v>
      </c>
      <c r="G66" s="22">
        <f>61289.24</f>
        <v>61289.24</v>
      </c>
      <c r="H66" s="22">
        <f>8527882.57</f>
        <v>8527882.5700000003</v>
      </c>
      <c r="I66" s="66">
        <f>1152720991.32</f>
        <v>1152720991.3199999</v>
      </c>
      <c r="J66" s="52">
        <f t="shared" si="6"/>
        <v>17.388622911760855</v>
      </c>
      <c r="K66" s="52">
        <f t="shared" si="7"/>
        <v>77.398673329587538</v>
      </c>
      <c r="N66" s="76"/>
    </row>
    <row r="67" spans="2:14" ht="27" customHeight="1" x14ac:dyDescent="0.2">
      <c r="B67" s="85" t="s">
        <v>63</v>
      </c>
      <c r="C67" s="26">
        <f t="shared" ref="C67:I67" si="8">C64-C65</f>
        <v>155587777943.79001</v>
      </c>
      <c r="D67" s="26">
        <f>D64-D65</f>
        <v>143540832163.79001</v>
      </c>
      <c r="E67" s="26">
        <f>E64-E65</f>
        <v>143751190969.92001</v>
      </c>
      <c r="F67" s="26">
        <f t="shared" si="8"/>
        <v>5794190881.1799994</v>
      </c>
      <c r="G67" s="26">
        <f t="shared" si="8"/>
        <v>1035834.02</v>
      </c>
      <c r="H67" s="26">
        <f t="shared" si="8"/>
        <v>14050481.640000001</v>
      </c>
      <c r="I67" s="70">
        <f t="shared" si="8"/>
        <v>109479798.51999998</v>
      </c>
      <c r="J67" s="52">
        <f t="shared" si="6"/>
        <v>81.789362962994289</v>
      </c>
      <c r="K67" s="52">
        <f t="shared" si="7"/>
        <v>92.257138742380988</v>
      </c>
      <c r="N67" s="61"/>
    </row>
    <row r="68" spans="2:14" ht="22.5" outlineLevel="1" x14ac:dyDescent="0.2">
      <c r="B68" s="32" t="s">
        <v>99</v>
      </c>
      <c r="C68" s="22">
        <f>54256317577.2699</f>
        <v>54256317577.269897</v>
      </c>
      <c r="D68" s="22">
        <f>52130813551.75</f>
        <v>52130813551.75</v>
      </c>
      <c r="E68" s="22">
        <f>52187487865.27</f>
        <v>52187487865.269997</v>
      </c>
      <c r="F68" s="22">
        <f>4010808834.13</f>
        <v>4010808834.1300001</v>
      </c>
      <c r="G68" s="22">
        <f>747780.41</f>
        <v>747780.41</v>
      </c>
      <c r="H68" s="22">
        <f>814236.56</f>
        <v>814236.56</v>
      </c>
      <c r="I68" s="66">
        <f>439386.91</f>
        <v>439386.91</v>
      </c>
      <c r="J68" s="52">
        <f t="shared" si="6"/>
        <v>29.704063762672305</v>
      </c>
      <c r="K68" s="52">
        <f t="shared" si="7"/>
        <v>96.082476436973764</v>
      </c>
      <c r="N68" s="76"/>
    </row>
    <row r="69" spans="2:14" ht="13.5" customHeight="1" outlineLevel="1" x14ac:dyDescent="0.2">
      <c r="B69" s="54" t="s">
        <v>51</v>
      </c>
      <c r="C69" s="59">
        <f>11069409119.11</f>
        <v>11069409119.110001</v>
      </c>
      <c r="D69" s="59">
        <f>10753926851.83</f>
        <v>10753926851.83</v>
      </c>
      <c r="E69" s="59">
        <f>10756729517.51</f>
        <v>10756729517.51</v>
      </c>
      <c r="F69" s="59">
        <f>6066064.97</f>
        <v>6066064.9699999997</v>
      </c>
      <c r="G69" s="59">
        <f>0</f>
        <v>0</v>
      </c>
      <c r="H69" s="59">
        <f>2000.5</f>
        <v>2000.5</v>
      </c>
      <c r="I69" s="71">
        <f>345047.25</f>
        <v>345047.25</v>
      </c>
      <c r="J69" s="52">
        <f t="shared" si="6"/>
        <v>6.1275722963496495</v>
      </c>
      <c r="K69" s="52">
        <f t="shared" si="7"/>
        <v>97.149962894267247</v>
      </c>
      <c r="N69" s="75"/>
    </row>
    <row r="70" spans="2:14" ht="13.5" customHeight="1" outlineLevel="1" x14ac:dyDescent="0.2">
      <c r="B70" s="54" t="s">
        <v>50</v>
      </c>
      <c r="C70" s="24">
        <f>1924162567.5</f>
        <v>1924162567.5</v>
      </c>
      <c r="D70" s="24">
        <f>1812219040.7</f>
        <v>1812219040.7</v>
      </c>
      <c r="E70" s="24">
        <f>1813359168.84</f>
        <v>1813359168.8399999</v>
      </c>
      <c r="F70" s="24">
        <f>75308186.95</f>
        <v>75308186.950000003</v>
      </c>
      <c r="G70" s="24">
        <f>0</f>
        <v>0</v>
      </c>
      <c r="H70" s="24">
        <f>380356.09</f>
        <v>380356.09</v>
      </c>
      <c r="I70" s="72">
        <f>0</f>
        <v>0</v>
      </c>
      <c r="J70" s="52">
        <f t="shared" si="6"/>
        <v>1.0325998439185031</v>
      </c>
      <c r="K70" s="52">
        <f t="shared" si="7"/>
        <v>94.182220946879525</v>
      </c>
      <c r="N70" s="76"/>
    </row>
    <row r="71" spans="2:14" ht="24" customHeight="1" outlineLevel="1" x14ac:dyDescent="0.2">
      <c r="B71" s="54" t="s">
        <v>69</v>
      </c>
      <c r="C71" s="59">
        <f>61258067.82</f>
        <v>61258067.82</v>
      </c>
      <c r="D71" s="59">
        <f>4338657.72</f>
        <v>4338657.72</v>
      </c>
      <c r="E71" s="59">
        <f>4339300.38</f>
        <v>4339300.38</v>
      </c>
      <c r="F71" s="59">
        <f>0</f>
        <v>0</v>
      </c>
      <c r="G71" s="59">
        <f>0</f>
        <v>0</v>
      </c>
      <c r="H71" s="59">
        <f>0</f>
        <v>0</v>
      </c>
      <c r="I71" s="71">
        <f>0</f>
        <v>0</v>
      </c>
      <c r="J71" s="52">
        <f t="shared" si="6"/>
        <v>2.4721610268244923E-3</v>
      </c>
      <c r="K71" s="52">
        <f t="shared" si="7"/>
        <v>7.0825898928915976</v>
      </c>
      <c r="N71" s="75"/>
    </row>
    <row r="72" spans="2:14" ht="13.5" customHeight="1" outlineLevel="1" x14ac:dyDescent="0.2">
      <c r="B72" s="54" t="s">
        <v>70</v>
      </c>
      <c r="C72" s="59">
        <f>44279104635.46</f>
        <v>44279104635.459999</v>
      </c>
      <c r="D72" s="59">
        <f>41773357585</f>
        <v>41773357585</v>
      </c>
      <c r="E72" s="59">
        <f>41788303602.94</f>
        <v>41788303602.940002</v>
      </c>
      <c r="F72" s="59">
        <f>194514427.17</f>
        <v>194514427.16999999</v>
      </c>
      <c r="G72" s="59">
        <f>0</f>
        <v>0</v>
      </c>
      <c r="H72" s="59">
        <f>1578206.17</f>
        <v>1578206.17</v>
      </c>
      <c r="I72" s="73">
        <f>347730.6</f>
        <v>347730.6</v>
      </c>
      <c r="J72" s="52">
        <f t="shared" si="6"/>
        <v>23.802400015376254</v>
      </c>
      <c r="K72" s="52">
        <f t="shared" si="7"/>
        <v>94.3410168947876</v>
      </c>
      <c r="N72" s="75"/>
    </row>
    <row r="73" spans="2:14" ht="13.5" customHeight="1" outlineLevel="1" x14ac:dyDescent="0.2">
      <c r="B73" s="54" t="s">
        <v>49</v>
      </c>
      <c r="C73" s="24">
        <f t="shared" ref="C73:I73" si="9">C67-C68-C69-C70-C71-C72</f>
        <v>43997525976.630104</v>
      </c>
      <c r="D73" s="24">
        <f>D67-D68-D69-D70-D71-D72</f>
        <v>37066176476.790009</v>
      </c>
      <c r="E73" s="24">
        <f>E67-E68-E69-E70-E71-E72</f>
        <v>37200971514.980026</v>
      </c>
      <c r="F73" s="24">
        <f t="shared" si="9"/>
        <v>1507493367.9599991</v>
      </c>
      <c r="G73" s="24">
        <f t="shared" si="9"/>
        <v>288053.61</v>
      </c>
      <c r="H73" s="24">
        <f t="shared" si="9"/>
        <v>11275682.32</v>
      </c>
      <c r="I73" s="71">
        <f t="shared" si="9"/>
        <v>108347633.75999999</v>
      </c>
      <c r="J73" s="52">
        <f t="shared" si="6"/>
        <v>21.120254883650752</v>
      </c>
      <c r="K73" s="52">
        <f t="shared" si="7"/>
        <v>84.246047144737688</v>
      </c>
      <c r="N73" s="76"/>
    </row>
    <row r="74" spans="2:14" ht="18" customHeight="1" x14ac:dyDescent="0.2">
      <c r="B74" s="84" t="s">
        <v>15</v>
      </c>
      <c r="C74" s="26">
        <f>C6-C64</f>
        <v>-17644112189.080017</v>
      </c>
      <c r="D74" s="26">
        <f>D6-D64</f>
        <v>-3687125994.8900146</v>
      </c>
      <c r="E74" s="81"/>
      <c r="F74" s="61"/>
      <c r="G74" s="61"/>
      <c r="H74" s="61"/>
      <c r="I74" s="82"/>
      <c r="J74" s="28"/>
      <c r="K74" s="28"/>
      <c r="L74" s="13"/>
      <c r="N74" s="61"/>
    </row>
    <row r="75" spans="2:14" ht="38.25" x14ac:dyDescent="0.2">
      <c r="B75" s="87" t="s">
        <v>104</v>
      </c>
      <c r="C75" s="26">
        <f>+C55-C67</f>
        <v>4016723187.1099854</v>
      </c>
      <c r="D75" s="26">
        <f>+D55-D67</f>
        <v>13419563071.559967</v>
      </c>
      <c r="E75" s="81"/>
      <c r="F75" s="61"/>
      <c r="G75" s="61"/>
      <c r="H75" s="61"/>
      <c r="I75" s="61"/>
      <c r="J75" s="28"/>
      <c r="K75" s="28"/>
      <c r="L75" s="13"/>
      <c r="N75" s="61"/>
    </row>
    <row r="76" spans="2:14" x14ac:dyDescent="0.2">
      <c r="B76" s="60"/>
      <c r="C76" s="61"/>
      <c r="D76" s="61"/>
      <c r="E76" s="61"/>
      <c r="F76" s="61"/>
      <c r="G76" s="61"/>
      <c r="H76" s="61"/>
      <c r="I76" s="61"/>
      <c r="J76" s="61"/>
      <c r="K76" s="28"/>
      <c r="L76" s="28"/>
      <c r="M76" s="13"/>
    </row>
    <row r="77" spans="2:14" ht="14.25" customHeight="1" x14ac:dyDescent="0.2">
      <c r="B77" s="103" t="s">
        <v>110</v>
      </c>
      <c r="C77" s="104"/>
      <c r="D77" s="104"/>
      <c r="E77" s="104"/>
      <c r="F77" s="104"/>
      <c r="G77" s="61"/>
      <c r="H77" s="61"/>
      <c r="I77" s="61"/>
      <c r="J77" s="61"/>
      <c r="K77" s="28"/>
      <c r="L77" s="28"/>
      <c r="M77" s="13"/>
    </row>
    <row r="78" spans="2:14" ht="27" customHeight="1" x14ac:dyDescent="0.2">
      <c r="B78" s="84" t="s">
        <v>106</v>
      </c>
      <c r="C78" s="41">
        <f>10124518038.58</f>
        <v>10124518038.58</v>
      </c>
      <c r="D78" s="41">
        <f>7822432784.24</f>
        <v>7822432784.2399998</v>
      </c>
      <c r="E78" s="41">
        <f>7851556692.16</f>
        <v>7851556692.1599998</v>
      </c>
      <c r="F78" s="41">
        <f>141031652.59</f>
        <v>141031652.59</v>
      </c>
      <c r="G78" s="41">
        <f>0</f>
        <v>0</v>
      </c>
      <c r="H78" s="41">
        <f>49856.11</f>
        <v>49856.11</v>
      </c>
      <c r="I78" s="41">
        <f>131196313.87</f>
        <v>131196313.87</v>
      </c>
      <c r="J78" s="62">
        <f>IF($D$78=0,"",100*$D78/$D$78)</f>
        <v>100</v>
      </c>
      <c r="K78" s="62">
        <f>IF(C78=0,"",100*D78/C78)</f>
        <v>77.262273171248395</v>
      </c>
      <c r="L78" s="13"/>
    </row>
    <row r="79" spans="2:14" ht="15" customHeight="1" x14ac:dyDescent="0.2">
      <c r="B79" s="88" t="s">
        <v>73</v>
      </c>
      <c r="C79" s="22">
        <f>8082641496.72</f>
        <v>8082641496.7200003</v>
      </c>
      <c r="D79" s="22">
        <f>6250715488.14</f>
        <v>6250715488.1400003</v>
      </c>
      <c r="E79" s="22">
        <f>6275470594.16</f>
        <v>6275470594.1599998</v>
      </c>
      <c r="F79" s="22">
        <f>124345984.46</f>
        <v>124345984.45999999</v>
      </c>
      <c r="G79" s="22">
        <f>0</f>
        <v>0</v>
      </c>
      <c r="H79" s="22">
        <f>48567.42</f>
        <v>48567.42</v>
      </c>
      <c r="I79" s="22">
        <f>125482679.35</f>
        <v>125482679.34999999</v>
      </c>
      <c r="J79" s="62">
        <f>IF($D$78=0,"",100*$D79/$D$78)</f>
        <v>79.90756406029378</v>
      </c>
      <c r="K79" s="62">
        <f>IF(C79=0,"",100*D79/C79)</f>
        <v>77.335057984157658</v>
      </c>
      <c r="L79" s="13"/>
    </row>
    <row r="80" spans="2:14" ht="14.25" customHeight="1" x14ac:dyDescent="0.2">
      <c r="B80" s="89" t="s">
        <v>74</v>
      </c>
      <c r="C80" s="22">
        <f>+C78-C79</f>
        <v>2041876541.8599997</v>
      </c>
      <c r="D80" s="22">
        <f t="shared" ref="D80:I80" si="10">+D78-D79</f>
        <v>1571717296.0999994</v>
      </c>
      <c r="E80" s="22">
        <f t="shared" si="10"/>
        <v>1576086098</v>
      </c>
      <c r="F80" s="22">
        <f t="shared" si="10"/>
        <v>16685668.13000001</v>
      </c>
      <c r="G80" s="22">
        <f t="shared" si="10"/>
        <v>0</v>
      </c>
      <c r="H80" s="22">
        <f t="shared" si="10"/>
        <v>1288.6900000000023</v>
      </c>
      <c r="I80" s="22">
        <f t="shared" si="10"/>
        <v>5713634.5200000107</v>
      </c>
      <c r="J80" s="62">
        <f>IF($D$78=0,"",100*$D80/$D$78)</f>
        <v>20.092435939706217</v>
      </c>
      <c r="K80" s="62">
        <f>IF(C80=0,"",100*D80/C80)</f>
        <v>76.974159009059392</v>
      </c>
      <c r="L80" s="10"/>
    </row>
    <row r="81" spans="2:13" ht="15" x14ac:dyDescent="0.2">
      <c r="B81" s="91" t="str">
        <f>CONCATENATE("Informacja z wykonania budżetów gmin za ",$D$114," ",$C$115," rok     ",$C$117,"")</f>
        <v xml:space="preserve">Informacja z wykonania budżetów gmin za IV Kwartały 2022 rok     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3" spans="2:13" ht="18" customHeight="1" x14ac:dyDescent="0.2">
      <c r="B83" s="40" t="s">
        <v>16</v>
      </c>
      <c r="C83" s="67" t="s">
        <v>17</v>
      </c>
      <c r="D83" s="67" t="s">
        <v>1</v>
      </c>
      <c r="E83" s="113" t="s">
        <v>58</v>
      </c>
      <c r="F83" s="114"/>
      <c r="G83" s="114"/>
      <c r="H83" s="114"/>
      <c r="I83" s="115"/>
      <c r="J83" s="19" t="s">
        <v>26</v>
      </c>
      <c r="K83" s="19" t="s">
        <v>27</v>
      </c>
    </row>
    <row r="84" spans="2:13" ht="13.5" customHeight="1" x14ac:dyDescent="0.2">
      <c r="B84" s="40"/>
      <c r="C84" s="111" t="s">
        <v>75</v>
      </c>
      <c r="D84" s="126"/>
      <c r="E84" s="116"/>
      <c r="F84" s="117"/>
      <c r="G84" s="117"/>
      <c r="H84" s="117"/>
      <c r="I84" s="118"/>
      <c r="J84" s="111" t="s">
        <v>4</v>
      </c>
      <c r="K84" s="131"/>
      <c r="M84" s="14"/>
    </row>
    <row r="85" spans="2:13" ht="11.25" customHeight="1" x14ac:dyDescent="0.2">
      <c r="B85" s="39">
        <v>1</v>
      </c>
      <c r="C85" s="42">
        <v>2</v>
      </c>
      <c r="D85" s="42">
        <v>3</v>
      </c>
      <c r="E85" s="119"/>
      <c r="F85" s="120"/>
      <c r="G85" s="120"/>
      <c r="H85" s="120"/>
      <c r="I85" s="121"/>
      <c r="J85" s="31">
        <v>4</v>
      </c>
      <c r="K85" s="31">
        <v>5</v>
      </c>
      <c r="M85" s="10"/>
    </row>
    <row r="86" spans="2:13" ht="27" customHeight="1" x14ac:dyDescent="0.2">
      <c r="B86" s="90" t="s">
        <v>64</v>
      </c>
      <c r="C86" s="43">
        <f>24337190522.54</f>
        <v>24337190522.540001</v>
      </c>
      <c r="D86" s="43">
        <f>32609780675.48</f>
        <v>32609780675.48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37">
        <f t="shared" ref="J86:J94" si="11">IF($D$86=0,"",100*$D86/$D$86)</f>
        <v>100</v>
      </c>
      <c r="K86" s="36">
        <f t="shared" ref="K86:K99" si="12">IF(C86=0,"",100*D86/C86)</f>
        <v>133.99155767498431</v>
      </c>
    </row>
    <row r="87" spans="2:13" ht="36" customHeight="1" x14ac:dyDescent="0.2">
      <c r="B87" s="98" t="s">
        <v>107</v>
      </c>
      <c r="C87" s="44">
        <f>6101771431.58</f>
        <v>6101771431.5799999</v>
      </c>
      <c r="D87" s="44">
        <f>4528021258.99</f>
        <v>4528021258.9899998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50">
        <f t="shared" si="11"/>
        <v>13.885469835112131</v>
      </c>
      <c r="K87" s="51">
        <f t="shared" si="12"/>
        <v>74.208306714915878</v>
      </c>
    </row>
    <row r="88" spans="2:13" ht="22.5" x14ac:dyDescent="0.2">
      <c r="B88" s="99" t="s">
        <v>83</v>
      </c>
      <c r="C88" s="63">
        <f>222687937.59</f>
        <v>222687937.59</v>
      </c>
      <c r="D88" s="63">
        <f>169776000</f>
        <v>169776000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4">
        <f t="shared" si="11"/>
        <v>0.52062907656308843</v>
      </c>
      <c r="K88" s="58">
        <f t="shared" si="12"/>
        <v>76.239423579637986</v>
      </c>
    </row>
    <row r="89" spans="2:13" ht="13.5" customHeight="1" x14ac:dyDescent="0.2">
      <c r="B89" s="100" t="s">
        <v>84</v>
      </c>
      <c r="C89" s="63">
        <f>103846876.01</f>
        <v>103846876.01000001</v>
      </c>
      <c r="D89" s="63">
        <f>78178024.92</f>
        <v>78178024.920000002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4">
        <f t="shared" si="11"/>
        <v>0.23973796603539793</v>
      </c>
      <c r="K89" s="58">
        <f t="shared" si="12"/>
        <v>75.282018991569657</v>
      </c>
    </row>
    <row r="90" spans="2:13" ht="50.1" customHeight="1" x14ac:dyDescent="0.2">
      <c r="B90" s="100" t="s">
        <v>100</v>
      </c>
      <c r="C90" s="63">
        <f>2838063127.36</f>
        <v>2838063127.3600001</v>
      </c>
      <c r="D90" s="63">
        <f>6097821824.77</f>
        <v>6097821824.7700005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4">
        <f t="shared" si="11"/>
        <v>18.699364725734217</v>
      </c>
      <c r="K90" s="58">
        <f t="shared" si="12"/>
        <v>214.85856907074037</v>
      </c>
    </row>
    <row r="91" spans="2:13" ht="35.1" customHeight="1" x14ac:dyDescent="0.2">
      <c r="B91" s="100" t="s">
        <v>97</v>
      </c>
      <c r="C91" s="63">
        <f>5943631028.12</f>
        <v>5943631028.1199999</v>
      </c>
      <c r="D91" s="63">
        <f>7252849495.81</f>
        <v>7252849495.8100004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4">
        <f t="shared" si="11"/>
        <v>22.241331728009978</v>
      </c>
      <c r="K91" s="58">
        <f t="shared" si="12"/>
        <v>122.02725003446442</v>
      </c>
    </row>
    <row r="92" spans="2:13" ht="13.5" customHeight="1" x14ac:dyDescent="0.2">
      <c r="B92" s="100" t="s">
        <v>85</v>
      </c>
      <c r="C92" s="63">
        <f>0</f>
        <v>0</v>
      </c>
      <c r="D92" s="63">
        <f>0</f>
        <v>0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4">
        <f t="shared" si="11"/>
        <v>0</v>
      </c>
      <c r="K92" s="58" t="str">
        <f t="shared" si="12"/>
        <v/>
      </c>
    </row>
    <row r="93" spans="2:13" ht="35.1" customHeight="1" x14ac:dyDescent="0.2">
      <c r="B93" s="100" t="s">
        <v>93</v>
      </c>
      <c r="C93" s="63">
        <f>9208410729.77</f>
        <v>9208410729.7700005</v>
      </c>
      <c r="D93" s="63">
        <f>14209866889.25</f>
        <v>14209866889.25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4">
        <f t="shared" si="11"/>
        <v>43.575475194577763</v>
      </c>
      <c r="K93" s="58">
        <f t="shared" si="12"/>
        <v>154.31399951905621</v>
      </c>
    </row>
    <row r="94" spans="2:13" ht="13.5" customHeight="1" x14ac:dyDescent="0.2">
      <c r="B94" s="100" t="s">
        <v>77</v>
      </c>
      <c r="C94" s="63">
        <f>141467329.7</f>
        <v>141467329.69999999</v>
      </c>
      <c r="D94" s="63">
        <f>443043181.74</f>
        <v>443043181.74000001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4">
        <f t="shared" si="11"/>
        <v>1.3586205505305153</v>
      </c>
      <c r="K94" s="58">
        <f t="shared" si="12"/>
        <v>313.17703011679879</v>
      </c>
    </row>
    <row r="95" spans="2:13" ht="27" customHeight="1" x14ac:dyDescent="0.2">
      <c r="B95" s="90" t="s">
        <v>65</v>
      </c>
      <c r="C95" s="49">
        <f>6654599100.09</f>
        <v>6654599100.0900002</v>
      </c>
      <c r="D95" s="49">
        <f>6536920452.65</f>
        <v>6536920452.6499996</v>
      </c>
      <c r="E95" s="43" t="s">
        <v>58</v>
      </c>
      <c r="F95" s="43" t="s">
        <v>58</v>
      </c>
      <c r="G95" s="43" t="s">
        <v>58</v>
      </c>
      <c r="H95" s="43" t="s">
        <v>58</v>
      </c>
      <c r="I95" s="43" t="s">
        <v>58</v>
      </c>
      <c r="J95" s="37">
        <f>IF($D$95=0,"",100*$D95/$D$95)</f>
        <v>100</v>
      </c>
      <c r="K95" s="36">
        <f t="shared" si="12"/>
        <v>98.231619280590337</v>
      </c>
    </row>
    <row r="96" spans="2:13" ht="36" customHeight="1" x14ac:dyDescent="0.2">
      <c r="B96" s="98" t="s">
        <v>102</v>
      </c>
      <c r="C96" s="44">
        <f>4538808498.2</f>
        <v>4538808498.1999998</v>
      </c>
      <c r="D96" s="48">
        <f>4511012608.99</f>
        <v>4511012608.9899998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50">
        <f>IF($D$95=0,"",100*$D96/$D$95)</f>
        <v>69.008222475176098</v>
      </c>
      <c r="K96" s="51">
        <f t="shared" si="12"/>
        <v>99.387595021446202</v>
      </c>
    </row>
    <row r="97" spans="2:11" ht="13.5" customHeight="1" x14ac:dyDescent="0.2">
      <c r="B97" s="99" t="s">
        <v>86</v>
      </c>
      <c r="C97" s="63">
        <f>119507089</f>
        <v>119507089</v>
      </c>
      <c r="D97" s="63">
        <f>119505089</f>
        <v>119505089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4">
        <f>IF($D$95=0,"",100*$D97/$D$95)</f>
        <v>1.8281557786366189</v>
      </c>
      <c r="K97" s="58">
        <f t="shared" si="12"/>
        <v>99.998326459110729</v>
      </c>
    </row>
    <row r="98" spans="2:11" ht="13.5" customHeight="1" x14ac:dyDescent="0.2">
      <c r="B98" s="100" t="s">
        <v>87</v>
      </c>
      <c r="C98" s="63">
        <f>164917973.2</f>
        <v>164917973.19999999</v>
      </c>
      <c r="D98" s="63">
        <f>154421197.2</f>
        <v>154421197.19999999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64">
        <f>IF($D$95=0,"",100*$D98/$D$95)</f>
        <v>2.3622927388905159</v>
      </c>
      <c r="K98" s="58">
        <f t="shared" si="12"/>
        <v>93.635153406069136</v>
      </c>
    </row>
    <row r="99" spans="2:11" ht="13.5" customHeight="1" x14ac:dyDescent="0.2">
      <c r="B99" s="100" t="s">
        <v>33</v>
      </c>
      <c r="C99" s="63">
        <f>1950872628.69</f>
        <v>1950872628.6900001</v>
      </c>
      <c r="D99" s="63">
        <f>1871486646.46</f>
        <v>1871486646.46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64">
        <f>IF($D$95=0,"",100*$D99/$D$95)</f>
        <v>28.629484785933393</v>
      </c>
      <c r="K99" s="58">
        <f t="shared" si="12"/>
        <v>95.930744987523497</v>
      </c>
    </row>
    <row r="100" spans="2:11" ht="7.5" customHeight="1" x14ac:dyDescent="0.2"/>
    <row r="101" spans="2:11" x14ac:dyDescent="0.2">
      <c r="B101" s="40" t="s">
        <v>16</v>
      </c>
      <c r="C101" s="67" t="s">
        <v>17</v>
      </c>
      <c r="D101" s="19" t="s">
        <v>1</v>
      </c>
    </row>
    <row r="102" spans="2:11" x14ac:dyDescent="0.2">
      <c r="B102" s="40"/>
      <c r="C102" s="111" t="s">
        <v>75</v>
      </c>
      <c r="D102" s="126"/>
    </row>
    <row r="103" spans="2:11" x14ac:dyDescent="0.2">
      <c r="B103" s="39">
        <v>1</v>
      </c>
      <c r="C103" s="42">
        <v>2</v>
      </c>
      <c r="D103" s="31">
        <v>3</v>
      </c>
    </row>
    <row r="104" spans="2:11" ht="37.5" customHeight="1" x14ac:dyDescent="0.2">
      <c r="B104" s="101" t="s">
        <v>105</v>
      </c>
      <c r="C104" s="47">
        <f>17925691566.71</f>
        <v>17925691566.709999</v>
      </c>
      <c r="D104" s="27">
        <f>6769897242.18</f>
        <v>6769897242.1800003</v>
      </c>
    </row>
    <row r="105" spans="2:11" ht="36" customHeight="1" x14ac:dyDescent="0.2">
      <c r="B105" s="102" t="s">
        <v>78</v>
      </c>
      <c r="C105" s="48">
        <f>196716310.18</f>
        <v>196716310.18000001</v>
      </c>
      <c r="D105" s="74">
        <f>98127517.65</f>
        <v>98127517.650000006</v>
      </c>
    </row>
    <row r="106" spans="2:11" ht="13.5" customHeight="1" x14ac:dyDescent="0.2">
      <c r="B106" s="102" t="s">
        <v>79</v>
      </c>
      <c r="C106" s="48">
        <f>4028571065.39</f>
        <v>4028571065.3899999</v>
      </c>
      <c r="D106" s="74">
        <f>1879474343.38</f>
        <v>1879474343.3800001</v>
      </c>
    </row>
    <row r="107" spans="2:11" ht="25.5" customHeight="1" x14ac:dyDescent="0.2">
      <c r="B107" s="102" t="s">
        <v>80</v>
      </c>
      <c r="C107" s="48">
        <f>0</f>
        <v>0</v>
      </c>
      <c r="D107" s="74">
        <f>0</f>
        <v>0</v>
      </c>
    </row>
    <row r="108" spans="2:11" ht="57.95" customHeight="1" x14ac:dyDescent="0.2">
      <c r="B108" s="102" t="s">
        <v>98</v>
      </c>
      <c r="C108" s="48">
        <f>1891561291.11</f>
        <v>1891561291.1099999</v>
      </c>
      <c r="D108" s="74">
        <f>367249715.98</f>
        <v>367249715.98000002</v>
      </c>
    </row>
    <row r="109" spans="2:11" ht="81.95" customHeight="1" x14ac:dyDescent="0.2">
      <c r="B109" s="102" t="s">
        <v>81</v>
      </c>
      <c r="C109" s="48">
        <f>6554928450.43</f>
        <v>6554928450.4300003</v>
      </c>
      <c r="D109" s="74">
        <f>2012436581.36</f>
        <v>2012436581.3599999</v>
      </c>
    </row>
    <row r="110" spans="2:11" ht="150.94999999999999" customHeight="1" x14ac:dyDescent="0.2">
      <c r="B110" s="97" t="s">
        <v>103</v>
      </c>
      <c r="C110" s="48">
        <f>5223511483.29</f>
        <v>5223511483.29</v>
      </c>
      <c r="D110" s="74">
        <f>2408148378.99</f>
        <v>2408148378.9899998</v>
      </c>
    </row>
    <row r="111" spans="2:11" ht="22.5" x14ac:dyDescent="0.2">
      <c r="B111" s="97" t="s">
        <v>96</v>
      </c>
      <c r="C111" s="48">
        <f>30402966.31</f>
        <v>30402966.309999999</v>
      </c>
      <c r="D111" s="74">
        <f>4460704.82</f>
        <v>4460704.82</v>
      </c>
    </row>
    <row r="112" spans="2:11" ht="18" customHeight="1" x14ac:dyDescent="0.2"/>
    <row r="113" spans="2:4" ht="28.5" customHeight="1" x14ac:dyDescent="0.2"/>
    <row r="114" spans="2:4" x14ac:dyDescent="0.2">
      <c r="B114" s="65" t="s">
        <v>66</v>
      </c>
      <c r="C114" s="33">
        <f>4</f>
        <v>4</v>
      </c>
      <c r="D114" s="33" t="str">
        <f>IF(C114=1,"I Kwartał",IF(C114=2,"II Kwartały",IF(C114=3,"III Kwartały",IF(C114=4,"IV Kwartały",IF(C114="M1","Styczeń",IF(C114="M11","Listopad",IF(C114="M12","Grudzień","-")))))))</f>
        <v>IV Kwartały</v>
      </c>
    </row>
    <row r="115" spans="2:4" x14ac:dyDescent="0.2">
      <c r="B115" s="65" t="s">
        <v>67</v>
      </c>
      <c r="C115" s="92">
        <f>2022</f>
        <v>2022</v>
      </c>
    </row>
    <row r="116" spans="2:4" x14ac:dyDescent="0.2">
      <c r="B116" s="65" t="s">
        <v>68</v>
      </c>
      <c r="C116" s="107" t="str">
        <f>"Mar 23 2023 12:00AM"</f>
        <v>Mar 23 2023 12:00AM</v>
      </c>
      <c r="D116" s="108"/>
    </row>
    <row r="117" spans="2:4" hidden="1" x14ac:dyDescent="0.2">
      <c r="B117" s="1" t="s">
        <v>111</v>
      </c>
      <c r="C117" s="1" t="str">
        <f>""</f>
        <v/>
      </c>
    </row>
  </sheetData>
  <mergeCells count="20">
    <mergeCell ref="B3:B4"/>
    <mergeCell ref="C102:D102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  <mergeCell ref="C116:D116"/>
    <mergeCell ref="D59:D61"/>
    <mergeCell ref="E59:E61"/>
    <mergeCell ref="F60:F61"/>
    <mergeCell ref="F59:H59"/>
    <mergeCell ref="G60:H60"/>
    <mergeCell ref="E83:I85"/>
    <mergeCell ref="C59:C61"/>
    <mergeCell ref="C62:I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2023-03-29T10:35:01Z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