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/>
  <c r="A77" i="7" s="1"/>
  <c r="A34" i="7" l="1"/>
  <c r="A9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<sst xmlns="http://schemas.openxmlformats.org/spreadsheetml/2006/main" count="97" uniqueCount="81">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</sst>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107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 Kwartał 2022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33158694134.61</f>
        <v>33158694134.610001</v>
      </c>
      <c r="C13" s="28">
        <f>33158692737.39</f>
        <v>33158692737.389999</v>
      </c>
      <c r="D13" s="28">
        <f>2515532907.38</f>
        <v>2515532907.3800001</v>
      </c>
      <c r="E13" s="28">
        <f>245459259.93</f>
        <v>245459259.93000001</v>
      </c>
      <c r="F13" s="28">
        <f>388328593.02</f>
        <v>388328593.01999998</v>
      </c>
      <c r="G13" s="28">
        <f>1878623585.16</f>
        <v>1878623585.1600001</v>
      </c>
      <c r="H13" s="28">
        <f>3121469.27</f>
        <v>3121469.27</v>
      </c>
      <c r="I13" s="28">
        <f>0</f>
        <v>0</v>
      </c>
      <c r="J13" s="28">
        <f>28861551605.46</f>
        <v>28861551605.459999</v>
      </c>
      <c r="K13" s="28">
        <f>1515926619.49</f>
        <v>1515926619.49</v>
      </c>
      <c r="L13" s="28">
        <f>233217542.83</f>
        <v>233217542.83000001</v>
      </c>
      <c r="M13" s="28">
        <f>17637444.59</f>
        <v>17637444.59</v>
      </c>
      <c r="N13" s="28">
        <f>14826617.64</f>
        <v>14826617.640000001</v>
      </c>
      <c r="O13" s="28">
        <f>1397.22</f>
        <v>1397.22</v>
      </c>
      <c r="P13" s="28">
        <f>0</f>
        <v>0</v>
      </c>
      <c r="Q13" s="28">
        <f>1397.22</f>
        <v>1397.22</v>
      </c>
    </row>
    <row r="14" spans="1:17" ht="26.25" customHeight="1" x14ac:dyDescent="0.2">
      <c r="A14" s="29" t="s">
        <v>47</v>
      </c>
      <c r="B14" s="28">
        <f>759301606.56</f>
        <v>759301606.55999994</v>
      </c>
      <c r="C14" s="28">
        <f>759301606.56</f>
        <v>759301606.55999994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711490507</f>
        <v>711490507</v>
      </c>
      <c r="K14" s="28">
        <f>47687000</f>
        <v>47687000</v>
      </c>
      <c r="L14" s="28">
        <f>124099.56</f>
        <v>124099.56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4000000</f>
        <v>4000000</v>
      </c>
      <c r="C15" s="33">
        <f>4000000</f>
        <v>4000000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4000000</f>
        <v>4000000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755301606.56</f>
        <v>755301606.55999994</v>
      </c>
      <c r="C16" s="33">
        <f>755301606.56</f>
        <v>755301606.55999994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707490507</f>
        <v>707490507</v>
      </c>
      <c r="K16" s="33">
        <f>47687000</f>
        <v>47687000</v>
      </c>
      <c r="L16" s="33">
        <f>124099.56</f>
        <v>124099.56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32367141530.72</f>
        <v>32367141530.720001</v>
      </c>
      <c r="C17" s="28">
        <f>32367141530.72</f>
        <v>32367141530.720001</v>
      </c>
      <c r="D17" s="28">
        <f>2504107898.65</f>
        <v>2504107898.6500001</v>
      </c>
      <c r="E17" s="28">
        <f>245161357.47</f>
        <v>245161357.47</v>
      </c>
      <c r="F17" s="28">
        <f>388324018.59</f>
        <v>388324018.58999997</v>
      </c>
      <c r="G17" s="28">
        <f>1870622522.59</f>
        <v>1870622522.5899999</v>
      </c>
      <c r="H17" s="28">
        <f>0</f>
        <v>0</v>
      </c>
      <c r="I17" s="28">
        <f>0</f>
        <v>0</v>
      </c>
      <c r="J17" s="28">
        <f>28149670152.66</f>
        <v>28149670152.66</v>
      </c>
      <c r="K17" s="28">
        <f>1468225720.49</f>
        <v>1468225720.49</v>
      </c>
      <c r="L17" s="28">
        <f>222416772.41</f>
        <v>222416772.41</v>
      </c>
      <c r="M17" s="28">
        <f>10881848.37</f>
        <v>10881848.369999999</v>
      </c>
      <c r="N17" s="28">
        <f>11839138.14</f>
        <v>11839138.140000001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125639701.1</f>
        <v>125639701.09999999</v>
      </c>
      <c r="C18" s="33">
        <f>125639701.1</f>
        <v>125639701.09999999</v>
      </c>
      <c r="D18" s="33">
        <f>33123076.47</f>
        <v>33123076.469999999</v>
      </c>
      <c r="E18" s="33">
        <f>15012736.99</f>
        <v>15012736.99</v>
      </c>
      <c r="F18" s="33">
        <f>1520911.68</f>
        <v>1520911.68</v>
      </c>
      <c r="G18" s="33">
        <f>16589427.8</f>
        <v>16589427.800000001</v>
      </c>
      <c r="H18" s="33">
        <f>0</f>
        <v>0</v>
      </c>
      <c r="I18" s="33">
        <f>0</f>
        <v>0</v>
      </c>
      <c r="J18" s="33">
        <f>84732796.53</f>
        <v>84732796.530000001</v>
      </c>
      <c r="K18" s="33">
        <f>6153953.32</f>
        <v>6153953.3200000003</v>
      </c>
      <c r="L18" s="33">
        <f>831639.48</f>
        <v>831639.48</v>
      </c>
      <c r="M18" s="33">
        <f>450000</f>
        <v>450000</v>
      </c>
      <c r="N18" s="33">
        <f>348235.3</f>
        <v>348235.3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32241501829.62</f>
        <v>32241501829.619999</v>
      </c>
      <c r="C19" s="33">
        <f>32241501829.62</f>
        <v>32241501829.619999</v>
      </c>
      <c r="D19" s="33">
        <f>2470984822.18</f>
        <v>2470984822.1799998</v>
      </c>
      <c r="E19" s="33">
        <f>230148620.48</f>
        <v>230148620.47999999</v>
      </c>
      <c r="F19" s="33">
        <f>386803106.91</f>
        <v>386803106.91000003</v>
      </c>
      <c r="G19" s="33">
        <f>1854033094.79</f>
        <v>1854033094.79</v>
      </c>
      <c r="H19" s="33">
        <f>0</f>
        <v>0</v>
      </c>
      <c r="I19" s="33">
        <f>0</f>
        <v>0</v>
      </c>
      <c r="J19" s="33">
        <f>28064937356.13</f>
        <v>28064937356.130001</v>
      </c>
      <c r="K19" s="33">
        <f>1462071767.17</f>
        <v>1462071767.1700001</v>
      </c>
      <c r="L19" s="33">
        <f>221585132.93</f>
        <v>221585132.93000001</v>
      </c>
      <c r="M19" s="33">
        <f>10431848.37</f>
        <v>10431848.369999999</v>
      </c>
      <c r="N19" s="33">
        <f>11490902.84</f>
        <v>11490902.84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0</f>
        <v>0</v>
      </c>
      <c r="C20" s="28">
        <f>0</f>
        <v>0</v>
      </c>
      <c r="D20" s="28">
        <f>0</f>
        <v>0</v>
      </c>
      <c r="E20" s="28">
        <f>0</f>
        <v>0</v>
      </c>
      <c r="F20" s="28">
        <f>0</f>
        <v>0</v>
      </c>
      <c r="G20" s="28">
        <f>0</f>
        <v>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32250997.33</f>
        <v>32250997.329999998</v>
      </c>
      <c r="C21" s="28">
        <f>32249600.11</f>
        <v>32249600.109999999</v>
      </c>
      <c r="D21" s="28">
        <f>11425008.73</f>
        <v>11425008.73</v>
      </c>
      <c r="E21" s="28">
        <f>297902.46</f>
        <v>297902.46000000002</v>
      </c>
      <c r="F21" s="28">
        <f>4574.43</f>
        <v>4574.43</v>
      </c>
      <c r="G21" s="28">
        <f>8001062.57</f>
        <v>8001062.5700000003</v>
      </c>
      <c r="H21" s="28">
        <f>3121469.27</f>
        <v>3121469.27</v>
      </c>
      <c r="I21" s="28">
        <f>0</f>
        <v>0</v>
      </c>
      <c r="J21" s="28">
        <f>390945.8</f>
        <v>390945.8</v>
      </c>
      <c r="K21" s="28">
        <f>13899</f>
        <v>13899</v>
      </c>
      <c r="L21" s="28">
        <f>10676670.86</f>
        <v>10676670.859999999</v>
      </c>
      <c r="M21" s="28">
        <f>6755596.22</f>
        <v>6755596.2199999997</v>
      </c>
      <c r="N21" s="28">
        <f>2987479.5</f>
        <v>2987479.5</v>
      </c>
      <c r="O21" s="28">
        <f>1397.22</f>
        <v>1397.22</v>
      </c>
      <c r="P21" s="28">
        <f>0</f>
        <v>0</v>
      </c>
      <c r="Q21" s="28">
        <f>1397.22</f>
        <v>1397.22</v>
      </c>
    </row>
    <row r="22" spans="1:17" ht="27" customHeight="1" x14ac:dyDescent="0.2">
      <c r="A22" s="19" t="s">
        <v>55</v>
      </c>
      <c r="B22" s="33">
        <f>16890746.32</f>
        <v>16890746.32</v>
      </c>
      <c r="C22" s="33">
        <f>16890746.32</f>
        <v>16890746.32</v>
      </c>
      <c r="D22" s="33">
        <f>1762241.17</f>
        <v>1762241.17</v>
      </c>
      <c r="E22" s="33">
        <f>8580</f>
        <v>8580</v>
      </c>
      <c r="F22" s="33">
        <f>3461</f>
        <v>3461</v>
      </c>
      <c r="G22" s="33">
        <f>1750200.17</f>
        <v>1750200.17</v>
      </c>
      <c r="H22" s="33">
        <f>0</f>
        <v>0</v>
      </c>
      <c r="I22" s="33">
        <f>0</f>
        <v>0</v>
      </c>
      <c r="J22" s="33">
        <f>0</f>
        <v>0</v>
      </c>
      <c r="K22" s="33">
        <f>0</f>
        <v>0</v>
      </c>
      <c r="L22" s="33">
        <f>7993555.59</f>
        <v>7993555.5899999999</v>
      </c>
      <c r="M22" s="33">
        <f>4246038.77</f>
        <v>4246038.7699999996</v>
      </c>
      <c r="N22" s="33">
        <f>2888910.79</f>
        <v>2888910.79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15360251.01</f>
        <v>15360251.01</v>
      </c>
      <c r="C23" s="33">
        <f>15358853.79</f>
        <v>15358853.789999999</v>
      </c>
      <c r="D23" s="33">
        <f>9662767.56</f>
        <v>9662767.5600000005</v>
      </c>
      <c r="E23" s="33">
        <f>289322.46</f>
        <v>289322.46000000002</v>
      </c>
      <c r="F23" s="33">
        <f>1113.43</f>
        <v>1113.43</v>
      </c>
      <c r="G23" s="33">
        <f>6250862.4</f>
        <v>6250862.4000000004</v>
      </c>
      <c r="H23" s="33">
        <f>3121469.27</f>
        <v>3121469.27</v>
      </c>
      <c r="I23" s="33">
        <f>0</f>
        <v>0</v>
      </c>
      <c r="J23" s="33">
        <f>390945.8</f>
        <v>390945.8</v>
      </c>
      <c r="K23" s="33">
        <f>13899</f>
        <v>13899</v>
      </c>
      <c r="L23" s="33">
        <f>2683115.27</f>
        <v>2683115.27</v>
      </c>
      <c r="M23" s="33">
        <f>2509557.45</f>
        <v>2509557.4500000002</v>
      </c>
      <c r="N23" s="33">
        <f>98568.71</f>
        <v>98568.71</v>
      </c>
      <c r="O23" s="33">
        <f>1397.22</f>
        <v>1397.22</v>
      </c>
      <c r="P23" s="33">
        <f>0</f>
        <v>0</v>
      </c>
      <c r="Q23" s="33">
        <f>1397.22</f>
        <v>1397.22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 Kwartał 2022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6675751.79</f>
        <v>6675751.79</v>
      </c>
      <c r="C44" s="35">
        <f>6675751.79</f>
        <v>6675751.79</v>
      </c>
      <c r="D44" s="35">
        <f>0</f>
        <v>0</v>
      </c>
      <c r="E44" s="35">
        <f>0</f>
        <v>0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183554.8</f>
        <v>183554.8</v>
      </c>
      <c r="K44" s="35">
        <f>25590</f>
        <v>25590</v>
      </c>
      <c r="L44" s="35">
        <f>1872045.47</f>
        <v>1872045.47</v>
      </c>
      <c r="M44" s="35">
        <f>4553523.15</f>
        <v>4553523.1500000004</v>
      </c>
      <c r="N44" s="35">
        <f>41038.37</f>
        <v>41038.370000000003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47930.72</f>
        <v>47930.720000000001</v>
      </c>
      <c r="C45" s="26">
        <f>47930.72</f>
        <v>47930.720000000001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6000</f>
        <v>6000</v>
      </c>
      <c r="K45" s="26">
        <f>0</f>
        <v>0</v>
      </c>
      <c r="L45" s="26">
        <f>28629</f>
        <v>28629</v>
      </c>
      <c r="M45" s="26">
        <f>13301.72</f>
        <v>13301.72</v>
      </c>
      <c r="N45" s="26">
        <f>0</f>
        <v>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6627821.07</f>
        <v>6627821.0700000003</v>
      </c>
      <c r="C46" s="26">
        <f>6627821.07</f>
        <v>6627821.0700000003</v>
      </c>
      <c r="D46" s="26">
        <f>0</f>
        <v>0</v>
      </c>
      <c r="E46" s="26">
        <f>0</f>
        <v>0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177554.8</f>
        <v>177554.8</v>
      </c>
      <c r="K46" s="26">
        <f>25590</f>
        <v>25590</v>
      </c>
      <c r="L46" s="26">
        <f>1843416.47</f>
        <v>1843416.47</v>
      </c>
      <c r="M46" s="26">
        <f>4540221.43</f>
        <v>4540221.43</v>
      </c>
      <c r="N46" s="26">
        <f>41038.37</f>
        <v>41038.370000000003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364491754.98</f>
        <v>364491754.98000002</v>
      </c>
      <c r="C47" s="26">
        <f>364487871.32</f>
        <v>364487871.31999999</v>
      </c>
      <c r="D47" s="26">
        <f>37647535.71</f>
        <v>37647535.710000001</v>
      </c>
      <c r="E47" s="26">
        <f>19266.68</f>
        <v>19266.68</v>
      </c>
      <c r="F47" s="26">
        <f>4416</f>
        <v>4416</v>
      </c>
      <c r="G47" s="26">
        <f>22523853.03</f>
        <v>22523853.030000001</v>
      </c>
      <c r="H47" s="26">
        <f>15100000</f>
        <v>15100000</v>
      </c>
      <c r="I47" s="26">
        <f>0</f>
        <v>0</v>
      </c>
      <c r="J47" s="26">
        <f>117205.43</f>
        <v>117205.43</v>
      </c>
      <c r="K47" s="26">
        <f>0</f>
        <v>0</v>
      </c>
      <c r="L47" s="26">
        <f>126515155.71</f>
        <v>126515155.70999999</v>
      </c>
      <c r="M47" s="26">
        <f>171997955.49</f>
        <v>171997955.49000001</v>
      </c>
      <c r="N47" s="26">
        <f>28210018.98</f>
        <v>28210018.98</v>
      </c>
      <c r="O47" s="15">
        <f>3883.66</f>
        <v>3883.66</v>
      </c>
      <c r="P47" s="15">
        <f>3883.66</f>
        <v>3883.66</v>
      </c>
      <c r="Q47" s="15">
        <f>0</f>
        <v>0</v>
      </c>
    </row>
    <row r="48" spans="1:17" ht="24.75" customHeight="1" x14ac:dyDescent="0.2">
      <c r="A48" s="23" t="s">
        <v>31</v>
      </c>
      <c r="B48" s="26">
        <f>41117525.99</f>
        <v>41117525.990000002</v>
      </c>
      <c r="C48" s="26">
        <f>41117525.99</f>
        <v>41117525.990000002</v>
      </c>
      <c r="D48" s="26">
        <f>21271797.59</f>
        <v>21271797.59</v>
      </c>
      <c r="E48" s="26">
        <f>1118.41</f>
        <v>1118.4100000000001</v>
      </c>
      <c r="F48" s="26">
        <f>0</f>
        <v>0</v>
      </c>
      <c r="G48" s="26">
        <f>6170679.18</f>
        <v>6170679.1799999997</v>
      </c>
      <c r="H48" s="26">
        <f>15100000</f>
        <v>15100000</v>
      </c>
      <c r="I48" s="26">
        <f>0</f>
        <v>0</v>
      </c>
      <c r="J48" s="26">
        <f>0</f>
        <v>0</v>
      </c>
      <c r="K48" s="26">
        <f>0</f>
        <v>0</v>
      </c>
      <c r="L48" s="26">
        <f>7618683.67</f>
        <v>7618683.6699999999</v>
      </c>
      <c r="M48" s="26">
        <f>2382165.75</f>
        <v>2382165.75</v>
      </c>
      <c r="N48" s="26">
        <f>9844878.98</f>
        <v>9844878.9800000004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323374228.99</f>
        <v>323374228.99000001</v>
      </c>
      <c r="C49" s="26">
        <f>323370345.33</f>
        <v>323370345.32999998</v>
      </c>
      <c r="D49" s="26">
        <f>16375738.12</f>
        <v>16375738.119999999</v>
      </c>
      <c r="E49" s="26">
        <f>18148.27</f>
        <v>18148.27</v>
      </c>
      <c r="F49" s="26">
        <f>4416</f>
        <v>4416</v>
      </c>
      <c r="G49" s="26">
        <f>16353173.85</f>
        <v>16353173.85</v>
      </c>
      <c r="H49" s="26">
        <f>0</f>
        <v>0</v>
      </c>
      <c r="I49" s="26">
        <f>0</f>
        <v>0</v>
      </c>
      <c r="J49" s="26">
        <f>117205.43</f>
        <v>117205.43</v>
      </c>
      <c r="K49" s="26">
        <f>0</f>
        <v>0</v>
      </c>
      <c r="L49" s="26">
        <f>118896472.04</f>
        <v>118896472.04000001</v>
      </c>
      <c r="M49" s="26">
        <f>169615789.74</f>
        <v>169615789.74000001</v>
      </c>
      <c r="N49" s="26">
        <f>18365140</f>
        <v>18365140</v>
      </c>
      <c r="O49" s="15">
        <f>3883.66</f>
        <v>3883.66</v>
      </c>
      <c r="P49" s="15">
        <f>3883.66</f>
        <v>3883.66</v>
      </c>
      <c r="Q49" s="15">
        <f>0</f>
        <v>0</v>
      </c>
    </row>
    <row r="50" spans="1:17" ht="24.75" customHeight="1" x14ac:dyDescent="0.2">
      <c r="A50" s="34" t="s">
        <v>43</v>
      </c>
      <c r="B50" s="35">
        <f>34290310143.11</f>
        <v>34290310143.110001</v>
      </c>
      <c r="C50" s="35">
        <f>34290310143.11</f>
        <v>34290310143.110001</v>
      </c>
      <c r="D50" s="35">
        <f>18368124.1</f>
        <v>18368124.100000001</v>
      </c>
      <c r="E50" s="35">
        <f>9385473.18</f>
        <v>9385473.1799999997</v>
      </c>
      <c r="F50" s="35">
        <f>12374.58</f>
        <v>12374.58</v>
      </c>
      <c r="G50" s="35">
        <f>8970276.34</f>
        <v>8970276.3399999999</v>
      </c>
      <c r="H50" s="35">
        <f>0</f>
        <v>0</v>
      </c>
      <c r="I50" s="35">
        <f>8482468.57</f>
        <v>8482468.5700000003</v>
      </c>
      <c r="J50" s="35">
        <f>34255782388.35</f>
        <v>34255782388.349998</v>
      </c>
      <c r="K50" s="35">
        <f>88263.13</f>
        <v>88263.13</v>
      </c>
      <c r="L50" s="35">
        <f>7473420.93</f>
        <v>7473420.9299999997</v>
      </c>
      <c r="M50" s="35">
        <f>115478.03</f>
        <v>115478.03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8914758.48</f>
        <v>8914758.4800000004</v>
      </c>
      <c r="C51" s="26">
        <f>8914758.48</f>
        <v>8914758.4800000004</v>
      </c>
      <c r="D51" s="26">
        <f>8904758.48</f>
        <v>8904758.4800000004</v>
      </c>
      <c r="E51" s="26">
        <f>0</f>
        <v>0</v>
      </c>
      <c r="F51" s="26">
        <f>0</f>
        <v>0</v>
      </c>
      <c r="G51" s="26">
        <f>8904758.48</f>
        <v>8904758.4800000004</v>
      </c>
      <c r="H51" s="26">
        <f>0</f>
        <v>0</v>
      </c>
      <c r="I51" s="26">
        <f>0</f>
        <v>0</v>
      </c>
      <c r="J51" s="26">
        <f>10000</f>
        <v>10000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28261904996.8</f>
        <v>28261904996.799999</v>
      </c>
      <c r="C52" s="26">
        <f>28261904996.8</f>
        <v>28261904996.799999</v>
      </c>
      <c r="D52" s="26">
        <f>9295732.66</f>
        <v>9295732.6600000001</v>
      </c>
      <c r="E52" s="26">
        <f>9280250</f>
        <v>9280250</v>
      </c>
      <c r="F52" s="26">
        <f>6750</f>
        <v>6750</v>
      </c>
      <c r="G52" s="26">
        <f>8732.66</f>
        <v>8732.66</v>
      </c>
      <c r="H52" s="26">
        <f>0</f>
        <v>0</v>
      </c>
      <c r="I52" s="26">
        <f>8482468.57</f>
        <v>8482468.5700000003</v>
      </c>
      <c r="J52" s="26">
        <f>28236853259.65</f>
        <v>28236853259.650002</v>
      </c>
      <c r="K52" s="26">
        <f>85414.1</f>
        <v>85414.1</v>
      </c>
      <c r="L52" s="26">
        <f>7187931.82</f>
        <v>7187931.8200000003</v>
      </c>
      <c r="M52" s="26">
        <f>190</f>
        <v>190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6019490387.83</f>
        <v>6019490387.8299999</v>
      </c>
      <c r="C53" s="26">
        <f>6019490387.83</f>
        <v>6019490387.8299999</v>
      </c>
      <c r="D53" s="26">
        <f>167632.96</f>
        <v>167632.95999999999</v>
      </c>
      <c r="E53" s="26">
        <f>105223.18</f>
        <v>105223.18</v>
      </c>
      <c r="F53" s="26">
        <f>5624.58</f>
        <v>5624.58</v>
      </c>
      <c r="G53" s="26">
        <f>56785.2</f>
        <v>56785.2</v>
      </c>
      <c r="H53" s="26">
        <f>0</f>
        <v>0</v>
      </c>
      <c r="I53" s="26">
        <f>0</f>
        <v>0</v>
      </c>
      <c r="J53" s="26">
        <f>6018919128.7</f>
        <v>6018919128.6999998</v>
      </c>
      <c r="K53" s="26">
        <f>2849.03</f>
        <v>2849.03</v>
      </c>
      <c r="L53" s="26">
        <f>285489.11</f>
        <v>285489.11</v>
      </c>
      <c r="M53" s="26">
        <f>115288.03</f>
        <v>115288.03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9870887429.5</f>
        <v>9870887429.5</v>
      </c>
      <c r="C54" s="35">
        <f>9845719116.79</f>
        <v>9845719116.7900009</v>
      </c>
      <c r="D54" s="35">
        <f>123040414.01</f>
        <v>123040414.01000001</v>
      </c>
      <c r="E54" s="35">
        <f>81195819.43</f>
        <v>81195819.430000007</v>
      </c>
      <c r="F54" s="35">
        <f>2636183.89</f>
        <v>2636183.89</v>
      </c>
      <c r="G54" s="35">
        <f>38921133.21</f>
        <v>38921133.210000001</v>
      </c>
      <c r="H54" s="35">
        <f>287277.48</f>
        <v>287277.48</v>
      </c>
      <c r="I54" s="35">
        <f>0</f>
        <v>0</v>
      </c>
      <c r="J54" s="35">
        <f>6732970.09</f>
        <v>6732970.0899999999</v>
      </c>
      <c r="K54" s="35">
        <f>17282666.28</f>
        <v>17282666.280000001</v>
      </c>
      <c r="L54" s="35">
        <f>2176609609.94</f>
        <v>2176609609.9400001</v>
      </c>
      <c r="M54" s="35">
        <f>7450753039.25</f>
        <v>7450753039.25</v>
      </c>
      <c r="N54" s="35">
        <f>71300417.22</f>
        <v>71300417.219999999</v>
      </c>
      <c r="O54" s="35">
        <f>25168312.71</f>
        <v>25168312.710000001</v>
      </c>
      <c r="P54" s="35">
        <f>17211295.9</f>
        <v>17211295.899999999</v>
      </c>
      <c r="Q54" s="35">
        <f>7957016.81</f>
        <v>7957016.8099999996</v>
      </c>
    </row>
    <row r="55" spans="1:17" ht="24.75" customHeight="1" x14ac:dyDescent="0.2">
      <c r="A55" s="22" t="s">
        <v>36</v>
      </c>
      <c r="B55" s="26">
        <f>1234926226.35</f>
        <v>1234926226.3499999</v>
      </c>
      <c r="C55" s="26">
        <f>1234529965.43</f>
        <v>1234529965.4300001</v>
      </c>
      <c r="D55" s="26">
        <f>4793238.82</f>
        <v>4793238.82</v>
      </c>
      <c r="E55" s="26">
        <f>1356028.4</f>
        <v>1356028.4</v>
      </c>
      <c r="F55" s="26">
        <f>129436.02</f>
        <v>129436.02</v>
      </c>
      <c r="G55" s="26">
        <f>3201004.77</f>
        <v>3201004.77</v>
      </c>
      <c r="H55" s="26">
        <f>106769.63</f>
        <v>106769.63</v>
      </c>
      <c r="I55" s="26">
        <f>0</f>
        <v>0</v>
      </c>
      <c r="J55" s="26">
        <f>34016.24</f>
        <v>34016.239999999998</v>
      </c>
      <c r="K55" s="26">
        <f>1318585.09</f>
        <v>1318585.0900000001</v>
      </c>
      <c r="L55" s="26">
        <f>193619944.43</f>
        <v>193619944.43000001</v>
      </c>
      <c r="M55" s="26">
        <f>1002293251.92</f>
        <v>1002293251.92</v>
      </c>
      <c r="N55" s="26">
        <f>32470928.93</f>
        <v>32470928.93</v>
      </c>
      <c r="O55" s="15">
        <f>396260.92</f>
        <v>396260.92</v>
      </c>
      <c r="P55" s="15">
        <f>270032.86</f>
        <v>270032.86</v>
      </c>
      <c r="Q55" s="15">
        <f>126228.06</f>
        <v>126228.06</v>
      </c>
    </row>
    <row r="56" spans="1:17" ht="24.75" customHeight="1" x14ac:dyDescent="0.2">
      <c r="A56" s="23" t="s">
        <v>37</v>
      </c>
      <c r="B56" s="26">
        <f>8635961203.15</f>
        <v>8635961203.1499996</v>
      </c>
      <c r="C56" s="26">
        <f>8611189151.36</f>
        <v>8611189151.3600006</v>
      </c>
      <c r="D56" s="26">
        <f>118247175.19</f>
        <v>118247175.19</v>
      </c>
      <c r="E56" s="26">
        <f>79839791.03</f>
        <v>79839791.030000001</v>
      </c>
      <c r="F56" s="26">
        <f>2506747.87</f>
        <v>2506747.87</v>
      </c>
      <c r="G56" s="26">
        <f>35720128.44</f>
        <v>35720128.439999998</v>
      </c>
      <c r="H56" s="26">
        <f>180507.85</f>
        <v>180507.85</v>
      </c>
      <c r="I56" s="26">
        <f>0</f>
        <v>0</v>
      </c>
      <c r="J56" s="26">
        <f>6698953.85</f>
        <v>6698953.8499999996</v>
      </c>
      <c r="K56" s="26">
        <f>15964081.19</f>
        <v>15964081.189999999</v>
      </c>
      <c r="L56" s="26">
        <f>1982989665.51</f>
        <v>1982989665.51</v>
      </c>
      <c r="M56" s="26">
        <f>6448459787.33</f>
        <v>6448459787.3299999</v>
      </c>
      <c r="N56" s="26">
        <f>38829488.29</f>
        <v>38829488.289999999</v>
      </c>
      <c r="O56" s="15">
        <f>24772051.79</f>
        <v>24772051.789999999</v>
      </c>
      <c r="P56" s="15">
        <f>16941263.04</f>
        <v>16941263.039999999</v>
      </c>
      <c r="Q56" s="15">
        <f>7830788.75</f>
        <v>7830788.75</v>
      </c>
    </row>
    <row r="57" spans="1:17" ht="24.75" customHeight="1" x14ac:dyDescent="0.2">
      <c r="A57" s="34" t="s">
        <v>45</v>
      </c>
      <c r="B57" s="35">
        <f>19073633743.48</f>
        <v>19073633743.48</v>
      </c>
      <c r="C57" s="35">
        <f>19071655040.36</f>
        <v>19071655040.360001</v>
      </c>
      <c r="D57" s="35">
        <f>732904576.1</f>
        <v>732904576.10000002</v>
      </c>
      <c r="E57" s="35">
        <f>346447804.9</f>
        <v>346447804.89999998</v>
      </c>
      <c r="F57" s="35">
        <f>60924736.92</f>
        <v>60924736.920000002</v>
      </c>
      <c r="G57" s="35">
        <f>320203433.74</f>
        <v>320203433.74000001</v>
      </c>
      <c r="H57" s="35">
        <f>5328600.54</f>
        <v>5328600.54</v>
      </c>
      <c r="I57" s="35">
        <f>337275</f>
        <v>337275</v>
      </c>
      <c r="J57" s="35">
        <f>20872365.66</f>
        <v>20872365.66</v>
      </c>
      <c r="K57" s="35">
        <f>37164362.93</f>
        <v>37164362.93</v>
      </c>
      <c r="L57" s="35">
        <f>10010617609.59</f>
        <v>10010617609.59</v>
      </c>
      <c r="M57" s="35">
        <f>8119154456.04</f>
        <v>8119154456.04</v>
      </c>
      <c r="N57" s="35">
        <f>150604395.04</f>
        <v>150604395.03999999</v>
      </c>
      <c r="O57" s="35">
        <f>1978703.12</f>
        <v>1978703.12</v>
      </c>
      <c r="P57" s="35">
        <f>1503505.42</f>
        <v>1503505.42</v>
      </c>
      <c r="Q57" s="35">
        <f>475197.7</f>
        <v>475197.7</v>
      </c>
    </row>
    <row r="58" spans="1:17" ht="30" customHeight="1" x14ac:dyDescent="0.2">
      <c r="A58" s="22" t="s">
        <v>38</v>
      </c>
      <c r="B58" s="26">
        <f>987731328.93</f>
        <v>987731328.92999995</v>
      </c>
      <c r="C58" s="26">
        <f>987550865.91</f>
        <v>987550865.90999997</v>
      </c>
      <c r="D58" s="26">
        <f>52389603.76</f>
        <v>52389603.759999998</v>
      </c>
      <c r="E58" s="26">
        <f>4762034.96</f>
        <v>4762034.96</v>
      </c>
      <c r="F58" s="26">
        <f>3532040.84</f>
        <v>3532040.84</v>
      </c>
      <c r="G58" s="26">
        <f>43575932.21</f>
        <v>43575932.210000001</v>
      </c>
      <c r="H58" s="26">
        <f>519595.75</f>
        <v>519595.75</v>
      </c>
      <c r="I58" s="26">
        <f>0</f>
        <v>0</v>
      </c>
      <c r="J58" s="26">
        <f>1263130.25</f>
        <v>1263130.25</v>
      </c>
      <c r="K58" s="26">
        <f>2987971.76</f>
        <v>2987971.76</v>
      </c>
      <c r="L58" s="26">
        <f>322402276.52</f>
        <v>322402276.51999998</v>
      </c>
      <c r="M58" s="26">
        <f>597629335.66</f>
        <v>597629335.65999997</v>
      </c>
      <c r="N58" s="26">
        <f>10878547.96</f>
        <v>10878547.960000001</v>
      </c>
      <c r="O58" s="15">
        <f>180463.02</f>
        <v>180463.02</v>
      </c>
      <c r="P58" s="15">
        <f>138275.96</f>
        <v>138275.96</v>
      </c>
      <c r="Q58" s="15">
        <f>42187.06</f>
        <v>42187.06</v>
      </c>
    </row>
    <row r="59" spans="1:17" ht="36" x14ac:dyDescent="0.2">
      <c r="A59" s="22" t="s">
        <v>39</v>
      </c>
      <c r="B59" s="26">
        <f>12339510424.42</f>
        <v>12339510424.42</v>
      </c>
      <c r="C59" s="26">
        <f>12337882812.58</f>
        <v>12337882812.58</v>
      </c>
      <c r="D59" s="26">
        <f>348852779.55</f>
        <v>348852779.55000001</v>
      </c>
      <c r="E59" s="26">
        <f>162294398.11</f>
        <v>162294398.11000001</v>
      </c>
      <c r="F59" s="26">
        <f>39592115.53</f>
        <v>39592115.530000001</v>
      </c>
      <c r="G59" s="26">
        <f>143593429.03</f>
        <v>143593429.03</v>
      </c>
      <c r="H59" s="26">
        <f>3372836.88</f>
        <v>3372836.88</v>
      </c>
      <c r="I59" s="26">
        <f>337275</f>
        <v>337275</v>
      </c>
      <c r="J59" s="26">
        <f>18036033.27</f>
        <v>18036033.27</v>
      </c>
      <c r="K59" s="26">
        <f>29580880.23</f>
        <v>29580880.23</v>
      </c>
      <c r="L59" s="26">
        <f>7753381341.91</f>
        <v>7753381341.9099998</v>
      </c>
      <c r="M59" s="26">
        <f>4140093599.63</f>
        <v>4140093599.6300001</v>
      </c>
      <c r="N59" s="26">
        <f>47600902.99</f>
        <v>47600902.990000002</v>
      </c>
      <c r="O59" s="15">
        <f>1627611.84</f>
        <v>1627611.84</v>
      </c>
      <c r="P59" s="15">
        <f>1337967.36</f>
        <v>1337967.3600000001</v>
      </c>
      <c r="Q59" s="15">
        <f>289644.48</f>
        <v>289644.48</v>
      </c>
    </row>
    <row r="60" spans="1:17" ht="30.75" customHeight="1" x14ac:dyDescent="0.2">
      <c r="A60" s="22" t="s">
        <v>40</v>
      </c>
      <c r="B60" s="26">
        <f>5746391990.13</f>
        <v>5746391990.1300001</v>
      </c>
      <c r="C60" s="26">
        <f>5746221361.87</f>
        <v>5746221361.8699999</v>
      </c>
      <c r="D60" s="26">
        <f>331662192.79</f>
        <v>331662192.79000002</v>
      </c>
      <c r="E60" s="26">
        <f>179391371.83</f>
        <v>179391371.83000001</v>
      </c>
      <c r="F60" s="26">
        <f>17800580.55</f>
        <v>17800580.550000001</v>
      </c>
      <c r="G60" s="26">
        <f>133034072.5</f>
        <v>133034072.5</v>
      </c>
      <c r="H60" s="26">
        <f>1436167.91</f>
        <v>1436167.91</v>
      </c>
      <c r="I60" s="26">
        <f>0</f>
        <v>0</v>
      </c>
      <c r="J60" s="26">
        <f>1573202.14</f>
        <v>1573202.14</v>
      </c>
      <c r="K60" s="26">
        <f>4595510.94</f>
        <v>4595510.9400000004</v>
      </c>
      <c r="L60" s="26">
        <f>1934833991.16</f>
        <v>1934833991.1600001</v>
      </c>
      <c r="M60" s="26">
        <f>3381431520.75</f>
        <v>3381431520.75</v>
      </c>
      <c r="N60" s="26">
        <f>92124944.09</f>
        <v>92124944.090000004</v>
      </c>
      <c r="O60" s="15">
        <f>170628.26</f>
        <v>170628.26</v>
      </c>
      <c r="P60" s="15">
        <f>27262.1</f>
        <v>27262.1</v>
      </c>
      <c r="Q60" s="15">
        <f>143366.16</f>
        <v>143366.16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 Kwartał 2022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999668307.33</f>
        <v>999668307.33000004</v>
      </c>
      <c r="G87" s="33">
        <f>398134131.99</f>
        <v>398134131.99000001</v>
      </c>
      <c r="H87" s="33">
        <f>27285773.28</f>
        <v>27285773.280000001</v>
      </c>
      <c r="I87" s="33">
        <f>145437144.15</f>
        <v>145437144.15000001</v>
      </c>
      <c r="J87" s="33">
        <f>220631768.31</f>
        <v>220631768.31</v>
      </c>
      <c r="K87" s="33">
        <f>4779446.25</f>
        <v>4779446.25</v>
      </c>
      <c r="L87" s="33">
        <f>601534175.34</f>
        <v>601534175.34000003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994752</f>
        <v>994752</v>
      </c>
      <c r="G88" s="33">
        <f>994752</f>
        <v>994752</v>
      </c>
      <c r="H88" s="33">
        <f>0</f>
        <v>0</v>
      </c>
      <c r="I88" s="33">
        <f>0</f>
        <v>0</v>
      </c>
      <c r="J88" s="33">
        <f>994752</f>
        <v>994752</v>
      </c>
      <c r="K88" s="33">
        <f>0</f>
        <v>0</v>
      </c>
      <c r="L88" s="33">
        <f>0</f>
        <v>0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9768608.75</f>
        <v>9768608.75</v>
      </c>
      <c r="G89" s="33">
        <f>2713477.04</f>
        <v>2713477.04</v>
      </c>
      <c r="H89" s="33">
        <f>200000</f>
        <v>200000</v>
      </c>
      <c r="I89" s="33">
        <f>0</f>
        <v>0</v>
      </c>
      <c r="J89" s="33">
        <f>2403891</f>
        <v>2403891</v>
      </c>
      <c r="K89" s="33">
        <f>109586.04</f>
        <v>109586.04</v>
      </c>
      <c r="L89" s="33">
        <f>7055131.71</f>
        <v>7055131.71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12813108</f>
        <v>12813108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12813108</f>
        <v>12813108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63449.14</f>
        <v>63449.14</v>
      </c>
      <c r="G91" s="33">
        <f>1</f>
        <v>1</v>
      </c>
      <c r="H91" s="33">
        <f>0</f>
        <v>0</v>
      </c>
      <c r="I91" s="33">
        <f>1</f>
        <v>1</v>
      </c>
      <c r="J91" s="33">
        <f>0</f>
        <v>0</v>
      </c>
      <c r="K91" s="33">
        <f>0</f>
        <v>0</v>
      </c>
      <c r="L91" s="33">
        <f>63448.14</f>
        <v>63448.14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651935.2</f>
        <v>651935.19999999995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651935.2</f>
        <v>651935.19999999995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45000</f>
        <v>45000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45000</f>
        <v>45000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 Kwartał 2022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2248</f>
        <v>2248</v>
      </c>
      <c r="H99" s="67"/>
      <c r="I99" s="68">
        <f>7197622392.72999</f>
        <v>7197622392.72999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163</f>
        <v>163</v>
      </c>
      <c r="H100" s="77"/>
      <c r="I100" s="78">
        <f>-196445867.59</f>
        <v>-196445867.59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1</f>
        <v>1</v>
      </c>
      <c r="C104" s="8" t="str">
        <f>IF(B104=1,"I Kwartał",IF(B104=2,"II Kwartały",IF(B104=3,"III Kwartały",IF(B104=4,"IV Kwartały","-"))))</f>
        <v>I Kwartał</v>
      </c>
    </row>
    <row r="105" spans="1:11" ht="13.5" customHeight="1" x14ac:dyDescent="0.2">
      <c r="A105" s="8" t="s">
        <v>9</v>
      </c>
      <c r="B105" s="8">
        <f>2022</f>
        <v>2022</v>
      </c>
      <c r="C105" s="9"/>
    </row>
    <row r="106" spans="1:11" ht="13.5" customHeight="1" x14ac:dyDescent="0.2">
      <c r="A106" s="8" t="s">
        <v>10</v>
      </c>
      <c r="B106" s="10" t="str">
        <f>"May 19 2022 12:00AM"</f>
        <v>May 19 2022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2022-06-13T19:49:20Z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2022-06-13T21:49:18.3238360+02:00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GRN-f2e6ba51-9648-4bd6-82bd-93558a047c03</vt:lpwstr>
  </property>
  <property fmtid="{D5CDD505-2E9C-101B-9397-08002B2CF9AE}" pid="7" name="MFHash">
    <vt:lpwstr>r6Axv34REU7t2BuCudkKesd7WesAYdB+o6vDAAC1F30=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