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0"/>
  <workbookPr updateLinks="never"/>
  <mc:AlternateContent xmlns:mc="http://schemas.openxmlformats.org/markup-compatibility/2006">
    <mc:Choice Requires="x15">
      <x15ac:absPath xmlns:x15ac="http://schemas.microsoft.com/office/spreadsheetml/2010/11/ac" url="\\ncbr-local.lan\share\UG\dzialy\DRIM\Program Budownictwo efektywne energetycznie i procesowo\01_Dokumentacja\Załączniki do Regulaminu\Załączniki\Zał. do zał .1\"/>
    </mc:Choice>
  </mc:AlternateContent>
  <xr:revisionPtr revIDLastSave="21" documentId="11_F2B4003E430AD4C260CAC251017E2FC32756749A" xr6:coauthVersionLast="46" xr6:coauthVersionMax="46" xr10:uidLastSave="{F59F1D32-E3EE-4CA4-98C2-695E59103D45}"/>
  <bookViews>
    <workbookView xWindow="0" yWindow="0" windowWidth="19200" windowHeight="7050" tabRatio="838" xr2:uid="{00000000-000D-0000-FFFF-FFFF00000000}"/>
  </bookViews>
  <sheets>
    <sheet name="Zał. A2 Koszty całkowite" sheetId="15" r:id="rId1"/>
    <sheet name="Zał. B2 Bilans energetyczny" sheetId="6" r:id="rId2"/>
    <sheet name="Zał. C2 Bilans wodny" sheetId="26" r:id="rId3"/>
    <sheet name="Zał. D2 Ślad węglowy" sheetId="27" r:id="rId4"/>
    <sheet name="Zał. E2 Recykling mat. bud." sheetId="28" r:id="rId5"/>
    <sheet name="Profil użytkownika" sheetId="16" r:id="rId6"/>
    <sheet name="Taryfy" sheetId="23" r:id="rId7"/>
  </sheets>
  <definedNames>
    <definedName name="_xlnm.Print_Area" localSheetId="0">'Zał. A2 Koszty całkowite'!$A$17:$G$96,'Zał. A2 Koszty całkowite'!$A$155:$G$160,'Zał. A2 Koszty całkowite'!#REF!</definedName>
    <definedName name="_xlnm.Print_Area" localSheetId="4">'Zał. E2 Recykling mat. bud.'!$A$8:$G$43,'Zał. E2 Recykling mat. bud.'!#REF!,'Zał. E2 Recykling mat. bud.'!#REF!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3" l="1"/>
  <c r="N7" i="23"/>
  <c r="N16" i="23"/>
  <c r="N17" i="23"/>
  <c r="N18" i="23"/>
  <c r="N19" i="23"/>
  <c r="N20" i="23"/>
  <c r="N21" i="23"/>
  <c r="E23" i="26"/>
  <c r="D18" i="26"/>
  <c r="O15" i="23"/>
  <c r="O14" i="23"/>
  <c r="O13" i="23"/>
  <c r="K13" i="23" s="1"/>
  <c r="O12" i="23"/>
  <c r="K12" i="23" s="1"/>
  <c r="O11" i="23"/>
  <c r="O10" i="23"/>
  <c r="K10" i="23" s="1"/>
  <c r="O9" i="23"/>
  <c r="K9" i="23" s="1"/>
  <c r="O8" i="23"/>
  <c r="O6" i="23"/>
  <c r="O5" i="23"/>
  <c r="K5" i="23" s="1"/>
  <c r="O3" i="23"/>
  <c r="P3" i="23" s="1"/>
  <c r="Q3" i="23" s="1"/>
  <c r="R3" i="23" s="1"/>
  <c r="S3" i="23" s="1"/>
  <c r="T3" i="23" s="1"/>
  <c r="U3" i="23" s="1"/>
  <c r="V3" i="23" s="1"/>
  <c r="W3" i="23" s="1"/>
  <c r="X3" i="23" s="1"/>
  <c r="Y3" i="23" s="1"/>
  <c r="Z3" i="23" s="1"/>
  <c r="AA3" i="23" s="1"/>
  <c r="AB3" i="23" s="1"/>
  <c r="AC3" i="23" s="1"/>
  <c r="AD3" i="23" s="1"/>
  <c r="AE3" i="23" s="1"/>
  <c r="AF3" i="23" s="1"/>
  <c r="AG3" i="23" s="1"/>
  <c r="AH3" i="23" s="1"/>
  <c r="AI3" i="23" s="1"/>
  <c r="AJ3" i="23" s="1"/>
  <c r="AK3" i="23" s="1"/>
  <c r="AL3" i="23" s="1"/>
  <c r="AM3" i="23" s="1"/>
  <c r="AN3" i="23" s="1"/>
  <c r="AO3" i="23" s="1"/>
  <c r="AP3" i="23" s="1"/>
  <c r="AQ3" i="23" s="1"/>
  <c r="O18" i="23" l="1"/>
  <c r="K6" i="23"/>
  <c r="O20" i="23"/>
  <c r="K8" i="23"/>
  <c r="P11" i="23"/>
  <c r="K11" i="23"/>
  <c r="P14" i="23"/>
  <c r="K14" i="23"/>
  <c r="P15" i="23"/>
  <c r="Q15" i="23" s="1"/>
  <c r="R15" i="23" s="1"/>
  <c r="S15" i="23" s="1"/>
  <c r="T15" i="23" s="1"/>
  <c r="U15" i="23" s="1"/>
  <c r="V15" i="23" s="1"/>
  <c r="W15" i="23" s="1"/>
  <c r="X15" i="23" s="1"/>
  <c r="Y15" i="23" s="1"/>
  <c r="Z15" i="23" s="1"/>
  <c r="AA15" i="23" s="1"/>
  <c r="AB15" i="23" s="1"/>
  <c r="AC15" i="23" s="1"/>
  <c r="AD15" i="23" s="1"/>
  <c r="AE15" i="23" s="1"/>
  <c r="AF15" i="23" s="1"/>
  <c r="AG15" i="23" s="1"/>
  <c r="AH15" i="23" s="1"/>
  <c r="AI15" i="23" s="1"/>
  <c r="AJ15" i="23" s="1"/>
  <c r="AK15" i="23" s="1"/>
  <c r="AL15" i="23" s="1"/>
  <c r="AM15" i="23" s="1"/>
  <c r="AN15" i="23" s="1"/>
  <c r="AO15" i="23" s="1"/>
  <c r="AP15" i="23" s="1"/>
  <c r="AQ15" i="23" s="1"/>
  <c r="AR15" i="23" s="1"/>
  <c r="K15" i="23"/>
  <c r="P8" i="23"/>
  <c r="Q8" i="23" s="1"/>
  <c r="R8" i="23" s="1"/>
  <c r="O7" i="23"/>
  <c r="P6" i="23"/>
  <c r="AS15" i="23"/>
  <c r="L15" i="23" s="1"/>
  <c r="S8" i="23"/>
  <c r="P10" i="23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E10" i="23" s="1"/>
  <c r="AF10" i="23" s="1"/>
  <c r="AG10" i="23" s="1"/>
  <c r="AH10" i="23" s="1"/>
  <c r="AI10" i="23" s="1"/>
  <c r="AJ10" i="23" s="1"/>
  <c r="AK10" i="23" s="1"/>
  <c r="AL10" i="23" s="1"/>
  <c r="AM10" i="23" s="1"/>
  <c r="AN10" i="23" s="1"/>
  <c r="AO10" i="23" s="1"/>
  <c r="AP10" i="23" s="1"/>
  <c r="AQ10" i="23" s="1"/>
  <c r="AR10" i="23" s="1"/>
  <c r="Q11" i="23"/>
  <c r="R11" i="23" s="1"/>
  <c r="S11" i="23" s="1"/>
  <c r="T11" i="23" s="1"/>
  <c r="U11" i="23" s="1"/>
  <c r="V11" i="23" s="1"/>
  <c r="W11" i="23" s="1"/>
  <c r="X11" i="23" s="1"/>
  <c r="Y11" i="23" s="1"/>
  <c r="Z11" i="23" s="1"/>
  <c r="AA11" i="23" s="1"/>
  <c r="AB11" i="23" s="1"/>
  <c r="AC11" i="23" s="1"/>
  <c r="AD11" i="23" s="1"/>
  <c r="AE11" i="23" s="1"/>
  <c r="AF11" i="23" s="1"/>
  <c r="AG11" i="23" s="1"/>
  <c r="AH11" i="23" s="1"/>
  <c r="AI11" i="23" s="1"/>
  <c r="AJ11" i="23" s="1"/>
  <c r="AK11" i="23" s="1"/>
  <c r="AL11" i="23" s="1"/>
  <c r="AM11" i="23" s="1"/>
  <c r="AN11" i="23" s="1"/>
  <c r="AO11" i="23" s="1"/>
  <c r="AP11" i="23" s="1"/>
  <c r="AQ11" i="23" s="1"/>
  <c r="AR11" i="23" s="1"/>
  <c r="P13" i="23"/>
  <c r="Q13" i="23" s="1"/>
  <c r="R13" i="23" s="1"/>
  <c r="S13" i="23" s="1"/>
  <c r="T13" i="23" s="1"/>
  <c r="U13" i="23" s="1"/>
  <c r="V13" i="23" s="1"/>
  <c r="W13" i="23" s="1"/>
  <c r="X13" i="23" s="1"/>
  <c r="Y13" i="23" s="1"/>
  <c r="Z13" i="23" s="1"/>
  <c r="AA13" i="23" s="1"/>
  <c r="AB13" i="23" s="1"/>
  <c r="AC13" i="23" s="1"/>
  <c r="AD13" i="23" s="1"/>
  <c r="AE13" i="23" s="1"/>
  <c r="AF13" i="23" s="1"/>
  <c r="AG13" i="23" s="1"/>
  <c r="AH13" i="23" s="1"/>
  <c r="AI13" i="23" s="1"/>
  <c r="AJ13" i="23" s="1"/>
  <c r="AK13" i="23" s="1"/>
  <c r="AL13" i="23" s="1"/>
  <c r="AM13" i="23" s="1"/>
  <c r="AN13" i="23" s="1"/>
  <c r="AO13" i="23" s="1"/>
  <c r="AP13" i="23" s="1"/>
  <c r="AQ13" i="23" s="1"/>
  <c r="AR13" i="23" s="1"/>
  <c r="O17" i="23"/>
  <c r="O21" i="23"/>
  <c r="P9" i="23"/>
  <c r="O4" i="23"/>
  <c r="K4" i="23" s="1"/>
  <c r="P5" i="23"/>
  <c r="Q6" i="23"/>
  <c r="P12" i="23"/>
  <c r="Q12" i="23" s="1"/>
  <c r="R12" i="23" s="1"/>
  <c r="S12" i="23" s="1"/>
  <c r="T12" i="23" s="1"/>
  <c r="U12" i="23" s="1"/>
  <c r="V12" i="23" s="1"/>
  <c r="W12" i="23" s="1"/>
  <c r="X12" i="23" s="1"/>
  <c r="Y12" i="23" s="1"/>
  <c r="Z12" i="23" s="1"/>
  <c r="AA12" i="23" s="1"/>
  <c r="AB12" i="23" s="1"/>
  <c r="AC12" i="23" s="1"/>
  <c r="AD12" i="23" s="1"/>
  <c r="AE12" i="23" s="1"/>
  <c r="AF12" i="23" s="1"/>
  <c r="AG12" i="23" s="1"/>
  <c r="AH12" i="23" s="1"/>
  <c r="AI12" i="23" s="1"/>
  <c r="AJ12" i="23" s="1"/>
  <c r="AK12" i="23" s="1"/>
  <c r="AL12" i="23" s="1"/>
  <c r="AM12" i="23" s="1"/>
  <c r="AN12" i="23" s="1"/>
  <c r="AO12" i="23" s="1"/>
  <c r="AP12" i="23" s="1"/>
  <c r="AQ12" i="23" s="1"/>
  <c r="AR12" i="23" s="1"/>
  <c r="Q14" i="23"/>
  <c r="P7" i="23" l="1"/>
  <c r="K7" i="23"/>
  <c r="O19" i="23"/>
  <c r="P20" i="23"/>
  <c r="T8" i="23"/>
  <c r="AS13" i="23"/>
  <c r="L13" i="23" s="1"/>
  <c r="R14" i="23"/>
  <c r="Q20" i="23"/>
  <c r="AS12" i="23"/>
  <c r="L12" i="23" s="1"/>
  <c r="P18" i="23"/>
  <c r="P21" i="23"/>
  <c r="Q9" i="23"/>
  <c r="AS11" i="23"/>
  <c r="L11" i="23" s="1"/>
  <c r="P17" i="23"/>
  <c r="Q5" i="23"/>
  <c r="O16" i="23"/>
  <c r="P4" i="23"/>
  <c r="Q18" i="23"/>
  <c r="R6" i="23"/>
  <c r="AS10" i="23"/>
  <c r="L10" i="23" s="1"/>
  <c r="F64" i="27"/>
  <c r="Q7" i="23" l="1"/>
  <c r="P19" i="23"/>
  <c r="S14" i="23"/>
  <c r="R20" i="23"/>
  <c r="R9" i="23"/>
  <c r="Q21" i="23"/>
  <c r="U8" i="23"/>
  <c r="Q17" i="23"/>
  <c r="R5" i="23"/>
  <c r="P16" i="23"/>
  <c r="Q4" i="23"/>
  <c r="S6" i="23"/>
  <c r="R18" i="23"/>
  <c r="Q19" i="23" l="1"/>
  <c r="R7" i="23"/>
  <c r="V8" i="23"/>
  <c r="R21" i="23"/>
  <c r="S9" i="23"/>
  <c r="T14" i="23"/>
  <c r="S20" i="23"/>
  <c r="S18" i="23"/>
  <c r="T6" i="23"/>
  <c r="R4" i="23"/>
  <c r="Q16" i="23"/>
  <c r="R17" i="23"/>
  <c r="S5" i="23"/>
  <c r="R19" i="23" l="1"/>
  <c r="S7" i="23"/>
  <c r="W8" i="23"/>
  <c r="U14" i="23"/>
  <c r="T20" i="23"/>
  <c r="T9" i="23"/>
  <c r="S21" i="23"/>
  <c r="S17" i="23"/>
  <c r="T5" i="23"/>
  <c r="S4" i="23"/>
  <c r="R16" i="23"/>
  <c r="U6" i="23"/>
  <c r="T18" i="23"/>
  <c r="G66" i="23"/>
  <c r="G67" i="23"/>
  <c r="G61" i="23"/>
  <c r="G62" i="23"/>
  <c r="G60" i="23"/>
  <c r="G65" i="23"/>
  <c r="G64" i="6"/>
  <c r="G65" i="6"/>
  <c r="F64" i="6"/>
  <c r="F65" i="6"/>
  <c r="D66" i="23"/>
  <c r="E66" i="23"/>
  <c r="D67" i="23"/>
  <c r="E67" i="23"/>
  <c r="E61" i="23"/>
  <c r="E62" i="23"/>
  <c r="D61" i="23"/>
  <c r="D62" i="23"/>
  <c r="E60" i="23"/>
  <c r="D65" i="23"/>
  <c r="D60" i="23"/>
  <c r="F52" i="6"/>
  <c r="F53" i="6"/>
  <c r="F54" i="6"/>
  <c r="F55" i="6"/>
  <c r="F51" i="6"/>
  <c r="E52" i="6"/>
  <c r="E53" i="6"/>
  <c r="E54" i="6"/>
  <c r="E55" i="6"/>
  <c r="E56" i="6"/>
  <c r="E57" i="6"/>
  <c r="E51" i="6"/>
  <c r="D52" i="6"/>
  <c r="D53" i="6"/>
  <c r="D54" i="6"/>
  <c r="D55" i="6"/>
  <c r="D56" i="6"/>
  <c r="D57" i="6"/>
  <c r="D51" i="6"/>
  <c r="E42" i="23"/>
  <c r="C51" i="23"/>
  <c r="C50" i="23"/>
  <c r="C49" i="23"/>
  <c r="C48" i="23"/>
  <c r="C47" i="23"/>
  <c r="C46" i="23"/>
  <c r="C45" i="23"/>
  <c r="T7" i="23" l="1"/>
  <c r="S19" i="23"/>
  <c r="V14" i="23"/>
  <c r="U20" i="23"/>
  <c r="X8" i="23"/>
  <c r="U5" i="23"/>
  <c r="T17" i="23"/>
  <c r="V6" i="23"/>
  <c r="U18" i="23"/>
  <c r="U9" i="23"/>
  <c r="T21" i="23"/>
  <c r="T4" i="23"/>
  <c r="S16" i="23"/>
  <c r="I67" i="23"/>
  <c r="J67" i="23" s="1"/>
  <c r="I62" i="23"/>
  <c r="J62" i="23" s="1"/>
  <c r="I66" i="23"/>
  <c r="J66" i="23" s="1"/>
  <c r="I61" i="23"/>
  <c r="J61" i="23" s="1"/>
  <c r="F56" i="6"/>
  <c r="C8" i="6"/>
  <c r="C143" i="15"/>
  <c r="D19" i="26"/>
  <c r="E19" i="26" s="1"/>
  <c r="E18" i="26"/>
  <c r="E112" i="15"/>
  <c r="E111" i="15"/>
  <c r="C14" i="15"/>
  <c r="E109" i="15" s="1"/>
  <c r="F87" i="15"/>
  <c r="F77" i="15"/>
  <c r="F76" i="15"/>
  <c r="F67" i="15"/>
  <c r="F66" i="15"/>
  <c r="F62" i="15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65" i="27"/>
  <c r="G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U7" i="23" l="1"/>
  <c r="T19" i="23"/>
  <c r="U4" i="23"/>
  <c r="T16" i="23"/>
  <c r="V5" i="23"/>
  <c r="U17" i="23"/>
  <c r="U21" i="23"/>
  <c r="V9" i="23"/>
  <c r="Y8" i="23"/>
  <c r="W6" i="23"/>
  <c r="V18" i="23"/>
  <c r="W14" i="23"/>
  <c r="V20" i="23"/>
  <c r="C124" i="15"/>
  <c r="C147" i="15" s="1"/>
  <c r="C123" i="15"/>
  <c r="C146" i="15" s="1"/>
  <c r="H65" i="6"/>
  <c r="H64" i="6"/>
  <c r="E115" i="15"/>
  <c r="C145" i="15" s="1"/>
  <c r="F72" i="15"/>
  <c r="C139" i="15" s="1"/>
  <c r="F93" i="15"/>
  <c r="C141" i="15" s="1"/>
  <c r="F82" i="15"/>
  <c r="C140" i="15" s="1"/>
  <c r="F50" i="15"/>
  <c r="E69" i="27"/>
  <c r="F63" i="15"/>
  <c r="C138" i="15" s="1"/>
  <c r="E22" i="26"/>
  <c r="E25" i="26"/>
  <c r="V7" i="23" l="1"/>
  <c r="U19" i="23"/>
  <c r="X14" i="23"/>
  <c r="W20" i="23"/>
  <c r="W18" i="23"/>
  <c r="X6" i="23"/>
  <c r="Z8" i="23"/>
  <c r="V17" i="23"/>
  <c r="W5" i="23"/>
  <c r="V21" i="23"/>
  <c r="W9" i="23"/>
  <c r="U16" i="23"/>
  <c r="V4" i="23"/>
  <c r="G44" i="28"/>
  <c r="E47" i="28" s="1"/>
  <c r="C137" i="15"/>
  <c r="C149" i="15" s="1"/>
  <c r="C144" i="15"/>
  <c r="W7" i="23" l="1"/>
  <c r="V19" i="23"/>
  <c r="AA8" i="23"/>
  <c r="X18" i="23"/>
  <c r="Y6" i="23"/>
  <c r="Y14" i="23"/>
  <c r="X20" i="23"/>
  <c r="V16" i="23"/>
  <c r="W4" i="23"/>
  <c r="W21" i="23"/>
  <c r="X9" i="23"/>
  <c r="W17" i="23"/>
  <c r="X5" i="23"/>
  <c r="D19" i="6"/>
  <c r="E26" i="6"/>
  <c r="E25" i="6"/>
  <c r="G42" i="23" s="1"/>
  <c r="E24" i="6"/>
  <c r="G41" i="23" s="1"/>
  <c r="E30" i="6"/>
  <c r="G39" i="23" s="1"/>
  <c r="E29" i="6"/>
  <c r="G40" i="23" s="1"/>
  <c r="E28" i="6"/>
  <c r="G38" i="23" s="1"/>
  <c r="E27" i="6"/>
  <c r="G37" i="23" s="1"/>
  <c r="E23" i="6"/>
  <c r="G34" i="23" s="1"/>
  <c r="E22" i="6"/>
  <c r="G36" i="23" s="1"/>
  <c r="E21" i="6"/>
  <c r="G35" i="23" s="1"/>
  <c r="E20" i="6"/>
  <c r="G31" i="23" s="1"/>
  <c r="E19" i="6"/>
  <c r="G32" i="23" s="1"/>
  <c r="E18" i="6"/>
  <c r="G33" i="23" s="1"/>
  <c r="E17" i="6"/>
  <c r="G29" i="23" s="1"/>
  <c r="E16" i="6"/>
  <c r="G30" i="23" s="1"/>
  <c r="D26" i="6"/>
  <c r="D25" i="6"/>
  <c r="F42" i="23" s="1"/>
  <c r="D24" i="6"/>
  <c r="D30" i="6"/>
  <c r="D29" i="6"/>
  <c r="D28" i="6"/>
  <c r="D27" i="6"/>
  <c r="D23" i="6"/>
  <c r="D22" i="6"/>
  <c r="D21" i="6"/>
  <c r="D20" i="6"/>
  <c r="D18" i="6"/>
  <c r="D17" i="6"/>
  <c r="D16" i="6"/>
  <c r="E44" i="6"/>
  <c r="E43" i="6"/>
  <c r="G43" i="23" s="1"/>
  <c r="E42" i="6"/>
  <c r="CA2" i="16"/>
  <c r="E45" i="6" s="1"/>
  <c r="G44" i="23" s="1"/>
  <c r="BU4" i="16"/>
  <c r="BU3" i="16"/>
  <c r="BU2" i="16"/>
  <c r="BL4" i="16"/>
  <c r="BL3" i="16"/>
  <c r="BL2" i="16"/>
  <c r="F16" i="6"/>
  <c r="D30" i="23" s="1"/>
  <c r="W19" i="23" l="1"/>
  <c r="X7" i="23"/>
  <c r="X17" i="23"/>
  <c r="Y5" i="23"/>
  <c r="W16" i="23"/>
  <c r="X4" i="23"/>
  <c r="Z14" i="23"/>
  <c r="Y20" i="23"/>
  <c r="Z6" i="23"/>
  <c r="Y18" i="23"/>
  <c r="X21" i="23"/>
  <c r="Y9" i="23"/>
  <c r="AB8" i="23"/>
  <c r="D7" i="23"/>
  <c r="E65" i="23"/>
  <c r="C30" i="6"/>
  <c r="C29" i="6"/>
  <c r="C28" i="6"/>
  <c r="C27" i="6"/>
  <c r="X19" i="23" l="1"/>
  <c r="Y7" i="23"/>
  <c r="AA6" i="23"/>
  <c r="Z18" i="23"/>
  <c r="AC8" i="23"/>
  <c r="AA14" i="23"/>
  <c r="Z20" i="23"/>
  <c r="X16" i="23"/>
  <c r="Y4" i="23"/>
  <c r="Y21" i="23"/>
  <c r="Z9" i="23"/>
  <c r="Z5" i="23"/>
  <c r="Y17" i="23"/>
  <c r="C95" i="6"/>
  <c r="C97" i="6" s="1"/>
  <c r="E34" i="23"/>
  <c r="E32" i="23"/>
  <c r="E29" i="23"/>
  <c r="E41" i="23"/>
  <c r="E44" i="23"/>
  <c r="E43" i="23"/>
  <c r="E36" i="23"/>
  <c r="E35" i="23"/>
  <c r="E33" i="23"/>
  <c r="E31" i="23"/>
  <c r="E30" i="23"/>
  <c r="Z7" i="23" l="1"/>
  <c r="Y19" i="23"/>
  <c r="AD8" i="23"/>
  <c r="AA5" i="23"/>
  <c r="Z17" i="23"/>
  <c r="Z21" i="23"/>
  <c r="AA9" i="23"/>
  <c r="Z4" i="23"/>
  <c r="Y16" i="23"/>
  <c r="AB14" i="23"/>
  <c r="AA20" i="23"/>
  <c r="AB6" i="23"/>
  <c r="AA18" i="23"/>
  <c r="I65" i="23"/>
  <c r="G63" i="6" s="1"/>
  <c r="Z19" i="23" l="1"/>
  <c r="AA7" i="23"/>
  <c r="AA21" i="23"/>
  <c r="AB9" i="23"/>
  <c r="AB5" i="23"/>
  <c r="AA17" i="23"/>
  <c r="AE8" i="23"/>
  <c r="AB18" i="23"/>
  <c r="AC6" i="23"/>
  <c r="AC14" i="23"/>
  <c r="AB20" i="23"/>
  <c r="Z16" i="23"/>
  <c r="AA4" i="23"/>
  <c r="J65" i="23"/>
  <c r="G92" i="6"/>
  <c r="C10" i="6"/>
  <c r="E15" i="23" s="1"/>
  <c r="BE4" i="16"/>
  <c r="BF4" i="16" s="1"/>
  <c r="BE2" i="16"/>
  <c r="BF2" i="16" s="1"/>
  <c r="AA19" i="23" l="1"/>
  <c r="AB7" i="23"/>
  <c r="AF8" i="23"/>
  <c r="AC5" i="23"/>
  <c r="AB17" i="23"/>
  <c r="AD6" i="23"/>
  <c r="AC18" i="23"/>
  <c r="AB4" i="23"/>
  <c r="AA16" i="23"/>
  <c r="AD14" i="23"/>
  <c r="AC20" i="23"/>
  <c r="AC9" i="23"/>
  <c r="AB21" i="23"/>
  <c r="D8" i="23"/>
  <c r="F8" i="23"/>
  <c r="F7" i="23"/>
  <c r="E8" i="23"/>
  <c r="E7" i="23"/>
  <c r="I8" i="23"/>
  <c r="H8" i="23"/>
  <c r="G8" i="23"/>
  <c r="G7" i="23"/>
  <c r="I7" i="23"/>
  <c r="H7" i="23"/>
  <c r="AB19" i="23" l="1"/>
  <c r="AC7" i="23"/>
  <c r="AE6" i="23"/>
  <c r="AD18" i="23"/>
  <c r="AC21" i="23"/>
  <c r="AD9" i="23"/>
  <c r="AE14" i="23"/>
  <c r="AD20" i="23"/>
  <c r="AG8" i="23"/>
  <c r="AD5" i="23"/>
  <c r="AC17" i="23"/>
  <c r="AC4" i="23"/>
  <c r="AB16" i="23"/>
  <c r="C102" i="6"/>
  <c r="BZ4" i="16"/>
  <c r="BZ3" i="16"/>
  <c r="BV2" i="16"/>
  <c r="BV3" i="16"/>
  <c r="BV4" i="16"/>
  <c r="BT4" i="16"/>
  <c r="BT3" i="16"/>
  <c r="BT2" i="16"/>
  <c r="BQ4" i="16"/>
  <c r="BQ3" i="16"/>
  <c r="BQ2" i="16"/>
  <c r="BN4" i="16"/>
  <c r="BN3" i="16"/>
  <c r="BN2" i="16"/>
  <c r="BK2" i="16"/>
  <c r="BK3" i="16"/>
  <c r="BK4" i="16"/>
  <c r="AD7" i="23" l="1"/>
  <c r="AC19" i="23"/>
  <c r="AF14" i="23"/>
  <c r="AE20" i="23"/>
  <c r="AC16" i="23"/>
  <c r="AD4" i="23"/>
  <c r="AD17" i="23"/>
  <c r="AE5" i="23"/>
  <c r="AH8" i="23"/>
  <c r="AD21" i="23"/>
  <c r="AE9" i="23"/>
  <c r="AE18" i="23"/>
  <c r="AF6" i="23"/>
  <c r="F57" i="6"/>
  <c r="F43" i="23"/>
  <c r="F44" i="23"/>
  <c r="AE7" i="23" l="1"/>
  <c r="AD19" i="23"/>
  <c r="AF18" i="23"/>
  <c r="AG6" i="23"/>
  <c r="AI8" i="23"/>
  <c r="AE17" i="23"/>
  <c r="AF5" i="23"/>
  <c r="AD16" i="23"/>
  <c r="AE4" i="23"/>
  <c r="AE21" i="23"/>
  <c r="AF9" i="23"/>
  <c r="AG14" i="23"/>
  <c r="AF20" i="23"/>
  <c r="H92" i="6"/>
  <c r="I60" i="23"/>
  <c r="F63" i="6" s="1"/>
  <c r="F92" i="6"/>
  <c r="G102" i="6"/>
  <c r="AE19" i="23" l="1"/>
  <c r="AF7" i="23"/>
  <c r="AF17" i="23"/>
  <c r="AG5" i="23"/>
  <c r="AF21" i="23"/>
  <c r="AG9" i="23"/>
  <c r="AE16" i="23"/>
  <c r="AF4" i="23"/>
  <c r="AG18" i="23"/>
  <c r="AH6" i="23"/>
  <c r="AH14" i="23"/>
  <c r="AG20" i="23"/>
  <c r="AJ8" i="23"/>
  <c r="J60" i="23"/>
  <c r="L60" i="23" s="1"/>
  <c r="D92" i="6"/>
  <c r="AF19" i="23" l="1"/>
  <c r="AG7" i="23"/>
  <c r="AI6" i="23"/>
  <c r="AH18" i="23"/>
  <c r="AF16" i="23"/>
  <c r="AG4" i="23"/>
  <c r="AK8" i="23"/>
  <c r="AH9" i="23"/>
  <c r="AG21" i="23"/>
  <c r="AI14" i="23"/>
  <c r="AH20" i="23"/>
  <c r="AG17" i="23"/>
  <c r="AH5" i="23"/>
  <c r="H63" i="6"/>
  <c r="B99" i="15"/>
  <c r="AG19" i="23" l="1"/>
  <c r="AH7" i="23"/>
  <c r="AI9" i="23"/>
  <c r="AH21" i="23"/>
  <c r="AL8" i="23"/>
  <c r="AH17" i="23"/>
  <c r="AI5" i="23"/>
  <c r="AH4" i="23"/>
  <c r="AG16" i="23"/>
  <c r="AJ14" i="23"/>
  <c r="AI20" i="23"/>
  <c r="AJ6" i="23"/>
  <c r="AI18" i="23"/>
  <c r="E40" i="6"/>
  <c r="E39" i="6"/>
  <c r="E38" i="6"/>
  <c r="F26" i="6"/>
  <c r="F25" i="6"/>
  <c r="D42" i="23" s="1"/>
  <c r="F24" i="6"/>
  <c r="D41" i="23" s="1"/>
  <c r="F30" i="6"/>
  <c r="D39" i="23" s="1"/>
  <c r="F29" i="6"/>
  <c r="D40" i="23" s="1"/>
  <c r="F28" i="6"/>
  <c r="D38" i="23" s="1"/>
  <c r="F27" i="6"/>
  <c r="D37" i="23" s="1"/>
  <c r="F23" i="6"/>
  <c r="D34" i="23" s="1"/>
  <c r="F34" i="23"/>
  <c r="F22" i="6"/>
  <c r="D36" i="23" s="1"/>
  <c r="F36" i="23"/>
  <c r="F21" i="6"/>
  <c r="D35" i="23" s="1"/>
  <c r="F35" i="23"/>
  <c r="F20" i="6"/>
  <c r="D31" i="23" s="1"/>
  <c r="F31" i="23"/>
  <c r="F19" i="6"/>
  <c r="D32" i="23" s="1"/>
  <c r="F32" i="23"/>
  <c r="F18" i="6"/>
  <c r="D33" i="23" s="1"/>
  <c r="F33" i="23"/>
  <c r="F17" i="6"/>
  <c r="D29" i="23" s="1"/>
  <c r="F29" i="23"/>
  <c r="F30" i="23"/>
  <c r="AI7" i="23" l="1"/>
  <c r="AH19" i="23"/>
  <c r="AM8" i="23"/>
  <c r="AJ5" i="23"/>
  <c r="AI17" i="23"/>
  <c r="AK6" i="23"/>
  <c r="AJ18" i="23"/>
  <c r="AK14" i="23"/>
  <c r="AJ20" i="23"/>
  <c r="AI4" i="23"/>
  <c r="AH16" i="23"/>
  <c r="AJ9" i="23"/>
  <c r="AI21" i="23"/>
  <c r="Q42" i="23"/>
  <c r="O42" i="23"/>
  <c r="K42" i="23"/>
  <c r="I42" i="23"/>
  <c r="M42" i="23"/>
  <c r="S42" i="23"/>
  <c r="S29" i="23"/>
  <c r="Q29" i="23"/>
  <c r="O29" i="23"/>
  <c r="E16" i="23"/>
  <c r="D44" i="23"/>
  <c r="F40" i="23"/>
  <c r="F39" i="23"/>
  <c r="F37" i="23"/>
  <c r="F41" i="23"/>
  <c r="M29" i="23"/>
  <c r="K29" i="23"/>
  <c r="I29" i="23"/>
  <c r="F38" i="23"/>
  <c r="D43" i="23"/>
  <c r="BA3" i="16"/>
  <c r="BE3" i="16" s="1"/>
  <c r="BF3" i="16" s="1"/>
  <c r="H111" i="6"/>
  <c r="AI19" i="23" l="1"/>
  <c r="AJ7" i="23"/>
  <c r="AL14" i="23"/>
  <c r="AK20" i="23"/>
  <c r="AJ21" i="23"/>
  <c r="AK9" i="23"/>
  <c r="AJ4" i="23"/>
  <c r="AI16" i="23"/>
  <c r="AK5" i="23"/>
  <c r="AJ17" i="23"/>
  <c r="AL6" i="23"/>
  <c r="AK18" i="23"/>
  <c r="AN8" i="23"/>
  <c r="Q37" i="23"/>
  <c r="S37" i="23"/>
  <c r="O37" i="23"/>
  <c r="S44" i="23"/>
  <c r="O44" i="23"/>
  <c r="Q44" i="23"/>
  <c r="S33" i="23"/>
  <c r="O33" i="23"/>
  <c r="Q33" i="23"/>
  <c r="O32" i="23"/>
  <c r="Q32" i="23"/>
  <c r="S32" i="23"/>
  <c r="Q31" i="23"/>
  <c r="S31" i="23"/>
  <c r="O31" i="23"/>
  <c r="O40" i="23"/>
  <c r="Q40" i="23"/>
  <c r="S40" i="23"/>
  <c r="Q39" i="23"/>
  <c r="S39" i="23"/>
  <c r="O39" i="23"/>
  <c r="Q30" i="23"/>
  <c r="S30" i="23"/>
  <c r="O30" i="23"/>
  <c r="Q38" i="23"/>
  <c r="S38" i="23"/>
  <c r="O38" i="23"/>
  <c r="Q36" i="23"/>
  <c r="S36" i="23"/>
  <c r="O36" i="23"/>
  <c r="Q41" i="23"/>
  <c r="S41" i="23"/>
  <c r="O41" i="23"/>
  <c r="S35" i="23"/>
  <c r="O35" i="23"/>
  <c r="Q35" i="23"/>
  <c r="S43" i="23"/>
  <c r="O43" i="23"/>
  <c r="Q43" i="23"/>
  <c r="S34" i="23"/>
  <c r="O34" i="23"/>
  <c r="Q34" i="23"/>
  <c r="I30" i="23"/>
  <c r="I31" i="23"/>
  <c r="K33" i="23"/>
  <c r="I33" i="23"/>
  <c r="M33" i="23"/>
  <c r="M39" i="23"/>
  <c r="K39" i="23"/>
  <c r="I39" i="23"/>
  <c r="M30" i="23"/>
  <c r="K30" i="23"/>
  <c r="I40" i="23"/>
  <c r="M40" i="23"/>
  <c r="K40" i="23"/>
  <c r="K44" i="23"/>
  <c r="I44" i="23"/>
  <c r="M44" i="23"/>
  <c r="M37" i="23"/>
  <c r="K37" i="23"/>
  <c r="I37" i="23"/>
  <c r="K36" i="23"/>
  <c r="I36" i="23"/>
  <c r="M36" i="23"/>
  <c r="I32" i="23"/>
  <c r="M32" i="23"/>
  <c r="K32" i="23"/>
  <c r="M31" i="23"/>
  <c r="K31" i="23"/>
  <c r="M38" i="23"/>
  <c r="K38" i="23"/>
  <c r="I38" i="23"/>
  <c r="I35" i="23"/>
  <c r="M35" i="23"/>
  <c r="K35" i="23"/>
  <c r="I43" i="23"/>
  <c r="M43" i="23"/>
  <c r="K43" i="23"/>
  <c r="K41" i="23"/>
  <c r="I41" i="23"/>
  <c r="M41" i="23"/>
  <c r="M34" i="23"/>
  <c r="K34" i="23"/>
  <c r="I34" i="23"/>
  <c r="C9" i="6"/>
  <c r="E17" i="23" s="1"/>
  <c r="AC18" i="16"/>
  <c r="AJ19" i="23" l="1"/>
  <c r="AK7" i="23"/>
  <c r="AK4" i="23"/>
  <c r="AJ16" i="23"/>
  <c r="AO8" i="23"/>
  <c r="AK21" i="23"/>
  <c r="AL9" i="23"/>
  <c r="AM6" i="23"/>
  <c r="AL18" i="23"/>
  <c r="AL5" i="23"/>
  <c r="AK17" i="23"/>
  <c r="AM14" i="23"/>
  <c r="AL20" i="23"/>
  <c r="I52" i="23"/>
  <c r="C93" i="6" s="1"/>
  <c r="O52" i="23"/>
  <c r="Q52" i="23"/>
  <c r="G93" i="6" s="1"/>
  <c r="K52" i="23"/>
  <c r="D93" i="6" s="1"/>
  <c r="S52" i="23"/>
  <c r="H93" i="6" s="1"/>
  <c r="M52" i="23"/>
  <c r="E93" i="6" s="1"/>
  <c r="AL7" i="23" l="1"/>
  <c r="AK19" i="23"/>
  <c r="AN14" i="23"/>
  <c r="AM20" i="23"/>
  <c r="AP8" i="23"/>
  <c r="AL21" i="23"/>
  <c r="AM9" i="23"/>
  <c r="AL17" i="23"/>
  <c r="AM5" i="23"/>
  <c r="AM18" i="23"/>
  <c r="AN6" i="23"/>
  <c r="AL4" i="23"/>
  <c r="AK16" i="23"/>
  <c r="S53" i="23"/>
  <c r="F93" i="6"/>
  <c r="M53" i="23"/>
  <c r="D102" i="6"/>
  <c r="E102" i="6"/>
  <c r="F102" i="6"/>
  <c r="G104" i="6"/>
  <c r="H102" i="6"/>
  <c r="C104" i="6"/>
  <c r="C107" i="6" s="1"/>
  <c r="D95" i="6"/>
  <c r="D97" i="6" s="1"/>
  <c r="E95" i="6"/>
  <c r="E97" i="6" s="1"/>
  <c r="F95" i="6"/>
  <c r="F97" i="6" s="1"/>
  <c r="G95" i="6"/>
  <c r="G97" i="6" s="1"/>
  <c r="H95" i="6"/>
  <c r="H97" i="6" s="1"/>
  <c r="AM7" i="23" l="1"/>
  <c r="AL19" i="23"/>
  <c r="AM21" i="23"/>
  <c r="AN9" i="23"/>
  <c r="AQ8" i="23"/>
  <c r="AN18" i="23"/>
  <c r="AO6" i="23"/>
  <c r="AM17" i="23"/>
  <c r="AN5" i="23"/>
  <c r="AL16" i="23"/>
  <c r="AM4" i="23"/>
  <c r="AO14" i="23"/>
  <c r="AN20" i="23"/>
  <c r="F104" i="6"/>
  <c r="F107" i="6" s="1"/>
  <c r="D104" i="6"/>
  <c r="D107" i="6" s="1"/>
  <c r="H104" i="6"/>
  <c r="H107" i="6" s="1"/>
  <c r="G107" i="6"/>
  <c r="E104" i="6"/>
  <c r="E107" i="6" s="1"/>
  <c r="C92" i="6"/>
  <c r="E92" i="6"/>
  <c r="AM19" i="23" l="1"/>
  <c r="AN7" i="23"/>
  <c r="AP14" i="23"/>
  <c r="AO20" i="23"/>
  <c r="AR8" i="23"/>
  <c r="AN17" i="23"/>
  <c r="AO5" i="23"/>
  <c r="AM16" i="23"/>
  <c r="AN4" i="23"/>
  <c r="AN21" i="23"/>
  <c r="AO9" i="23"/>
  <c r="AP6" i="23"/>
  <c r="AO18" i="23"/>
  <c r="H109" i="6"/>
  <c r="H115" i="6" s="1"/>
  <c r="AN19" i="23" l="1"/>
  <c r="AO7" i="23"/>
  <c r="AP5" i="23"/>
  <c r="AO17" i="23"/>
  <c r="AP18" i="23"/>
  <c r="AQ6" i="23"/>
  <c r="AS8" i="23"/>
  <c r="L8" i="23" s="1"/>
  <c r="AO21" i="23"/>
  <c r="AP9" i="23"/>
  <c r="AN16" i="23"/>
  <c r="AO4" i="23"/>
  <c r="AQ14" i="23"/>
  <c r="AP20" i="23"/>
  <c r="G14" i="23" l="1"/>
  <c r="F103" i="6" s="1"/>
  <c r="F105" i="6" s="1"/>
  <c r="AP7" i="23"/>
  <c r="AO19" i="23"/>
  <c r="AQ18" i="23"/>
  <c r="AR6" i="23"/>
  <c r="AP21" i="23"/>
  <c r="AQ9" i="23"/>
  <c r="AR14" i="23"/>
  <c r="AQ20" i="23"/>
  <c r="AO16" i="23"/>
  <c r="AP4" i="23"/>
  <c r="AP17" i="23"/>
  <c r="AQ5" i="23"/>
  <c r="AQ7" i="23" l="1"/>
  <c r="AP19" i="23"/>
  <c r="AQ4" i="23"/>
  <c r="AP16" i="23"/>
  <c r="AS14" i="23"/>
  <c r="L14" i="23" s="1"/>
  <c r="G13" i="23" s="1"/>
  <c r="F96" i="6" s="1"/>
  <c r="F98" i="6" s="1"/>
  <c r="F108" i="6" s="1"/>
  <c r="AR20" i="23"/>
  <c r="AS20" i="23" s="1"/>
  <c r="AQ17" i="23"/>
  <c r="AR5" i="23"/>
  <c r="AQ21" i="23"/>
  <c r="AR9" i="23"/>
  <c r="AR18" i="23"/>
  <c r="AS18" i="23" s="1"/>
  <c r="AS6" i="23"/>
  <c r="L6" i="23" s="1"/>
  <c r="I14" i="23" l="1"/>
  <c r="H103" i="6" s="1"/>
  <c r="H105" i="6" s="1"/>
  <c r="I13" i="23"/>
  <c r="H96" i="6" s="1"/>
  <c r="H98" i="6" s="1"/>
  <c r="H108" i="6" s="1"/>
  <c r="AR7" i="23"/>
  <c r="AQ19" i="23"/>
  <c r="AR21" i="23"/>
  <c r="AS21" i="23" s="1"/>
  <c r="AS9" i="23"/>
  <c r="L9" i="23" s="1"/>
  <c r="AR17" i="23"/>
  <c r="AS17" i="23" s="1"/>
  <c r="AS5" i="23"/>
  <c r="L5" i="23" s="1"/>
  <c r="AR4" i="23"/>
  <c r="AQ16" i="23"/>
  <c r="E14" i="23" l="1"/>
  <c r="D103" i="6" s="1"/>
  <c r="D105" i="6" s="1"/>
  <c r="E13" i="23"/>
  <c r="D96" i="6" s="1"/>
  <c r="D98" i="6" s="1"/>
  <c r="D108" i="6" s="1"/>
  <c r="D13" i="23"/>
  <c r="C96" i="6" s="1"/>
  <c r="C98" i="6" s="1"/>
  <c r="D14" i="23"/>
  <c r="C103" i="6" s="1"/>
  <c r="C105" i="6" s="1"/>
  <c r="AR19" i="23"/>
  <c r="AS19" i="23" s="1"/>
  <c r="AS7" i="23"/>
  <c r="L7" i="23" s="1"/>
  <c r="AR16" i="23"/>
  <c r="AS16" i="23" s="1"/>
  <c r="AS4" i="23"/>
  <c r="L4" i="23" s="1"/>
  <c r="H14" i="23" l="1"/>
  <c r="G103" i="6" s="1"/>
  <c r="G105" i="6" s="1"/>
  <c r="H13" i="23"/>
  <c r="G96" i="6" s="1"/>
  <c r="G98" i="6" s="1"/>
  <c r="G108" i="6" s="1"/>
  <c r="F13" i="23"/>
  <c r="E96" i="6" s="1"/>
  <c r="E98" i="6" s="1"/>
  <c r="F14" i="23"/>
  <c r="E103" i="6" s="1"/>
  <c r="E105" i="6" s="1"/>
  <c r="C108" i="6"/>
  <c r="E108" i="6" l="1"/>
  <c r="H110" i="6" s="1"/>
  <c r="H112" i="6" s="1"/>
  <c r="B100" i="15" s="1"/>
  <c r="B101" i="15" s="1"/>
  <c r="C142" i="15" l="1"/>
  <c r="C150" i="15" s="1"/>
  <c r="C136" i="15" s="1"/>
  <c r="C152" i="15" s="1"/>
  <c r="A101" i="15"/>
</calcChain>
</file>

<file path=xl/sharedStrings.xml><?xml version="1.0" encoding="utf-8"?>
<sst xmlns="http://schemas.openxmlformats.org/spreadsheetml/2006/main" count="944" uniqueCount="609">
  <si>
    <t>Załącznik A2. Koszty całkowite</t>
  </si>
  <si>
    <t>Pola oznaczone kolorem:</t>
  </si>
  <si>
    <t>uzupełnia Wykonawca</t>
  </si>
  <si>
    <t>służą do wybrania danych z listy rozwijanej</t>
  </si>
  <si>
    <t>służą do podania wyników obliczeń wartości wymagań konkursowych</t>
  </si>
  <si>
    <t>KROK 1. Wybierz typ budynku i uzupełnij powierzchnię całkowitą</t>
  </si>
  <si>
    <t>Budynek</t>
  </si>
  <si>
    <t>jednorodzinny</t>
  </si>
  <si>
    <t>wybierz typ budynku</t>
  </si>
  <si>
    <t>Liczba mieszkańców</t>
  </si>
  <si>
    <t>Powierzchnia całkowita [m2]*</t>
  </si>
  <si>
    <t>* Powierzchnia całkowita to suma wszystkich trzech typów powierzchni całkowitej wyróżnionych w normie PN-ISO 9836:2015-12 (kondygnacje zamknięte, częściowo zamknięte, ograniczone innymi elementami budowlanymi)</t>
  </si>
  <si>
    <t>KROK 2. Wypełnij tabelę nr 1</t>
  </si>
  <si>
    <t>Tabela 1 Deklarowane koszty budynku</t>
  </si>
  <si>
    <t>Część 1. Koszty budowy</t>
  </si>
  <si>
    <t>Lp</t>
  </si>
  <si>
    <t>Nazwa elementu</t>
  </si>
  <si>
    <t>Deklarowana ilość jednostkowa</t>
  </si>
  <si>
    <t>j.m</t>
  </si>
  <si>
    <t>Cena jednostkowa w zł brutto</t>
  </si>
  <si>
    <t>Cena całkowita brutto</t>
  </si>
  <si>
    <t>Innowacja/rozwiązanie dostepne na rynku</t>
  </si>
  <si>
    <t>1.1</t>
  </si>
  <si>
    <t>rozwiązanie dostępne na rynku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</si>
  <si>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</si>
  <si>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</si>
  <si>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</si>
  <si>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</si>
  <si>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</si>
  <si>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</si>
  <si>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</si>
  <si>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</si>
  <si>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</si>
  <si>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</si>
  <si>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</si>
  <si>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</si>
  <si>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</si>
  <si>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</si>
  <si>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</si>
  <si>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</si>
  <si>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</si>
  <si>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</si>
  <si>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</si>
  <si>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</si>
  <si>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</si>
  <si>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</si>
  <si>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</si>
  <si>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</si>
  <si>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</si>
  <si>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</si>
  <si>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</si>
  <si>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r>
      <t>Koszty budynku, K</t>
    </r>
    <r>
      <rPr>
        <b/>
        <vertAlign val="subscript"/>
        <sz val="12"/>
        <color theme="1"/>
        <rFont val="Calibri"/>
        <family val="2"/>
        <charset val="238"/>
        <scheme val="minor"/>
      </rPr>
      <t>b</t>
    </r>
  </si>
  <si>
    <t>Część 2. Koszty prac związanych z zagospodarowaniem terenu</t>
  </si>
  <si>
    <t>j.m. (jednostka miary)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</si>
  <si>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</si>
  <si>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</si>
  <si>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</si>
  <si>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</si>
  <si>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</si>
  <si>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</si>
  <si>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</si>
  <si>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</si>
  <si>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</si>
  <si>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</si>
  <si>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r>
      <t>Koszty prac związanych z zagospodarowaniem terenu, K</t>
    </r>
    <r>
      <rPr>
        <b/>
        <vertAlign val="subscript"/>
        <sz val="12"/>
        <color theme="1"/>
        <rFont val="Calibri"/>
        <family val="2"/>
        <charset val="238"/>
        <scheme val="minor"/>
      </rPr>
      <t>t</t>
    </r>
  </si>
  <si>
    <t>Część 3. Koszty prac serwisowych urządzeń zamontowanych na stałe przez 3 lata od zakończenia budowy</t>
  </si>
  <si>
    <t xml:space="preserve">j.m. </t>
  </si>
  <si>
    <t>3.1</t>
  </si>
  <si>
    <t>3.2</t>
  </si>
  <si>
    <t>3.3</t>
  </si>
  <si>
    <t>3.4</t>
  </si>
  <si>
    <t>3.5</t>
  </si>
  <si>
    <t>3.6</t>
  </si>
  <si>
    <r>
      <t>Koszty prac serwisowych urządzeń zamontowanych na stałe przez 3 lata od zakończenia budowy, K</t>
    </r>
    <r>
      <rPr>
        <b/>
        <vertAlign val="subscript"/>
        <sz val="12"/>
        <color theme="1"/>
        <rFont val="Calibri"/>
        <family val="2"/>
        <charset val="238"/>
        <scheme val="minor"/>
      </rPr>
      <t>s</t>
    </r>
  </si>
  <si>
    <t>Część 4. koszty serwisu urządzeń zamontowanych na stałe po upływie 3 lat od zakończenia budowy, [zł]</t>
  </si>
  <si>
    <t>j.m.</t>
  </si>
  <si>
    <t>4.1</t>
  </si>
  <si>
    <t>4.2</t>
  </si>
  <si>
    <t>4.3</t>
  </si>
  <si>
    <t>4.4</t>
  </si>
  <si>
    <t>4.5</t>
  </si>
  <si>
    <t>4.6</t>
  </si>
  <si>
    <t>Część 5. Koszty prac odtworzeniowych przez 30 lat od dnia zakończenia budowy (koszt wymiany wszystkich niezbędnych elementów instalacj w okresie użytkowania)</t>
  </si>
  <si>
    <t>Rok wymiany</t>
  </si>
  <si>
    <t>5.1</t>
  </si>
  <si>
    <t>5.2</t>
  </si>
  <si>
    <t>5.3</t>
  </si>
  <si>
    <t>5.4</t>
  </si>
  <si>
    <t>5.5</t>
  </si>
  <si>
    <t>5.6</t>
  </si>
  <si>
    <r>
      <t>Koszty prac prac odtworzeniowych przez 30 lat od dnia zakończenia budowy, K</t>
    </r>
    <r>
      <rPr>
        <b/>
        <vertAlign val="subscript"/>
        <sz val="12"/>
        <color theme="1"/>
        <rFont val="Calibri"/>
        <family val="2"/>
        <charset val="238"/>
        <scheme val="minor"/>
      </rPr>
      <t>o</t>
    </r>
  </si>
  <si>
    <t>KROK 3. Przejdź do zakładki zał. B2 Bilans energetyczny. Po jej uzupełnieniu poniższa tabela zostanie uzupełniona automatycznie na podstawie danych z komórki H112** z Zał. B2 Bilans energetyczny.</t>
  </si>
  <si>
    <t>** obliczenia wartości rocznego bilansu energetycznego wyrażononego kosztowo uwzględniającego sprzedaż i zakup energii elektrycznej wg prognozy uśrednionej taryfy na lata 2024-2053 w zależności od pory dnia i pory roku</t>
  </si>
  <si>
    <t>Tabela 2 Roczny koszt/przychód z tytułu bilansowania energii</t>
  </si>
  <si>
    <t>Powierzchnia budynku [m2]</t>
  </si>
  <si>
    <t>Bilans energetyczny [zł/m2 x rok]</t>
  </si>
  <si>
    <t>dalsze obliczenia są możliwe po uzupełnieniu zał. B2 Bilans energetyczny</t>
  </si>
  <si>
    <t>KROK 4. Wypełnij tabelę nr 3</t>
  </si>
  <si>
    <t xml:space="preserve">Tabela 3 Deklarowane zużycie wody i ścieków </t>
  </si>
  <si>
    <t>Ilość wody pobranej z sieci</t>
  </si>
  <si>
    <t>współczynnik oszczędzania wody</t>
  </si>
  <si>
    <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=[(w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-w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*s-w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*d)*n/(w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*n)]*100%</t>
    </r>
  </si>
  <si>
    <t>gdzie:</t>
  </si>
  <si>
    <t>Wartość deklarowana</t>
  </si>
  <si>
    <t>n</t>
  </si>
  <si>
    <t>liczba  mieszkańców</t>
  </si>
  <si>
    <t>szt.</t>
  </si>
  <si>
    <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</si>
  <si>
    <t>Maksymalna wartość zużycia wody pobranej z sieci</t>
  </si>
  <si>
    <t>litr/dobę</t>
  </si>
  <si>
    <t>s</t>
  </si>
  <si>
    <t>Deklarowana wartość procentowego udziału ilość wody szarej</t>
  </si>
  <si>
    <t>litr/dobe</t>
  </si>
  <si>
    <t>d</t>
  </si>
  <si>
    <t>Deklarowana wartość procentowego udziału ilość wody deszczowej</t>
  </si>
  <si>
    <t>w</t>
  </si>
  <si>
    <t xml:space="preserve"> Koszt wody </t>
  </si>
  <si>
    <t>zł/m3</t>
  </si>
  <si>
    <t>ś</t>
  </si>
  <si>
    <t xml:space="preserve"> Koszt ścieków</t>
  </si>
  <si>
    <t>Ilośc wody pobranej z sieci [litr/dobę]</t>
  </si>
  <si>
    <t>Ilość ścieków [litr/dobę]</t>
  </si>
  <si>
    <t>KROK 5. Przejdź do kolejnego kroku - wartości w tabeli 4 są uzupełniane automatycznie</t>
  </si>
  <si>
    <t>Tabela 4 Zakładane koszty remontów i administracji</t>
  </si>
  <si>
    <t>Nazwa kosztu</t>
  </si>
  <si>
    <t>Roczny koszt [zł]</t>
  </si>
  <si>
    <t>1.</t>
  </si>
  <si>
    <t>Koszty remontu</t>
  </si>
  <si>
    <t xml:space="preserve">2. </t>
  </si>
  <si>
    <t xml:space="preserve">Koszty administracji </t>
  </si>
  <si>
    <t>KROK 6. Wartość komórki G110 to parametr konkursowy, który należy zamieścić w zał. 3. Wniosek</t>
  </si>
  <si>
    <t>Tabela 5 Podsumowanie dotyczące kosztów budynku i eksploatacji</t>
  </si>
  <si>
    <t>wzór do obliczeń kosztów budynku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</si>
  <si>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 xml:space="preserve">=(CAPEX+OPEX)/A
</t>
    </r>
  </si>
  <si>
    <t>wzór do obliczenia parametru konkursowego nr 1. Koszty całkowite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</si>
  <si>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= [(K</t>
    </r>
    <r>
      <rPr>
        <b/>
        <vertAlign val="subscript"/>
        <sz val="11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+K</t>
    </r>
    <r>
      <rPr>
        <b/>
        <vertAlign val="subscript"/>
        <sz val="11"/>
        <color theme="1"/>
        <rFont val="Calibri"/>
        <family val="2"/>
        <charset val="238"/>
        <scheme val="minor"/>
      </rPr>
      <t>t</t>
    </r>
    <r>
      <rPr>
        <b/>
        <sz val="11"/>
        <color theme="1"/>
        <rFont val="Calibri"/>
        <family val="2"/>
        <charset val="238"/>
        <scheme val="minor"/>
      </rPr>
      <t>+K</t>
    </r>
    <r>
      <rPr>
        <b/>
        <vertAlign val="subscript"/>
        <sz val="11"/>
        <color theme="1"/>
        <rFont val="Calibri"/>
        <family val="2"/>
        <charset val="238"/>
        <scheme val="minor"/>
      </rPr>
      <t>s1</t>
    </r>
    <r>
      <rPr>
        <b/>
        <sz val="11"/>
        <color theme="1"/>
        <rFont val="Calibri"/>
        <family val="2"/>
        <charset val="238"/>
        <scheme val="minor"/>
      </rPr>
      <t>)+30BA+30D(z</t>
    </r>
    <r>
      <rPr>
        <b/>
        <vertAlign val="sub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w+z</t>
    </r>
    <r>
      <rPr>
        <b/>
        <vertAlign val="subscript"/>
        <sz val="11"/>
        <color theme="1"/>
        <rFont val="Calibri"/>
        <family val="2"/>
        <charset val="238"/>
        <scheme val="minor"/>
      </rPr>
      <t>ś</t>
    </r>
    <r>
      <rPr>
        <b/>
        <sz val="11"/>
        <color theme="1"/>
        <rFont val="Calibri"/>
        <family val="2"/>
        <charset val="238"/>
        <scheme val="minor"/>
      </rPr>
      <t>ś+k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>+k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+K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  <r>
      <rPr>
        <b/>
        <sz val="11"/>
        <color theme="1"/>
        <rFont val="Calibri"/>
        <family val="2"/>
        <charset val="238"/>
        <scheme val="minor"/>
      </rPr>
      <t>)+27DK</t>
    </r>
    <r>
      <rPr>
        <b/>
        <vertAlign val="subscript"/>
        <sz val="11"/>
        <color theme="1"/>
        <rFont val="Calibri"/>
        <family val="2"/>
        <charset val="238"/>
        <scheme val="minor"/>
      </rPr>
      <t>s2</t>
    </r>
    <r>
      <rPr>
        <b/>
        <sz val="11"/>
        <color theme="1"/>
        <rFont val="Calibri"/>
        <family val="2"/>
        <charset val="238"/>
        <scheme val="minor"/>
      </rPr>
      <t>]/A</t>
    </r>
  </si>
  <si>
    <t>Wartość obliczona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</si>
  <si>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</si>
  <si>
    <t>koszt całkowity brutto, [zł]</t>
  </si>
  <si>
    <t>zł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</si>
  <si>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</t>
    </r>
  </si>
  <si>
    <t>koszt budynku z wyposażeniem deklarowany przez Wykonawcę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</si>
  <si>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t</t>
    </r>
  </si>
  <si>
    <t>koszty związane z zagospodarowaniem terenu deklarowane przez Wykonawcę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</si>
  <si>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s1</t>
    </r>
  </si>
  <si>
    <t>koszty serwisu urządzeń zamontowanych na stałe przez 3 lata od zakończenia budowy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</si>
  <si>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s2</t>
    </r>
  </si>
  <si>
    <t>koszty serwisu urządzeń zamontowanych na stałe po upływie 3 lat od zakończenia budowy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</si>
  <si>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o</t>
    </r>
  </si>
  <si>
    <t>koszty prac prac odtworzeniowych przez 30 lat od dnia zakończenia budowy</t>
  </si>
  <si>
    <t>B</t>
  </si>
  <si>
    <t>roczny koszt (+)/przychód z tytułu bilansowania energii (-) uwzględniający średnią wartość taryf energii elektrycznej w latach 2024-2053, [zł]</t>
  </si>
  <si>
    <t>[zł]</t>
  </si>
  <si>
    <t>A</t>
  </si>
  <si>
    <t>powierzchnia całkowita budynku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</si>
  <si>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</si>
  <si>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z</t>
    </r>
    <r>
      <rPr>
        <b/>
        <vertAlign val="subscript"/>
        <sz val="11"/>
        <color theme="1"/>
        <rFont val="Calibri"/>
        <family val="2"/>
        <charset val="238"/>
        <scheme val="minor"/>
      </rPr>
      <t>w</t>
    </r>
    <r>
      <rPr>
        <b/>
        <sz val="11"/>
        <color theme="1"/>
        <rFont val="Calibri"/>
        <family val="2"/>
        <charset val="238"/>
        <scheme val="minor"/>
      </rPr>
      <t>w</t>
    </r>
  </si>
  <si>
    <t>koszt zużycia wody na budynek deklarowane przez Wykonawcę (trakowane jako pobór wody z sieci)</t>
  </si>
  <si>
    <t>zł/rok</t>
  </si>
  <si>
    <r>
      <t>z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ś </t>
    </r>
    <r>
      <rPr>
        <b/>
        <sz val="11"/>
        <color theme="1"/>
        <rFont val="Calibri"/>
        <family val="2"/>
        <charset val="238"/>
        <scheme val="minor"/>
      </rPr>
      <t>Ś</t>
    </r>
  </si>
  <si>
    <t>koszt zużycia ścieków  na budynek deklarowane przez Wykonawcę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</si>
  <si>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</si>
  <si>
    <t xml:space="preserve">zakładane koszty remontów 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</si>
  <si>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</si>
  <si>
    <t>zakładane koszty administracji</t>
  </si>
  <si>
    <t>D</t>
  </si>
  <si>
    <t>stopa dyskontowa dla kosztów wody, ścieków, administracji i remontów, kosztów odtworzeniowych</t>
  </si>
  <si>
    <t>%</t>
  </si>
  <si>
    <t xml:space="preserve">CAPEX </t>
  </si>
  <si>
    <t>koszty budowy</t>
  </si>
  <si>
    <t xml:space="preserve">OPEX </t>
  </si>
  <si>
    <t>koszty eksploatacji przez 30 lat</t>
  </si>
  <si>
    <t xml:space="preserve">OBLICZONY PARAMETR KONKURSOWY NR 1: Koszty całkowite </t>
  </si>
  <si>
    <t>[zł/m2]</t>
  </si>
  <si>
    <t>Załącznik B2. Bilans energetyczny</t>
  </si>
  <si>
    <t>Powierzchnia całkowita [m2]</t>
  </si>
  <si>
    <t>Powierzchnia całkowita to suma wszystkich trzech typów powierzchni całkowitej wyróżnionych w normie PN-ISO 9836:2015-12 (kondygnacje zamknięte, częściowo zamknięte, ograniczone innymi elementami budowlanymi)</t>
  </si>
  <si>
    <t>KROK 1. wypełnij tabelę 1</t>
  </si>
  <si>
    <t>Tabela 1  Zużycie energii - Grupa 1. Deklarowane moce urządzeń AGD/RTV i innych odbiorników energii</t>
  </si>
  <si>
    <t>nazwa urządzenia</t>
  </si>
  <si>
    <t>śr. moc pobierana [W]</t>
  </si>
  <si>
    <t>czas używania zimą [h/doba]</t>
  </si>
  <si>
    <t>czas używania latem [h/doba]</t>
  </si>
  <si>
    <t>liczba urządzeń w budynku [szt.]</t>
  </si>
  <si>
    <t>płyta indukcyjna</t>
  </si>
  <si>
    <t>2.</t>
  </si>
  <si>
    <t>czajnik</t>
  </si>
  <si>
    <t>3.</t>
  </si>
  <si>
    <t>kuchenka mikrofalowa</t>
  </si>
  <si>
    <t>4.</t>
  </si>
  <si>
    <t>lodówka</t>
  </si>
  <si>
    <t>5.</t>
  </si>
  <si>
    <t>piekarnik</t>
  </si>
  <si>
    <t>6.</t>
  </si>
  <si>
    <t>okap</t>
  </si>
  <si>
    <t>7.</t>
  </si>
  <si>
    <t>pralka</t>
  </si>
  <si>
    <t>8.</t>
  </si>
  <si>
    <t>zmywarka</t>
  </si>
  <si>
    <t>9.</t>
  </si>
  <si>
    <t>winda</t>
  </si>
  <si>
    <t>10.</t>
  </si>
  <si>
    <t>Ładowarki do samochodów elektrycznych</t>
  </si>
  <si>
    <t>11.</t>
  </si>
  <si>
    <t>Monitoring</t>
  </si>
  <si>
    <t>12.</t>
  </si>
  <si>
    <t>odkurzacz</t>
  </si>
  <si>
    <t>13.</t>
  </si>
  <si>
    <t>komputer/konsola do gier</t>
  </si>
  <si>
    <t>14.</t>
  </si>
  <si>
    <t>sprzęt RTV</t>
  </si>
  <si>
    <t>15.</t>
  </si>
  <si>
    <t>żelazko</t>
  </si>
  <si>
    <t>KROK 2. Wypełnij tabelę 2</t>
  </si>
  <si>
    <t xml:space="preserve"> Tabela 2 Zużycie energii - Grupa 2. Deklarowana moc punktów świetlnych</t>
  </si>
  <si>
    <t>liczba punktów świetonych w mieszkaniu [szt.]</t>
  </si>
  <si>
    <t>liczba mieszkań [szt.]</t>
  </si>
  <si>
    <t>m</t>
  </si>
  <si>
    <t>liczba punktów świetlnych w częściach wspólnych [szt.]</t>
  </si>
  <si>
    <t>Moc punktu świetlnego (żarówki) [W]</t>
  </si>
  <si>
    <t>P</t>
  </si>
  <si>
    <t>czas używania punktów świetlnych w mieszkaniach zimą [h/doba]</t>
  </si>
  <si>
    <t>tmz</t>
  </si>
  <si>
    <t>czas używania punktów świetlnych w mieszkaniach latem [h/doba]</t>
  </si>
  <si>
    <t>tml</t>
  </si>
  <si>
    <t>czas używania punktów świetlnych w częściach wspólnych zimą [h/doba]</t>
  </si>
  <si>
    <t>twz</t>
  </si>
  <si>
    <t>czas używania punktów świetlnych w częściach wspólnych latem [h/doba]</t>
  </si>
  <si>
    <t>twl</t>
  </si>
  <si>
    <t>KROK 3. Wypełnij tabelę 3</t>
  </si>
  <si>
    <r>
      <t xml:space="preserve">Tabela 3 Zużycie energii - Grupa 3. Deklarowana moc urządzeń działających na potrzeby instalacji w budynku
</t>
    </r>
    <r>
      <rPr>
        <b/>
        <i/>
        <u/>
        <sz val="11"/>
        <color theme="1"/>
        <rFont val="Calibri"/>
        <family val="2"/>
        <charset val="238"/>
        <scheme val="minor"/>
      </rPr>
      <t>UWAGA: Dla poszczególnych elementów należy uzupełnić w zakładce "Taryfy" część II. ROZKŁAD ZUŻYCIA ENERGII ELEKTRYCZNEJ dla pól oznaczonych kolorem</t>
    </r>
  </si>
  <si>
    <t>Deklarowana moc [W]</t>
  </si>
  <si>
    <t>KROK 4. wypełnij tabelę 4</t>
  </si>
  <si>
    <r>
      <t>Tabela 4 Deklarowana produkcja energii elektrycznej* z OZE, EN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OZE
</t>
    </r>
    <r>
      <rPr>
        <b/>
        <sz val="11"/>
        <color theme="1"/>
        <rFont val="Calibri"/>
        <family val="2"/>
        <charset val="238"/>
        <scheme val="minor"/>
      </rPr>
      <t/>
    </r>
  </si>
  <si>
    <t>Nazwa instalacji</t>
  </si>
  <si>
    <t>ilość [szt.]</t>
  </si>
  <si>
    <t>EFEKTYWNA** MOC JEDNOSTKOWA MODUŁU 
[w]
ZIMA
1.X - 31.III</t>
  </si>
  <si>
    <t>EFEKTYWNA** MOC JEDNOSTKOWA MODUŁU
[w]
LATO
1.IV - 30.IX</t>
  </si>
  <si>
    <t xml:space="preserve">EFEKTYWNA MOC CAŁKOWITA MODUŁÓW
[w]
ZIMA
1.X - 31.III </t>
  </si>
  <si>
    <t>EFEKTYWNA MOC CAŁKOWITA MODUŁÓW
[w]
LATO
1.IV - 30.IX</t>
  </si>
  <si>
    <t>CAŁKOWITA
PRODUKCJA
ROCZNA
[kWh]</t>
  </si>
  <si>
    <t>* Dla innych rodzajów energii niż produkowana z promieniowaniasłonecznego należy zmodyfikować zaproponowany algorytm obliczeń oraz przedstawić: 
a) przyjęte założenia do dalszych obliczeń
b) wyniki cząstkowe związane z produkcją energii poszczególnych urządzeń w budynku
c) wyniki końcowe związane z całkowitą produkcją energii w budynku</t>
  </si>
  <si>
    <t>** Efektywna moc określona przez Wykonawcę na podstawie mocy nominalnej urządzeń.</t>
  </si>
  <si>
    <t>KROK 5. wypełnij tabelę 5</t>
  </si>
  <si>
    <t>Tabela 5 Deklarowane magazynowanie energii</t>
  </si>
  <si>
    <t>maksymalna pojemność jednostkowa [kWh]</t>
  </si>
  <si>
    <t>Magazyn energii elektrycznej</t>
  </si>
  <si>
    <t>KROK 6. wypełnij tabelę 6</t>
  </si>
  <si>
    <t>Tabela 6 Przykład bilansowania energii</t>
  </si>
  <si>
    <t>wzór do obliczenia parametru konkursowego nr 2. Bilans energetyczny</t>
  </si>
  <si>
    <r>
      <t>B</t>
    </r>
    <r>
      <rPr>
        <b/>
        <vertAlign val="subscript"/>
        <sz val="11"/>
        <color theme="1"/>
        <rFont val="Calibri"/>
        <family val="2"/>
        <charset val="238"/>
        <scheme val="minor"/>
      </rPr>
      <t>2024</t>
    </r>
    <r>
      <rPr>
        <b/>
        <sz val="11"/>
        <color theme="1"/>
        <rFont val="Calibri"/>
        <family val="2"/>
        <charset val="238"/>
        <scheme val="minor"/>
      </rPr>
      <t xml:space="preserve"> = (∑: P</t>
    </r>
    <r>
      <rPr>
        <b/>
        <vertAlign val="subscript"/>
        <sz val="11"/>
        <color theme="1"/>
        <rFont val="Calibri"/>
        <family val="2"/>
        <charset val="238"/>
        <scheme val="minor"/>
      </rPr>
      <t>EN S</t>
    </r>
    <r>
      <rPr>
        <b/>
        <sz val="11"/>
        <color theme="1"/>
        <rFont val="Calibri"/>
        <family val="2"/>
        <charset val="238"/>
        <scheme val="minor"/>
      </rPr>
      <t xml:space="preserve"> – K</t>
    </r>
    <r>
      <rPr>
        <b/>
        <vertAlign val="subscript"/>
        <sz val="11"/>
        <color theme="1"/>
        <rFont val="Calibri"/>
        <family val="2"/>
        <charset val="238"/>
        <scheme val="minor"/>
      </rPr>
      <t>EN K</t>
    </r>
    <r>
      <rPr>
        <b/>
        <sz val="11"/>
        <color theme="1"/>
        <rFont val="Calibri"/>
        <family val="2"/>
        <charset val="238"/>
        <scheme val="minor"/>
      </rPr>
      <t xml:space="preserve"> )/A, [zł/m2 na rok]</t>
    </r>
  </si>
  <si>
    <r>
      <t>B</t>
    </r>
    <r>
      <rPr>
        <vertAlign val="subscript"/>
        <sz val="10"/>
        <color theme="1"/>
        <rFont val="Calibri"/>
        <family val="2"/>
        <charset val="238"/>
        <scheme val="minor"/>
      </rPr>
      <t>2024</t>
    </r>
  </si>
  <si>
    <t>roczny bilans energetyczny wyrażony kosztowo uwzględniający sprzedaż i zakup energii wg prognozowane taryf opłat w zależności od pory dnia i pory roku w roku 2024, [zł/m2 na rok]</t>
  </si>
  <si>
    <r>
      <t>P</t>
    </r>
    <r>
      <rPr>
        <vertAlign val="subscript"/>
        <sz val="10"/>
        <color theme="1"/>
        <rFont val="Calibri"/>
        <family val="2"/>
        <charset val="238"/>
        <scheme val="minor"/>
      </rPr>
      <t>EN S</t>
    </r>
  </si>
  <si>
    <t>całkowity przychód z tytułu sprzedaży energii elektrycznej do sieci w zależności od pory dnia i pory roku, z uwzględnieniem bilansowania produkcji energii przez OZE, zużycia energii na potrzeby budynku i magazynowania energii w ciągu roku, [zł]</t>
  </si>
  <si>
    <r>
      <t>K</t>
    </r>
    <r>
      <rPr>
        <vertAlign val="subscript"/>
        <sz val="10"/>
        <color theme="1"/>
        <rFont val="Calibri"/>
        <family val="2"/>
        <charset val="238"/>
        <scheme val="minor"/>
      </rPr>
      <t>EN K</t>
    </r>
  </si>
  <si>
    <t>całkowity koszt energii elektrycznej zakupionej z sieci w zależności od pory dnia i pory roku, [zł]</t>
  </si>
  <si>
    <t>łączna powierzchnia całkowita to suma wszystkich trzech typów powierzchni całkowitej wyróżnionych w normie PN-ISO 9836:2015-12 (kondygnacje zamknięte, częściowo zamknięte, ograniczone innymi elementami budowlanymi), [m2]</t>
  </si>
  <si>
    <t>Obliczenia dotyczące dobowego bilansu energetycznego budynku w zalezności od pory dnia i pory roku</t>
  </si>
  <si>
    <t>ZIMA (180 dni)
październik - marzec</t>
  </si>
  <si>
    <t>LATO (180 dni)
kwiecień -wrzesień</t>
  </si>
  <si>
    <t>godziny w ciągu doby</t>
  </si>
  <si>
    <t>22:00-8:00</t>
  </si>
  <si>
    <t>8:00-16:00</t>
  </si>
  <si>
    <t>16:00-22:00</t>
  </si>
  <si>
    <t>22:00-7:00</t>
  </si>
  <si>
    <t>7:00-18:00</t>
  </si>
  <si>
    <t>18:00-22:00</t>
  </si>
  <si>
    <t>I.</t>
  </si>
  <si>
    <t>Energia wyprodukowana z OZE w ciągu doby [kWh]</t>
  </si>
  <si>
    <t>II.</t>
  </si>
  <si>
    <t>Energia zużyta przez budynek w ciągu doby [kWh] - gr. 1, gr. 2, gr. 3</t>
  </si>
  <si>
    <t>III.</t>
  </si>
  <si>
    <t>Energia kupiona z sieci [kWh]</t>
  </si>
  <si>
    <t>taryfa za energię pobraną z sieci [zł za kWh] - prognoza na rok 2024</t>
  </si>
  <si>
    <t>taryfa za energię pobraną z sieci [zł za kWh] - prognoza na lata 2024-2053</t>
  </si>
  <si>
    <r>
      <t xml:space="preserve">K 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EN K, </t>
    </r>
    <r>
      <rPr>
        <sz val="11"/>
        <color theme="1"/>
        <rFont val="Calibri"/>
        <family val="2"/>
        <charset val="238"/>
        <scheme val="minor"/>
      </rPr>
      <t>koszt pobrania energii [zł] - prognoza na rok 2024</t>
    </r>
  </si>
  <si>
    <r>
      <t xml:space="preserve">K </t>
    </r>
    <r>
      <rPr>
        <vertAlign val="subscript"/>
        <sz val="11"/>
        <color theme="1"/>
        <rFont val="Calibri"/>
        <family val="2"/>
        <charset val="238"/>
        <scheme val="minor"/>
      </rPr>
      <t>EN K,</t>
    </r>
    <r>
      <rPr>
        <sz val="11"/>
        <color theme="1"/>
        <rFont val="Calibri"/>
        <family val="2"/>
        <charset val="238"/>
        <scheme val="minor"/>
      </rPr>
      <t xml:space="preserve"> koszt pobrania energii [zł] - prognoza na rok 2024-2053</t>
    </r>
  </si>
  <si>
    <t>IV.</t>
  </si>
  <si>
    <t>Energia oddana do magazynu energii w budynku [kWh]</t>
  </si>
  <si>
    <t>V</t>
  </si>
  <si>
    <t>Energia pobrana z magazynu energii w budynku [kWh]</t>
  </si>
  <si>
    <t>VI.</t>
  </si>
  <si>
    <t>Energia sprzedana do sieci [kWh]</t>
  </si>
  <si>
    <t>taryfa za energię sprzedaną do sieci jako prosument  - prognoza na rok 2024</t>
  </si>
  <si>
    <t>taryfa za energię sprzedaną do sieci [zł za kWh] - prognoza na lata 2024-2053</t>
  </si>
  <si>
    <r>
      <t xml:space="preserve">P 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EN S, </t>
    </r>
    <r>
      <rPr>
        <sz val="11"/>
        <color theme="1"/>
        <rFont val="Calibri"/>
        <family val="2"/>
        <charset val="238"/>
        <scheme val="minor"/>
      </rPr>
      <t>przychód ze sprzedaży energii [zł] - prognoza na rok 2024</t>
    </r>
  </si>
  <si>
    <r>
      <t xml:space="preserve">P </t>
    </r>
    <r>
      <rPr>
        <vertAlign val="subscript"/>
        <sz val="11"/>
        <color theme="1"/>
        <rFont val="Calibri"/>
        <family val="2"/>
        <charset val="238"/>
        <scheme val="minor"/>
      </rPr>
      <t>EN S</t>
    </r>
    <r>
      <rPr>
        <sz val="11"/>
        <color theme="1"/>
        <rFont val="Calibri"/>
        <family val="2"/>
        <charset val="238"/>
        <scheme val="minor"/>
      </rPr>
      <t>, przychód ze sprzedaży energii [zł] - prognoza na rok 2024-2053</t>
    </r>
  </si>
  <si>
    <t>VII</t>
  </si>
  <si>
    <t>Bilans energii, [kWh]</t>
  </si>
  <si>
    <t>VIII.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</si>
  <si>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EN S</t>
    </r>
    <r>
      <rPr>
        <b/>
        <sz val="11"/>
        <color theme="1"/>
        <rFont val="Calibri"/>
        <family val="2"/>
        <charset val="238"/>
        <scheme val="minor"/>
      </rPr>
      <t xml:space="preserve"> - K</t>
    </r>
    <r>
      <rPr>
        <b/>
        <vertAlign val="subscript"/>
        <sz val="11"/>
        <color theme="1"/>
        <rFont val="Calibri"/>
        <family val="2"/>
        <charset val="238"/>
        <scheme val="minor"/>
      </rPr>
      <t>EN K</t>
    </r>
    <r>
      <rPr>
        <b/>
        <sz val="11"/>
        <color theme="1"/>
        <rFont val="Calibri"/>
        <family val="2"/>
        <charset val="238"/>
        <scheme val="minor"/>
      </rPr>
      <t xml:space="preserve">
Bilans sprzedaży i zakupu energii elektrycznej wg prognozy taryf na rok 2024, [zł]</t>
    </r>
  </si>
  <si>
    <r>
      <t>P</t>
    </r>
    <r>
      <rPr>
        <vertAlign val="subscript"/>
        <sz val="11"/>
        <color theme="1"/>
        <rFont val="Calibri"/>
        <family val="2"/>
        <charset val="238"/>
        <scheme val="minor"/>
      </rPr>
      <t>EN S</t>
    </r>
    <r>
      <rPr>
        <sz val="11"/>
        <color theme="1"/>
        <rFont val="Calibri"/>
        <family val="2"/>
        <charset val="238"/>
        <scheme val="minor"/>
      </rPr>
      <t xml:space="preserve"> - K</t>
    </r>
    <r>
      <rPr>
        <vertAlign val="subscript"/>
        <sz val="11"/>
        <color theme="1"/>
        <rFont val="Calibri"/>
        <family val="2"/>
        <charset val="238"/>
        <scheme val="minor"/>
      </rPr>
      <t>EN K</t>
    </r>
    <r>
      <rPr>
        <sz val="11"/>
        <color theme="1"/>
        <rFont val="Calibri"/>
        <family val="2"/>
        <charset val="238"/>
        <scheme val="minor"/>
      </rPr>
      <t xml:space="preserve">
Bilans sprzedaży i zakupu energii elektrycznej  wg prognozy uśrednionej taryfy na latach 2024-2053, [zł]</t>
    </r>
  </si>
  <si>
    <t>IX</t>
  </si>
  <si>
    <r>
      <rPr>
        <b/>
        <sz val="11"/>
        <color theme="1"/>
        <rFont val="Calibri"/>
        <family val="2"/>
        <charset val="238"/>
      </rPr>
      <t>∑: P</t>
    </r>
    <r>
      <rPr>
        <b/>
        <vertAlign val="subscript"/>
        <sz val="11"/>
        <color theme="1"/>
        <rFont val="Calibri"/>
        <family val="2"/>
        <charset val="238"/>
      </rPr>
      <t>EN S</t>
    </r>
    <r>
      <rPr>
        <b/>
        <sz val="11"/>
        <color theme="1"/>
        <rFont val="Calibri"/>
        <family val="2"/>
        <charset val="238"/>
      </rPr>
      <t xml:space="preserve"> - K</t>
    </r>
    <r>
      <rPr>
        <b/>
        <vertAlign val="subscript"/>
        <sz val="11"/>
        <color theme="1"/>
        <rFont val="Calibri"/>
        <family val="2"/>
        <charset val="238"/>
      </rPr>
      <t>EN K</t>
    </r>
    <r>
      <rPr>
        <b/>
        <sz val="7.7"/>
        <color theme="1"/>
        <rFont val="Calibri"/>
        <family val="2"/>
        <charset val="238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Całkowity bilans sprzedaży i zakupu energii elektrycznej w ciągu roku wg prognozy taryf na rok 2024, [zł]</t>
    </r>
  </si>
  <si>
    <r>
      <t>∑: P</t>
    </r>
    <r>
      <rPr>
        <vertAlign val="subscript"/>
        <sz val="11"/>
        <color theme="1"/>
        <rFont val="Calibri"/>
        <family val="2"/>
        <charset val="238"/>
        <scheme val="minor"/>
      </rPr>
      <t>EN S</t>
    </r>
    <r>
      <rPr>
        <sz val="11"/>
        <color theme="1"/>
        <rFont val="Calibri"/>
        <family val="2"/>
        <charset val="238"/>
        <scheme val="minor"/>
      </rPr>
      <t xml:space="preserve"> - K</t>
    </r>
    <r>
      <rPr>
        <vertAlign val="subscript"/>
        <sz val="11"/>
        <color theme="1"/>
        <rFont val="Calibri"/>
        <family val="2"/>
        <charset val="238"/>
        <scheme val="minor"/>
      </rPr>
      <t>EN K</t>
    </r>
    <r>
      <rPr>
        <sz val="11"/>
        <color theme="1"/>
        <rFont val="Calibri"/>
        <family val="2"/>
        <charset val="238"/>
        <scheme val="minor"/>
      </rPr>
      <t xml:space="preserve">
Całkowity bilans sprzedaży i zakupu energii elektrycznej w ciągu roku wg prognozy uśrednionej taryfy na latach 2024-2053, [zł]</t>
    </r>
  </si>
  <si>
    <t>X</t>
  </si>
  <si>
    <t>Powierzchnia całkowita budynku, [m2]:</t>
  </si>
  <si>
    <t>XI.</t>
  </si>
  <si>
    <t>Roczny bilans energetyczny wyrażony kosztowo uwzględniający sprzedaż i zakup energii elektrycznej wg prognozy uśrednionej taryfy na lata 2024-2053 w zależności od pory dnia i pory roku, [zł]</t>
  </si>
  <si>
    <t>OBLICZONY PARAMETR KONKURSOWY NR 2: Bilans energetyczny</t>
  </si>
  <si>
    <t>[zł/m2 na rok]</t>
  </si>
  <si>
    <t>Załącznik C2. Bilans wodny</t>
  </si>
  <si>
    <t>KROK 1. Wypełnij tabelę nr 1</t>
  </si>
  <si>
    <t>wzór do obliczenia parametru konkursowego nr 4. Bilans wodny</t>
  </si>
  <si>
    <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=[(w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-w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s-w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d)n/(w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>n)]*100%</t>
    </r>
  </si>
  <si>
    <t>Tabela 1 Ilość wody pobranej z sieci</t>
  </si>
  <si>
    <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</si>
  <si>
    <t>Współczynnik oszczędzania wody</t>
  </si>
  <si>
    <t>Liczba  mieszkańców</t>
  </si>
  <si>
    <t>Ilość ścieków = [litr/dobę]</t>
  </si>
  <si>
    <t>OBLICZONY PARAMETR KONKURSOWY NR 4: Bilans wodny</t>
  </si>
  <si>
    <t>Załącznik D2. Ślad węglowy</t>
  </si>
  <si>
    <t>wzór do obliczenia parametru konkursowego nr 7. Ślad węglowy</t>
  </si>
  <si>
    <t>E = ∑Em/A</t>
  </si>
  <si>
    <t>∑E</t>
  </si>
  <si>
    <t>skumulowana emisja CO2e, [kgCO2/m2],</t>
  </si>
  <si>
    <r>
      <t>E</t>
    </r>
    <r>
      <rPr>
        <vertAlign val="subscript"/>
        <sz val="10"/>
        <color theme="1"/>
        <rFont val="Calibri"/>
        <family val="2"/>
        <charset val="238"/>
        <scheme val="minor"/>
      </rPr>
      <t>m</t>
    </r>
  </si>
  <si>
    <t>emisja CO2e obliczona dla materiałów budowlanych użytych do momentu uzyskania stanu deweloperskiego budynku (wykończona powierzchnia ścian pod malowanie, powierzchnia posadzek przygotowana pod dowolne wykończenie, parapety wewnętrzne i zewnętrzne, kompletna stolarka zewnętrzna okienna i drzwiowa), [kgCO2]</t>
  </si>
  <si>
    <t>Tabela 1 Skumulowana emisja CO2</t>
  </si>
  <si>
    <t>L.P.</t>
  </si>
  <si>
    <t>Materiały</t>
  </si>
  <si>
    <t>Mi - masa materialu [kg]</t>
  </si>
  <si>
    <t>ECPi - wskaznik skumulowanej emisji CO2   [kgCO2/kg materiału]</t>
  </si>
  <si>
    <t>SEC - skumulowana emisji CO2 [kgCO2]</t>
  </si>
  <si>
    <t>Fundamenty</t>
  </si>
  <si>
    <t>Ściany zewnętrzne</t>
  </si>
  <si>
    <t>Ściany wewnętrzne</t>
  </si>
  <si>
    <t>Stropy</t>
  </si>
  <si>
    <t>Schody</t>
  </si>
  <si>
    <t>Dach</t>
  </si>
  <si>
    <t>6.1</t>
  </si>
  <si>
    <t>6.2</t>
  </si>
  <si>
    <t>6.3</t>
  </si>
  <si>
    <t>6.4</t>
  </si>
  <si>
    <t>6.5</t>
  </si>
  <si>
    <t>7. Stolarka okienna i drzwiowa, parapety</t>
  </si>
  <si>
    <t>7.1</t>
  </si>
  <si>
    <t>7.2</t>
  </si>
  <si>
    <t>7.3</t>
  </si>
  <si>
    <t>7.4</t>
  </si>
  <si>
    <t>7.5</t>
  </si>
  <si>
    <t>∑Em - suma z kolumny 6:</t>
  </si>
  <si>
    <r>
      <t>Powierzchnia całkowita* 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], A</t>
    </r>
  </si>
  <si>
    <t>* suma wszystkich trzech typów powierzchni całkowitej wyróżnionych w normie PN-ISO 9836:2015-12 (kondygnacje zamknięte, częściowo zamknięte, ograniczone innymi elementami budowlanymi)</t>
  </si>
  <si>
    <t xml:space="preserve">OBLICZONY PARAMETR KONKURSOWY NR 5: Ślad węglowy </t>
  </si>
  <si>
    <t>[kgCO2/m2]</t>
  </si>
  <si>
    <t>Załącznik E2. Recykling materiałów budowlanych</t>
  </si>
  <si>
    <t>wzór do obliczenia parametru konkursowego nr 8. Recykling materiałów budowlanych</t>
  </si>
  <si>
    <r>
      <t>R = x/K</t>
    </r>
    <r>
      <rPr>
        <b/>
        <vertAlign val="subscript"/>
        <sz val="11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∙100%</t>
    </r>
  </si>
  <si>
    <t>R</t>
  </si>
  <si>
    <t>współczynnik recyklingu materiałów odnawialnych ,   [%]</t>
  </si>
  <si>
    <t>x</t>
  </si>
  <si>
    <t>suma kosztów poniesionych na materiały zawierające w swojej strukturze materiały odpadowe, poprodukcyjne, recyklingowe, regranulaty, materiały ponownie użyte do momentu uzyskania stanu deweloperskiego budynku (wykończona powierzchnia ścian pod malowanie, powierzchnia posadzek przygotowana pod dowolne wykończenie, parapety wewnętrzne i zewnętrzne, kompletna stolarka zewnętrzna okienna i drzwiowa), [zł]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</si>
  <si>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B</t>
    </r>
  </si>
  <si>
    <t>koszt budynku z wyposażeniem deklarowany przez Wykonawcę w wymaganiu konkursowym nr 1 Koszty całkowite, [zł]</t>
  </si>
  <si>
    <t>Tabela 1 deklarowane koszty materiałów zawierających w swojej strukturze materiały odpadowe, poprodukcyjne, recyklingowe, regranulaty, materiały ponownie użyte do momentu uzyskania stanu deweloperskiego budynku (dalej określane jako materiały z recyklingu)</t>
  </si>
  <si>
    <t>Cena całkowita materiałów z recyklingu</t>
  </si>
  <si>
    <t>ściany żelbetowe</t>
  </si>
  <si>
    <t>m2</t>
  </si>
  <si>
    <t>16.</t>
  </si>
  <si>
    <t>17.</t>
  </si>
  <si>
    <t>18.</t>
  </si>
  <si>
    <t>19.</t>
  </si>
  <si>
    <t>20.</t>
  </si>
  <si>
    <t>21.</t>
  </si>
  <si>
    <t>22.</t>
  </si>
  <si>
    <t>x,
 suma kosztów poniesionych na materiały zawierające w swojej strukturze materiały odpadowe, poprodukcyjne, recyklingowe, regranulaty, materiały ponownie użyte do momentu uzyskania stanu deweloperskiego budynku (wykończona powierzchnia ścian pod malowanie, powierzchnia posadzek przygotowana pod dowolne wykończenie, parapety wewnętrzne i zewnętrzne, kompletna stolarka zewnętrzna okienna i drzwiowa), [zł]</t>
  </si>
  <si>
    <r>
      <t xml:space="preserve"> K</t>
    </r>
    <r>
      <rPr>
        <vertAlign val="sub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>, 
koszt budynku z wyposażeniem deklarowany przez Wykonawcę w wymaganiu konkursowym nr 1 Koszty całkowite, [zł]</t>
    </r>
  </si>
  <si>
    <t>OBLICZONY PARAMETR KONKURSOWY NR 8: Recykling materiałów budowlanych</t>
  </si>
  <si>
    <t>Typ budynku</t>
  </si>
  <si>
    <t>Czas używania zimą</t>
  </si>
  <si>
    <t>czas używania latem</t>
  </si>
  <si>
    <t>Czas używania zimą2</t>
  </si>
  <si>
    <t>czas używania latem2</t>
  </si>
  <si>
    <t>Czas używania zimą3</t>
  </si>
  <si>
    <t>czas używania latem3</t>
  </si>
  <si>
    <t>Czas używania zimą4</t>
  </si>
  <si>
    <t>czas używania latem4</t>
  </si>
  <si>
    <t>Czas używania zimą5</t>
  </si>
  <si>
    <t>czas używania latem5</t>
  </si>
  <si>
    <t>Czas używania zimą6</t>
  </si>
  <si>
    <t>czas używania latem6</t>
  </si>
  <si>
    <t>Czas używania zimą7</t>
  </si>
  <si>
    <t>czas używania latem7</t>
  </si>
  <si>
    <t>Czas używania zimą8</t>
  </si>
  <si>
    <t>czas używania latem8</t>
  </si>
  <si>
    <t>Czas używania zimą9</t>
  </si>
  <si>
    <t>czas używania latem9</t>
  </si>
  <si>
    <t>Czas używania zimą10</t>
  </si>
  <si>
    <t>czas używania latem10</t>
  </si>
  <si>
    <t>Czas używania zimą11</t>
  </si>
  <si>
    <t>czas używania latem11</t>
  </si>
  <si>
    <t>Czas używania zimą12</t>
  </si>
  <si>
    <t>czas używania latem12</t>
  </si>
  <si>
    <t>Czas używania zimą13</t>
  </si>
  <si>
    <t>czas używania latem13</t>
  </si>
  <si>
    <t>Czas używania zimą14</t>
  </si>
  <si>
    <t>czas używania latem14</t>
  </si>
  <si>
    <t>System BMS</t>
  </si>
  <si>
    <t>Czas używania zimą15</t>
  </si>
  <si>
    <t>czas używania latem15</t>
  </si>
  <si>
    <t>Czas używania zimą16</t>
  </si>
  <si>
    <t>czas używania latem16</t>
  </si>
  <si>
    <t>Warunek AGD</t>
  </si>
  <si>
    <t>Warunek oświetlenie</t>
  </si>
  <si>
    <t>Liczba mieszkań</t>
  </si>
  <si>
    <t>Powierzchnia budynku</t>
  </si>
  <si>
    <t>Punkty świetlne ogół</t>
  </si>
  <si>
    <t>punkty wspólne</t>
  </si>
  <si>
    <t>warunek woda</t>
  </si>
  <si>
    <t>warunek ścieki</t>
  </si>
  <si>
    <t>koszty remontów</t>
  </si>
  <si>
    <t>koszty administracji</t>
  </si>
  <si>
    <t>warunek en cieplna</t>
  </si>
  <si>
    <t>ENWR, zasialanie wentylacji, rekuperacji</t>
  </si>
  <si>
    <t>Czas używania zimą17</t>
  </si>
  <si>
    <t>czas używania latem17</t>
  </si>
  <si>
    <t>ENCWU, ciepła woda</t>
  </si>
  <si>
    <t>Czas używania zimą18</t>
  </si>
  <si>
    <t>czas używania latem18</t>
  </si>
  <si>
    <t xml:space="preserve">ENPC, zasilanie instalacji ogrzewania </t>
  </si>
  <si>
    <t>Czas używania zimą19</t>
  </si>
  <si>
    <t>czas używania latem19</t>
  </si>
  <si>
    <t xml:space="preserve"> ENE, zasilanie paneli PV</t>
  </si>
  <si>
    <t>Czas używania zimą20</t>
  </si>
  <si>
    <t>czas używania latem20</t>
  </si>
  <si>
    <t>punkty świetlne w mieszkaniu</t>
  </si>
  <si>
    <t>Czas używania zimą21</t>
  </si>
  <si>
    <t>czas używania latem21</t>
  </si>
  <si>
    <t>punktyświetlne w cz. Wspólnej</t>
  </si>
  <si>
    <t>Czas używania zimą22</t>
  </si>
  <si>
    <t>czas używania latem22</t>
  </si>
  <si>
    <t>społeczny</t>
  </si>
  <si>
    <t>senioralny</t>
  </si>
  <si>
    <t>numer kolumny</t>
  </si>
  <si>
    <t>Instrukcja:
Jeżeli chcemy coś dodać w kolejnych kolumnach u góry  (np. dodatkowy sprzęt)należy też tę wartość dodać do wierszy "nr kolumny" w odpowiednim miejscu zgodnie z miejscem gdzie zostało to wstawione u góry. I pamiętać, że trzeba będzie dodać odpowiednią regułę  w kalkulatorze kosztów jeżeli ma się to wczytać automatycznie zgodnie z typem budynku.</t>
  </si>
  <si>
    <t>C</t>
  </si>
  <si>
    <t>Czas używania latem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</si>
  <si>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</si>
  <si>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</si>
  <si>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</si>
  <si>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</si>
  <si>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</si>
  <si>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</si>
  <si>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</si>
  <si>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</si>
  <si>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</si>
  <si>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</si>
  <si>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</si>
  <si>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innowacja </t>
  </si>
  <si>
    <t>Q</t>
  </si>
  <si>
    <t>S</t>
  </si>
  <si>
    <t>T</t>
  </si>
  <si>
    <t>sieć elektroenergetyczna</t>
  </si>
  <si>
    <t>U</t>
  </si>
  <si>
    <t>akumulatory</t>
  </si>
  <si>
    <t>W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</si>
  <si>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</si>
  <si>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</si>
  <si>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</si>
  <si>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</si>
  <si>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</si>
  <si>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</si>
  <si>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</si>
  <si>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</si>
  <si>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</si>
  <si>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</si>
  <si>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</si>
  <si>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</si>
  <si>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</si>
  <si>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AL.</t>
  </si>
  <si>
    <t>AM</t>
  </si>
  <si>
    <t>AN</t>
  </si>
  <si>
    <t>ładowarki do samochodów elektrycznych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</si>
  <si>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</si>
  <si>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</si>
  <si>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</si>
  <si>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</si>
  <si>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</si>
  <si>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</si>
  <si>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</si>
  <si>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</si>
  <si>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</si>
  <si>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</si>
  <si>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</si>
  <si>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</si>
  <si>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</si>
  <si>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</si>
  <si>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</si>
  <si>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</si>
  <si>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</si>
  <si>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</si>
  <si>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warunek koszty remontów</t>
  </si>
  <si>
    <t>BG</t>
  </si>
  <si>
    <t>warunek koszty administracji</t>
  </si>
  <si>
    <t>BH</t>
  </si>
  <si>
    <t>BI</t>
  </si>
  <si>
    <t>BJ</t>
  </si>
  <si>
    <t>BK</t>
  </si>
  <si>
    <t>Czas używania latem17</t>
  </si>
  <si>
    <t>BL</t>
  </si>
  <si>
    <t>BM</t>
  </si>
  <si>
    <t>BN</t>
  </si>
  <si>
    <t>Czas używania latem18</t>
  </si>
  <si>
    <t>BO</t>
  </si>
  <si>
    <t>BP</t>
  </si>
  <si>
    <t>BQ</t>
  </si>
  <si>
    <t>Czas używania latem19</t>
  </si>
  <si>
    <t>BR</t>
  </si>
  <si>
    <t>BS</t>
  </si>
  <si>
    <t>BT</t>
  </si>
  <si>
    <t>Czas używania latem20</t>
  </si>
  <si>
    <t>BU</t>
  </si>
  <si>
    <t>BV</t>
  </si>
  <si>
    <t>BW</t>
  </si>
  <si>
    <t>Czas używania latem22</t>
  </si>
  <si>
    <t>BX</t>
  </si>
  <si>
    <t>BY</t>
  </si>
  <si>
    <t>Czas używania zimą23</t>
  </si>
  <si>
    <t>BZ</t>
  </si>
  <si>
    <t>Czas używania latem23</t>
  </si>
  <si>
    <t>CA</t>
  </si>
  <si>
    <t>I. TARYFY</t>
  </si>
  <si>
    <t>Okresy cenowe</t>
  </si>
  <si>
    <t>Średnia cena 2024</t>
  </si>
  <si>
    <t>Średnia cena 2024-2053</t>
  </si>
  <si>
    <t>Okresy cenowe
N - noc
SD - szczyt dzienny
SW - szczyt wieczorny</t>
  </si>
  <si>
    <t>Średnia, lata 2024-2053</t>
  </si>
  <si>
    <t>Cena energii w SD lato</t>
  </si>
  <si>
    <t>Cena sprzedaży energii do sieci w SD lato, godz. 7:00-16:00, [zł]</t>
  </si>
  <si>
    <t>ZIMA
styczeń-luty</t>
  </si>
  <si>
    <t>LATO</t>
  </si>
  <si>
    <t>Cena energii w SD zima</t>
  </si>
  <si>
    <t>Cena sprzedaży energii do sieci w SD zima, godz. 8:00-16:00, [zł]</t>
  </si>
  <si>
    <t>NOC
22:00-8:00</t>
  </si>
  <si>
    <t>SZCZYT DZIENNY
8:00-16:00</t>
  </si>
  <si>
    <t>SZCZYT WIECZORNY
16:00-22:00</t>
  </si>
  <si>
    <t>NOC
22:00-7:00</t>
  </si>
  <si>
    <t>SZCZYT DZIENNY
7:00-16:00</t>
  </si>
  <si>
    <t>Cena energii w SW lato</t>
  </si>
  <si>
    <t>Cena sprzedaży energii do sieci w SW lato, godz. 16:00-22:00, [zł]</t>
  </si>
  <si>
    <t>taryfa za energię kupioną z sieci [zł za kWh]</t>
  </si>
  <si>
    <t>Cena energii w SW zima</t>
  </si>
  <si>
    <t>Cena sprzedaży energii do sieci w SW zima, godz. 16:00-22:00, [zł]</t>
  </si>
  <si>
    <t>taryfa za energię sprzedaną do sieci</t>
  </si>
  <si>
    <t>Cena energii w N lato</t>
  </si>
  <si>
    <t>Cena sprzedaży energii do sieci w N lato, godz. 22:00-7:00, [zł]</t>
  </si>
  <si>
    <t>2024-2053</t>
  </si>
  <si>
    <t>Cena energii w N zima</t>
  </si>
  <si>
    <t>Cena sprzedaży energii do sieci w N zima, godz. 22:00-8:00</t>
  </si>
  <si>
    <t>Stawki sieciowe zmienne  w SD lato</t>
  </si>
  <si>
    <t>Stawki sieciowe zmienne  w SD lato, [zł]</t>
  </si>
  <si>
    <t>Stawki sieciowe zmienne  w SD zima</t>
  </si>
  <si>
    <t>Stawki sieciowe zmienne  w SD zima, [zł]</t>
  </si>
  <si>
    <t>Stawki sieciowe zmienne  w SW lato</t>
  </si>
  <si>
    <t>Stawki sieciowe zmienne  w SW lato, [zł]</t>
  </si>
  <si>
    <t>Stawki sieciowe zmienne  w SW zima</t>
  </si>
  <si>
    <t>Stawki sieciowe zmienne  w SW zima, [zł]</t>
  </si>
  <si>
    <t>Stawki sieciowe zmienne  w N lato</t>
  </si>
  <si>
    <t>Stawki sieciowe zmienne  w N lato, [zł]</t>
  </si>
  <si>
    <t>powierzchnia całkowita budynku [m2]</t>
  </si>
  <si>
    <t>Stawki sieciowe zmienne  w N zima</t>
  </si>
  <si>
    <t>Stawki sieciowe zmienne  w N zima, [zł]</t>
  </si>
  <si>
    <t>ilośc mieszkań [szt.]</t>
  </si>
  <si>
    <t>Cena zakupu energii z sieci w SD lato, godz. 7:00-16:00, [zł]</t>
  </si>
  <si>
    <t>liczba mieszkańców</t>
  </si>
  <si>
    <t>Cena zakupu energii z sieci w SD zima, godz. 8:00-16:00, [zł]</t>
  </si>
  <si>
    <t>Cena zakupu energii z sieci w SW lato, godz. 16:00-22:00, [zł]</t>
  </si>
  <si>
    <t>Cena zakupu energii z sieci w SW zima, godz. 16:00-22:00, [zł]</t>
  </si>
  <si>
    <t>II. ROZKŁAD ZUŻYCIA ENERGII ELEKTRYCZNEJ</t>
  </si>
  <si>
    <t>Cena zakupu energii z sieci w N lato, godz. 22:00-7:00, [zł]</t>
  </si>
  <si>
    <t>Cena zakupu energii z sieci w N zima, godz. 22:00-8:00, [zł]</t>
  </si>
  <si>
    <t>ROZKŁAD ZUŻYCIA E.E</t>
  </si>
  <si>
    <t>Nazwa odbiornika</t>
  </si>
  <si>
    <t>śr. moc 
pobierana [W]</t>
  </si>
  <si>
    <t>czas użytkowania/dobę [h] ZIMA</t>
  </si>
  <si>
    <t>czas użytkowania/dobę [h] LATO</t>
  </si>
  <si>
    <t>% czas użytkowania NOC
22:00-8:00</t>
  </si>
  <si>
    <t>Zużycie NOC [kWh]
22:00-8:00</t>
  </si>
  <si>
    <t>% czas użytkowania SZCZYT DZIENNY 
8:00-16:00</t>
  </si>
  <si>
    <t>Zużycie  SZCZYT DZIENNY [kWh]
8:00-16:00</t>
  </si>
  <si>
    <t>% Czas użytkowania  SZCZYT WIECZORNY
16:00-22:00</t>
  </si>
  <si>
    <t>Zużycie (kWh) SZCZYT WIECZORNY
16:00-22:00</t>
  </si>
  <si>
    <t>% Czas użytkowania 
NOC
22:00-7:00</t>
  </si>
  <si>
    <t>Zużycie NOC [kWh]
22:00-7:00</t>
  </si>
  <si>
    <t>% Czas użytkowania  SZCZYT DZIENNY
7:00-18:00</t>
  </si>
  <si>
    <t>Zużycie  SZCZYT DZIENNY [kWh]
7:00-18:00</t>
  </si>
  <si>
    <t>% Czas użytkowania  SZCZYT WIECZORNY
18:00-22:00</t>
  </si>
  <si>
    <t>Zużycie (kWh) SZCZYT WIECZORNY
18:00-22:00</t>
  </si>
  <si>
    <t>GRUPA 1</t>
  </si>
  <si>
    <t>Źródło dla szacowanych czasów użytkowania</t>
  </si>
  <si>
    <t>Ładowarka samochodów elektrycznych</t>
  </si>
  <si>
    <t>GRUPA 2</t>
  </si>
  <si>
    <t>punkty świetlne w mieszkaniu,</t>
  </si>
  <si>
    <t>punkty świetlne w budynku poza mieszkaniami</t>
  </si>
  <si>
    <t>GRUPA 3</t>
  </si>
  <si>
    <t>Suma zużycia Zima [kWh]</t>
  </si>
  <si>
    <t>Suma zużycia Lato [kWh]</t>
  </si>
  <si>
    <t>Procent całkowitej energii generowanej przez PV</t>
  </si>
  <si>
    <t>III. PRODUKCJA ENERGII ELEKTRYCZNEJ Z OZE</t>
  </si>
  <si>
    <t>ZIMA</t>
  </si>
  <si>
    <t>Nazwa urządzenia</t>
  </si>
  <si>
    <t>GODZINY</t>
  </si>
  <si>
    <t>efektywna moc modułu [Wp]</t>
  </si>
  <si>
    <t>średni dzienny czas pracy modułu przy pełnej mocy [h]</t>
  </si>
  <si>
    <t>CAŁKOWITA
PRODUKCJA W 
CIĄGU DNIA
[kWh]</t>
  </si>
  <si>
    <t>CAŁKOWITA
PRODUKCJA
ROCZNA LATO+ZIMA
[kWh]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</si>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</sst>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164" formatCode="0.000"/>
    <numFmt numFmtId="165" formatCode="0.0"/>
    <numFmt numFmtId="166" formatCode="_-* #,##0.00\ [$zł-415]_-;\-* #,##0.00\ [$zł-415]_-;_-* &quot;-&quot;??\ [$zł-415]_-;_-@_-"/>
    <numFmt numFmtId="167" formatCode="#,##0.00_ ;\-#,##0.00\ "/>
  </numFmts>
  <fonts count="38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7.7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7" fillId="0" borderId="0"/>
  </cellStyleXfs>
  <cellXfs count="49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30" xfId="0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0" fillId="0" borderId="3" xfId="0" applyBorder="1" applyProtection="1"/>
    <xf numFmtId="4" fontId="0" fillId="0" borderId="3" xfId="0" applyNumberFormat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8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wrapText="1"/>
    </xf>
    <xf numFmtId="0" fontId="12" fillId="2" borderId="3" xfId="0" applyFont="1" applyFill="1" applyBorder="1" applyProtection="1"/>
    <xf numFmtId="0" fontId="12" fillId="0" borderId="3" xfId="0" applyFont="1" applyBorder="1" applyProtection="1"/>
    <xf numFmtId="4" fontId="0" fillId="0" borderId="3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13" fillId="0" borderId="0" xfId="0" applyFont="1"/>
    <xf numFmtId="9" fontId="0" fillId="0" borderId="0" xfId="0" applyNumberFormat="1"/>
    <xf numFmtId="0" fontId="1" fillId="0" borderId="42" xfId="0" applyFont="1" applyBorder="1"/>
    <xf numFmtId="0" fontId="0" fillId="0" borderId="0" xfId="0" applyAlignment="1">
      <alignment vertical="center"/>
    </xf>
    <xf numFmtId="4" fontId="0" fillId="0" borderId="3" xfId="0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left" vertical="center"/>
    </xf>
    <xf numFmtId="0" fontId="0" fillId="0" borderId="0" xfId="0" applyFill="1"/>
    <xf numFmtId="4" fontId="8" fillId="0" borderId="3" xfId="0" applyNumberFormat="1" applyFont="1" applyFill="1" applyBorder="1" applyAlignment="1" applyProtection="1">
      <alignment horizontal="center" vertical="center"/>
    </xf>
    <xf numFmtId="4" fontId="8" fillId="0" borderId="6" xfId="0" applyNumberFormat="1" applyFont="1" applyFill="1" applyBorder="1" applyAlignment="1" applyProtection="1">
      <alignment horizontal="center" vertical="center"/>
    </xf>
    <xf numFmtId="0" fontId="12" fillId="5" borderId="3" xfId="0" applyFont="1" applyFill="1" applyBorder="1" applyProtection="1"/>
    <xf numFmtId="0" fontId="0" fillId="5" borderId="0" xfId="0" applyFill="1"/>
    <xf numFmtId="3" fontId="0" fillId="0" borderId="0" xfId="0" applyNumberFormat="1"/>
    <xf numFmtId="0" fontId="9" fillId="0" borderId="0" xfId="0" applyFont="1"/>
    <xf numFmtId="9" fontId="0" fillId="0" borderId="0" xfId="1" applyFont="1"/>
    <xf numFmtId="4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9" fillId="0" borderId="0" xfId="0" applyFont="1" applyFill="1"/>
    <xf numFmtId="3" fontId="0" fillId="0" borderId="3" xfId="0" applyNumberFormat="1" applyBorder="1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Border="1" applyAlignment="1" applyProtection="1">
      <alignment vertical="center" wrapText="1"/>
    </xf>
    <xf numFmtId="4" fontId="0" fillId="0" borderId="0" xfId="0" applyNumberFormat="1" applyFill="1" applyAlignment="1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Protection="1"/>
    <xf numFmtId="0" fontId="1" fillId="0" borderId="0" xfId="0" applyFont="1" applyAlignment="1" applyProtection="1">
      <alignment vertical="top" wrapText="1"/>
    </xf>
    <xf numFmtId="4" fontId="0" fillId="0" borderId="3" xfId="0" applyNumberFormat="1" applyFill="1" applyBorder="1" applyAlignment="1" applyProtection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1" applyNumberFormat="1" applyFont="1"/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/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2" fontId="2" fillId="0" borderId="3" xfId="0" applyNumberFormat="1" applyFont="1" applyFill="1" applyBorder="1" applyAlignment="1" applyProtection="1">
      <alignment horizontal="center" vertical="center"/>
    </xf>
    <xf numFmtId="4" fontId="10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Border="1" applyProtection="1"/>
    <xf numFmtId="9" fontId="0" fillId="0" borderId="0" xfId="1" applyFont="1" applyFill="1" applyBorder="1"/>
    <xf numFmtId="0" fontId="0" fillId="0" borderId="0" xfId="0" applyFill="1" applyBorder="1" applyAlignment="1">
      <alignment wrapText="1"/>
    </xf>
    <xf numFmtId="2" fontId="0" fillId="0" borderId="0" xfId="0" applyNumberFormat="1" applyFill="1" applyBorder="1"/>
    <xf numFmtId="9" fontId="0" fillId="0" borderId="0" xfId="0" applyNumberFormat="1" applyFill="1" applyBorder="1" applyAlignment="1">
      <alignment horizontal="left" wrapText="1"/>
    </xf>
    <xf numFmtId="9" fontId="0" fillId="0" borderId="0" xfId="0" applyNumberFormat="1" applyFill="1" applyBorder="1" applyAlignment="1">
      <alignment horizontal="left"/>
    </xf>
    <xf numFmtId="0" fontId="1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Alignment="1"/>
    <xf numFmtId="0" fontId="10" fillId="0" borderId="0" xfId="0" applyFont="1"/>
    <xf numFmtId="1" fontId="0" fillId="0" borderId="0" xfId="0" applyNumberFormat="1" applyFill="1"/>
    <xf numFmtId="0" fontId="25" fillId="0" borderId="0" xfId="0" applyFont="1" applyFill="1"/>
    <xf numFmtId="0" fontId="24" fillId="0" borderId="0" xfId="0" applyFont="1" applyFill="1"/>
    <xf numFmtId="166" fontId="0" fillId="0" borderId="0" xfId="0" applyNumberFormat="1" applyFill="1"/>
    <xf numFmtId="0" fontId="20" fillId="0" borderId="0" xfId="0" applyFont="1" applyBorder="1" applyAlignment="1" applyProtection="1">
      <alignment vertical="center" wrapText="1"/>
    </xf>
    <xf numFmtId="0" fontId="0" fillId="0" borderId="3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 wrapText="1"/>
    </xf>
    <xf numFmtId="4" fontId="0" fillId="0" borderId="3" xfId="0" applyNumberForma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7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9" fontId="1" fillId="0" borderId="3" xfId="0" applyNumberFormat="1" applyFont="1" applyFill="1" applyBorder="1" applyProtection="1"/>
    <xf numFmtId="0" fontId="0" fillId="0" borderId="36" xfId="0" applyBorder="1" applyProtection="1"/>
    <xf numFmtId="0" fontId="0" fillId="0" borderId="39" xfId="0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8" xfId="0" applyFont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2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3" xfId="0" applyBorder="1" applyAlignment="1" applyProtection="1">
      <alignment wrapText="1"/>
    </xf>
    <xf numFmtId="0" fontId="0" fillId="0" borderId="3" xfId="0" applyBorder="1" applyAlignment="1" applyProtection="1">
      <alignment horizontal="left" wrapText="1" indent="3"/>
    </xf>
    <xf numFmtId="0" fontId="0" fillId="0" borderId="3" xfId="0" applyFont="1" applyBorder="1" applyAlignment="1" applyProtection="1">
      <alignment horizontal="left" wrapText="1" indent="3"/>
    </xf>
    <xf numFmtId="4" fontId="0" fillId="0" borderId="3" xfId="0" applyNumberFormat="1" applyBorder="1" applyProtection="1"/>
    <xf numFmtId="0" fontId="0" fillId="0" borderId="3" xfId="0" applyFill="1" applyBorder="1" applyAlignment="1" applyProtection="1">
      <alignment horizontal="left" wrapText="1" indent="3"/>
    </xf>
    <xf numFmtId="4" fontId="0" fillId="0" borderId="3" xfId="0" applyNumberFormat="1" applyFill="1" applyBorder="1" applyProtection="1"/>
    <xf numFmtId="0" fontId="2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left" wrapText="1"/>
    </xf>
    <xf numFmtId="4" fontId="0" fillId="0" borderId="3" xfId="0" applyNumberFormat="1" applyBorder="1" applyAlignment="1" applyProtection="1"/>
    <xf numFmtId="0" fontId="2" fillId="0" borderId="3" xfId="0" applyFont="1" applyFill="1" applyBorder="1" applyAlignment="1" applyProtection="1">
      <alignment wrapText="1"/>
    </xf>
    <xf numFmtId="4" fontId="0" fillId="0" borderId="3" xfId="0" applyNumberFormat="1" applyFont="1" applyFill="1" applyBorder="1" applyAlignment="1" applyProtection="1"/>
    <xf numFmtId="0" fontId="0" fillId="0" borderId="0" xfId="0" applyFill="1" applyBorder="1" applyProtection="1"/>
    <xf numFmtId="20" fontId="0" fillId="0" borderId="0" xfId="0" applyNumberFormat="1" applyFill="1" applyBorder="1" applyProtection="1"/>
    <xf numFmtId="4" fontId="0" fillId="0" borderId="0" xfId="0" applyNumberFormat="1" applyFill="1" applyBorder="1" applyProtection="1"/>
    <xf numFmtId="4" fontId="0" fillId="0" borderId="0" xfId="0" applyNumberFormat="1" applyFill="1" applyBorder="1" applyAlignment="1" applyProtection="1"/>
    <xf numFmtId="4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0" fillId="0" borderId="3" xfId="0" applyFill="1" applyBorder="1" applyProtection="1"/>
    <xf numFmtId="0" fontId="21" fillId="0" borderId="0" xfId="0" applyFont="1" applyProtection="1"/>
    <xf numFmtId="0" fontId="0" fillId="0" borderId="8" xfId="0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3" fontId="0" fillId="0" borderId="0" xfId="0" applyNumberFormat="1" applyFill="1" applyProtection="1"/>
    <xf numFmtId="0" fontId="21" fillId="0" borderId="0" xfId="0" applyFont="1" applyFill="1" applyProtection="1"/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4" fontId="0" fillId="0" borderId="0" xfId="0" applyNumberFormat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2" fontId="8" fillId="0" borderId="0" xfId="0" applyNumberFormat="1" applyFont="1" applyFill="1" applyBorder="1" applyProtection="1"/>
    <xf numFmtId="0" fontId="0" fillId="0" borderId="0" xfId="0" applyAlignment="1">
      <alignment horizontal="center" wrapText="1"/>
    </xf>
    <xf numFmtId="0" fontId="24" fillId="0" borderId="0" xfId="2" applyFont="1" applyFill="1"/>
    <xf numFmtId="166" fontId="27" fillId="0" borderId="0" xfId="2" applyNumberFormat="1" applyFill="1"/>
    <xf numFmtId="0" fontId="0" fillId="0" borderId="7" xfId="0" applyBorder="1" applyAlignment="1" applyProtection="1">
      <alignment horizontal="center" wrapText="1"/>
    </xf>
    <xf numFmtId="4" fontId="0" fillId="0" borderId="0" xfId="0" applyNumberFormat="1" applyFill="1" applyBorder="1"/>
    <xf numFmtId="4" fontId="0" fillId="0" borderId="0" xfId="0" applyNumberFormat="1" applyFill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vertical="center"/>
    </xf>
    <xf numFmtId="8" fontId="0" fillId="0" borderId="0" xfId="0" applyNumberFormat="1"/>
    <xf numFmtId="0" fontId="26" fillId="0" borderId="37" xfId="0" applyFont="1" applyFill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1" fontId="1" fillId="0" borderId="3" xfId="0" applyNumberFormat="1" applyFont="1" applyFill="1" applyBorder="1" applyAlignment="1" applyProtection="1">
      <alignment horizontal="center" vertical="center"/>
    </xf>
    <xf numFmtId="9" fontId="1" fillId="0" borderId="3" xfId="0" applyNumberFormat="1" applyFont="1" applyFill="1" applyBorder="1" applyAlignment="1" applyProtection="1">
      <alignment horizontal="center" vertical="center"/>
      <protection locked="0"/>
    </xf>
    <xf numFmtId="4" fontId="8" fillId="0" borderId="35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2" fontId="8" fillId="4" borderId="55" xfId="1" applyNumberFormat="1" applyFont="1" applyFill="1" applyBorder="1" applyProtection="1"/>
    <xf numFmtId="4" fontId="10" fillId="0" borderId="32" xfId="0" applyNumberFormat="1" applyFont="1" applyFill="1" applyBorder="1" applyAlignment="1" applyProtection="1">
      <alignment horizontal="center" vertical="center"/>
    </xf>
    <xf numFmtId="0" fontId="14" fillId="0" borderId="56" xfId="0" applyFont="1" applyBorder="1"/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/>
    </xf>
    <xf numFmtId="0" fontId="2" fillId="0" borderId="27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0" fontId="0" fillId="0" borderId="3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28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wrapText="1"/>
      <protection locked="0"/>
    </xf>
    <xf numFmtId="4" fontId="8" fillId="4" borderId="55" xfId="1" applyNumberFormat="1" applyFont="1" applyFill="1" applyBorder="1" applyProtection="1"/>
    <xf numFmtId="9" fontId="8" fillId="0" borderId="32" xfId="1" applyFont="1" applyFill="1" applyBorder="1" applyAlignment="1" applyProtection="1">
      <alignment horizontal="center" vertical="center"/>
    </xf>
    <xf numFmtId="0" fontId="14" fillId="0" borderId="0" xfId="0" applyFont="1" applyBorder="1" applyProtection="1">
      <protection locked="0"/>
    </xf>
    <xf numFmtId="0" fontId="1" fillId="0" borderId="56" xfId="0" applyFont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4" borderId="49" xfId="1" applyNumberFormat="1" applyFont="1" applyFill="1" applyBorder="1" applyAlignment="1" applyProtection="1">
      <alignment horizontal="right"/>
    </xf>
    <xf numFmtId="0" fontId="0" fillId="5" borderId="3" xfId="0" applyFill="1" applyBorder="1" applyProtection="1">
      <protection locked="0"/>
    </xf>
    <xf numFmtId="4" fontId="0" fillId="5" borderId="3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5" borderId="29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5" borderId="37" xfId="0" applyFont="1" applyFill="1" applyBorder="1" applyAlignment="1" applyProtection="1">
      <alignment horizontal="left" vertical="center"/>
      <protection locked="0"/>
    </xf>
    <xf numFmtId="0" fontId="0" fillId="5" borderId="37" xfId="0" applyFill="1" applyBorder="1" applyAlignment="1" applyProtection="1">
      <protection locked="0"/>
    </xf>
    <xf numFmtId="0" fontId="2" fillId="0" borderId="10" xfId="0" applyFont="1" applyBorder="1" applyAlignment="1" applyProtection="1">
      <alignment horizontal="left" vertical="center"/>
    </xf>
    <xf numFmtId="4" fontId="8" fillId="0" borderId="37" xfId="0" applyNumberFormat="1" applyFont="1" applyFill="1" applyBorder="1" applyAlignment="1" applyProtection="1">
      <alignment horizontal="center" vertical="center"/>
    </xf>
    <xf numFmtId="0" fontId="0" fillId="0" borderId="38" xfId="0" applyBorder="1" applyAlignment="1" applyProtection="1">
      <alignment wrapText="1"/>
    </xf>
    <xf numFmtId="0" fontId="0" fillId="5" borderId="7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wrapText="1"/>
    </xf>
    <xf numFmtId="0" fontId="0" fillId="0" borderId="3" xfId="0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0" fontId="22" fillId="0" borderId="22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0" fillId="0" borderId="3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Font="1" applyBorder="1" applyProtection="1"/>
    <xf numFmtId="0" fontId="0" fillId="0" borderId="3" xfId="0" applyFont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3" fontId="0" fillId="0" borderId="3" xfId="0" applyNumberFormat="1" applyFont="1" applyBorder="1" applyAlignment="1" applyProtection="1">
      <alignment horizontal="center" vertical="center"/>
    </xf>
    <xf numFmtId="9" fontId="0" fillId="0" borderId="3" xfId="0" applyNumberFormat="1" applyFont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lef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3" fontId="2" fillId="4" borderId="32" xfId="0" applyNumberFormat="1" applyFont="1" applyFill="1" applyBorder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0" fillId="0" borderId="7" xfId="0" applyNumberFormat="1" applyFont="1" applyFill="1" applyBorder="1" applyAlignment="1" applyProtection="1">
      <alignment horizontal="center"/>
    </xf>
    <xf numFmtId="4" fontId="0" fillId="0" borderId="5" xfId="0" applyNumberFormat="1" applyFont="1" applyFill="1" applyBorder="1" applyAlignment="1" applyProtection="1">
      <alignment horizontal="center"/>
    </xf>
    <xf numFmtId="0" fontId="21" fillId="0" borderId="3" xfId="0" applyFont="1" applyFill="1" applyBorder="1" applyAlignment="1" applyProtection="1">
      <alignment horizontal="center" vertical="center"/>
    </xf>
    <xf numFmtId="0" fontId="3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3" fontId="0" fillId="0" borderId="3" xfId="0" applyNumberFormat="1" applyFill="1" applyBorder="1" applyAlignment="1" applyProtection="1">
      <alignment horizontal="center" vertical="center" wrapText="1"/>
    </xf>
    <xf numFmtId="0" fontId="0" fillId="0" borderId="59" xfId="0" applyFill="1" applyBorder="1" applyProtection="1"/>
    <xf numFmtId="0" fontId="2" fillId="0" borderId="3" xfId="0" applyFont="1" applyFill="1" applyBorder="1" applyAlignment="1" applyProtection="1">
      <alignment vertical="center" wrapText="1"/>
    </xf>
    <xf numFmtId="3" fontId="0" fillId="0" borderId="3" xfId="0" applyNumberFormat="1" applyFill="1" applyBorder="1" applyAlignment="1">
      <alignment horizontal="center" vertical="center" wrapText="1"/>
    </xf>
    <xf numFmtId="20" fontId="0" fillId="0" borderId="3" xfId="0" applyNumberFormat="1" applyFill="1" applyBorder="1" applyAlignment="1">
      <alignment horizontal="center" vertical="center" wrapText="1"/>
    </xf>
    <xf numFmtId="9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1" fontId="0" fillId="0" borderId="3" xfId="0" applyNumberFormat="1" applyFill="1" applyBorder="1"/>
    <xf numFmtId="3" fontId="0" fillId="0" borderId="3" xfId="0" applyNumberFormat="1" applyFill="1" applyBorder="1"/>
    <xf numFmtId="4" fontId="0" fillId="0" borderId="3" xfId="0" applyNumberFormat="1" applyBorder="1"/>
    <xf numFmtId="4" fontId="0" fillId="0" borderId="3" xfId="0" applyNumberFormat="1" applyFill="1" applyBorder="1"/>
    <xf numFmtId="0" fontId="0" fillId="0" borderId="9" xfId="0" applyBorder="1" applyAlignment="1">
      <alignment wrapText="1"/>
    </xf>
    <xf numFmtId="2" fontId="0" fillId="0" borderId="27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/>
    <xf numFmtId="0" fontId="9" fillId="0" borderId="0" xfId="0" applyFont="1" applyFill="1" applyAlignment="1">
      <alignment horizontal="left" vertical="center"/>
    </xf>
    <xf numFmtId="0" fontId="0" fillId="0" borderId="29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Fill="1" applyBorder="1" applyProtection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164" fontId="0" fillId="0" borderId="3" xfId="0" applyNumberFormat="1" applyFill="1" applyBorder="1"/>
    <xf numFmtId="165" fontId="0" fillId="0" borderId="3" xfId="0" applyNumberFormat="1" applyFill="1" applyBorder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17" fillId="0" borderId="0" xfId="0" applyFont="1" applyFill="1" applyAlignment="1">
      <alignment vertical="center"/>
    </xf>
    <xf numFmtId="165" fontId="0" fillId="0" borderId="3" xfId="0" applyNumberFormat="1" applyBorder="1"/>
    <xf numFmtId="1" fontId="0" fillId="0" borderId="3" xfId="0" applyNumberFormat="1" applyBorder="1" applyProtection="1"/>
    <xf numFmtId="20" fontId="0" fillId="0" borderId="3" xfId="0" applyNumberForma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20" fontId="0" fillId="0" borderId="3" xfId="0" applyNumberFormat="1" applyFill="1" applyBorder="1" applyAlignment="1" applyProtection="1">
      <alignment vertical="center"/>
    </xf>
    <xf numFmtId="4" fontId="0" fillId="0" borderId="3" xfId="0" applyNumberFormat="1" applyFill="1" applyBorder="1" applyAlignment="1" applyProtection="1"/>
    <xf numFmtId="0" fontId="2" fillId="0" borderId="34" xfId="0" applyFont="1" applyFill="1" applyBorder="1" applyAlignment="1" applyProtection="1">
      <alignment vertical="center" wrapText="1"/>
    </xf>
    <xf numFmtId="2" fontId="8" fillId="4" borderId="3" xfId="0" applyNumberFormat="1" applyFont="1" applyFill="1" applyBorder="1" applyAlignment="1" applyProtection="1">
      <alignment horizontal="center" vertical="center"/>
    </xf>
    <xf numFmtId="2" fontId="0" fillId="0" borderId="3" xfId="0" applyNumberFormat="1" applyFont="1" applyFill="1" applyBorder="1" applyAlignment="1" applyProtection="1">
      <alignment horizontal="right" vertical="center"/>
    </xf>
    <xf numFmtId="166" fontId="27" fillId="0" borderId="0" xfId="2" applyNumberFormat="1"/>
    <xf numFmtId="0" fontId="2" fillId="0" borderId="0" xfId="0" applyFont="1" applyFill="1" applyBorder="1" applyAlignment="1" applyProtection="1">
      <alignment horizontal="left" wrapText="1"/>
    </xf>
    <xf numFmtId="2" fontId="0" fillId="0" borderId="0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Border="1" applyProtection="1"/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Border="1" applyProtection="1"/>
    <xf numFmtId="0" fontId="0" fillId="0" borderId="20" xfId="0" applyFont="1" applyBorder="1" applyProtection="1"/>
    <xf numFmtId="0" fontId="0" fillId="0" borderId="21" xfId="0" applyFont="1" applyBorder="1" applyProtection="1"/>
    <xf numFmtId="0" fontId="7" fillId="0" borderId="1" xfId="0" applyFont="1" applyBorder="1" applyProtection="1"/>
    <xf numFmtId="0" fontId="0" fillId="0" borderId="0" xfId="0" applyFont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31" fillId="5" borderId="0" xfId="0" applyFont="1" applyFill="1" applyBorder="1" applyAlignment="1" applyProtection="1">
      <alignment horizontal="center" vertical="center"/>
      <protection locked="0"/>
    </xf>
    <xf numFmtId="9" fontId="1" fillId="5" borderId="3" xfId="0" applyNumberFormat="1" applyFont="1" applyFill="1" applyBorder="1" applyAlignment="1" applyProtection="1">
      <alignment horizontal="center" vertical="center"/>
      <protection locked="0"/>
    </xf>
    <xf numFmtId="4" fontId="0" fillId="5" borderId="3" xfId="0" applyNumberFormat="1" applyFont="1" applyFill="1" applyBorder="1" applyAlignment="1" applyProtection="1">
      <alignment horizontal="center"/>
      <protection locked="0"/>
    </xf>
    <xf numFmtId="4" fontId="1" fillId="5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vertical="center" wrapText="1"/>
    </xf>
    <xf numFmtId="4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protection locked="0"/>
    </xf>
    <xf numFmtId="0" fontId="0" fillId="5" borderId="3" xfId="0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left"/>
    </xf>
    <xf numFmtId="0" fontId="0" fillId="5" borderId="3" xfId="0" applyFill="1" applyBorder="1" applyProtection="1"/>
    <xf numFmtId="0" fontId="0" fillId="5" borderId="3" xfId="0" applyFill="1" applyBorder="1" applyAlignment="1" applyProtection="1">
      <alignment horizontal="right"/>
    </xf>
    <xf numFmtId="3" fontId="0" fillId="5" borderId="3" xfId="0" applyNumberFormat="1" applyFill="1" applyBorder="1" applyProtection="1">
      <protection locked="0"/>
    </xf>
    <xf numFmtId="4" fontId="0" fillId="5" borderId="3" xfId="0" applyNumberFormat="1" applyFill="1" applyBorder="1" applyProtection="1">
      <protection locked="0"/>
    </xf>
    <xf numFmtId="4" fontId="0" fillId="5" borderId="3" xfId="0" applyNumberFormat="1" applyFont="1" applyFill="1" applyBorder="1" applyProtection="1">
      <protection locked="0"/>
    </xf>
    <xf numFmtId="4" fontId="0" fillId="5" borderId="3" xfId="0" applyNumberFormat="1" applyFont="1" applyFill="1" applyBorder="1" applyProtection="1"/>
    <xf numFmtId="4" fontId="0" fillId="5" borderId="3" xfId="0" applyNumberFormat="1" applyFill="1" applyBorder="1" applyProtection="1"/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7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33" xfId="0" applyFill="1" applyBorder="1" applyProtection="1">
      <protection locked="0"/>
    </xf>
    <xf numFmtId="0" fontId="0" fillId="5" borderId="3" xfId="0" applyFill="1" applyBorder="1" applyAlignment="1">
      <alignment vertical="center" wrapText="1"/>
    </xf>
    <xf numFmtId="1" fontId="0" fillId="5" borderId="3" xfId="0" applyNumberFormat="1" applyFill="1" applyBorder="1" applyAlignment="1">
      <alignment vertical="center"/>
    </xf>
    <xf numFmtId="3" fontId="0" fillId="5" borderId="3" xfId="0" applyNumberFormat="1" applyFill="1" applyBorder="1" applyAlignment="1">
      <alignment vertical="center"/>
    </xf>
    <xf numFmtId="4" fontId="0" fillId="5" borderId="3" xfId="0" applyNumberFormat="1" applyFill="1" applyBorder="1" applyAlignment="1">
      <alignment vertical="center"/>
    </xf>
    <xf numFmtId="9" fontId="0" fillId="5" borderId="3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top" wrapText="1"/>
    </xf>
    <xf numFmtId="0" fontId="23" fillId="0" borderId="0" xfId="0" applyFont="1" applyFill="1" applyAlignment="1" applyProtection="1">
      <alignment vertical="top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23" fillId="0" borderId="0" xfId="0" applyFont="1" applyFill="1" applyProtection="1"/>
    <xf numFmtId="0" fontId="0" fillId="0" borderId="0" xfId="0" applyFill="1" applyBorder="1" applyAlignment="1" applyProtection="1">
      <alignment wrapText="1"/>
    </xf>
    <xf numFmtId="4" fontId="0" fillId="0" borderId="0" xfId="0" applyNumberForma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justify" vertical="center"/>
    </xf>
    <xf numFmtId="0" fontId="22" fillId="0" borderId="0" xfId="0" applyFont="1"/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/>
    <xf numFmtId="0" fontId="0" fillId="3" borderId="0" xfId="0" applyFill="1" applyProtection="1">
      <protection locked="0"/>
    </xf>
    <xf numFmtId="0" fontId="24" fillId="0" borderId="3" xfId="0" applyFont="1" applyBorder="1"/>
    <xf numFmtId="167" fontId="0" fillId="0" borderId="3" xfId="0" applyNumberFormat="1" applyBorder="1"/>
    <xf numFmtId="167" fontId="24" fillId="0" borderId="3" xfId="0" applyNumberFormat="1" applyFont="1" applyBorder="1"/>
    <xf numFmtId="0" fontId="24" fillId="0" borderId="3" xfId="0" applyFont="1" applyBorder="1" applyAlignment="1">
      <alignment horizontal="left" indent="3"/>
    </xf>
    <xf numFmtId="0" fontId="0" fillId="0" borderId="3" xfId="0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textRotation="90"/>
    </xf>
    <xf numFmtId="0" fontId="24" fillId="0" borderId="3" xfId="0" applyFont="1" applyFill="1" applyBorder="1" applyAlignment="1">
      <alignment horizontal="center" vertical="center" wrapText="1"/>
    </xf>
    <xf numFmtId="0" fontId="27" fillId="0" borderId="0" xfId="2" applyFill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4" fontId="0" fillId="0" borderId="3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</xf>
    <xf numFmtId="0" fontId="0" fillId="0" borderId="29" xfId="0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26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3" xfId="0" applyFont="1" applyFill="1" applyBorder="1" applyAlignment="1" applyProtection="1">
      <alignment horizontal="right" vertical="center"/>
    </xf>
    <xf numFmtId="0" fontId="26" fillId="0" borderId="10" xfId="0" applyFont="1" applyFill="1" applyBorder="1" applyAlignment="1" applyProtection="1">
      <alignment horizontal="left" vertical="center"/>
    </xf>
    <xf numFmtId="0" fontId="26" fillId="0" borderId="37" xfId="0" applyFont="1" applyFill="1" applyBorder="1" applyAlignment="1" applyProtection="1">
      <alignment horizontal="left" vertical="center"/>
    </xf>
    <xf numFmtId="0" fontId="26" fillId="0" borderId="38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54" xfId="0" applyFont="1" applyFill="1" applyBorder="1" applyAlignment="1" applyProtection="1">
      <alignment horizontal="right" vertical="center"/>
    </xf>
    <xf numFmtId="0" fontId="0" fillId="0" borderId="29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29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9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53" xfId="0" applyFont="1" applyFill="1" applyBorder="1" applyAlignment="1" applyProtection="1">
      <alignment horizontal="righ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2" fillId="0" borderId="47" xfId="0" applyFont="1" applyFill="1" applyBorder="1" applyAlignment="1" applyProtection="1">
      <alignment horizontal="center" vertical="center" wrapText="1"/>
    </xf>
    <xf numFmtId="0" fontId="2" fillId="0" borderId="48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4" fontId="2" fillId="0" borderId="24" xfId="0" applyNumberFormat="1" applyFont="1" applyFill="1" applyBorder="1" applyAlignment="1" applyProtection="1">
      <alignment horizontal="right" vertical="center" wrapText="1"/>
    </xf>
    <xf numFmtId="4" fontId="2" fillId="0" borderId="58" xfId="0" applyNumberFormat="1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5" borderId="3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7" xfId="0" applyNumberFormat="1" applyFont="1" applyFill="1" applyBorder="1" applyAlignment="1" applyProtection="1">
      <alignment horizontal="center" vertical="center" wrapText="1"/>
    </xf>
    <xf numFmtId="4" fontId="2" fillId="0" borderId="9" xfId="0" applyNumberFormat="1" applyFont="1" applyFill="1" applyBorder="1" applyAlignment="1" applyProtection="1">
      <alignment horizontal="center" vertical="center" wrapText="1"/>
    </xf>
    <xf numFmtId="4" fontId="0" fillId="0" borderId="43" xfId="0" applyNumberFormat="1" applyFont="1" applyBorder="1" applyAlignment="1" applyProtection="1">
      <alignment horizontal="center"/>
    </xf>
    <xf numFmtId="4" fontId="0" fillId="0" borderId="44" xfId="0" applyNumberFormat="1" applyFont="1" applyBorder="1" applyAlignment="1" applyProtection="1">
      <alignment horizontal="center"/>
    </xf>
    <xf numFmtId="4" fontId="0" fillId="0" borderId="45" xfId="0" applyNumberFormat="1" applyFont="1" applyBorder="1" applyAlignment="1" applyProtection="1">
      <alignment horizontal="center"/>
    </xf>
    <xf numFmtId="4" fontId="0" fillId="0" borderId="34" xfId="0" applyNumberFormat="1" applyFont="1" applyBorder="1" applyAlignment="1" applyProtection="1">
      <alignment horizontal="center"/>
    </xf>
    <xf numFmtId="4" fontId="0" fillId="0" borderId="0" xfId="0" applyNumberFormat="1" applyFont="1" applyBorder="1" applyAlignment="1" applyProtection="1">
      <alignment horizontal="center"/>
    </xf>
    <xf numFmtId="4" fontId="0" fillId="0" borderId="46" xfId="0" applyNumberFormat="1" applyFont="1" applyBorder="1" applyAlignment="1" applyProtection="1">
      <alignment horizontal="center"/>
    </xf>
    <xf numFmtId="4" fontId="0" fillId="0" borderId="51" xfId="0" applyNumberFormat="1" applyFont="1" applyBorder="1" applyAlignment="1" applyProtection="1">
      <alignment horizontal="center"/>
    </xf>
    <xf numFmtId="4" fontId="0" fillId="0" borderId="11" xfId="0" applyNumberFormat="1" applyFont="1" applyBorder="1" applyAlignment="1" applyProtection="1">
      <alignment horizontal="center"/>
    </xf>
    <xf numFmtId="4" fontId="0" fillId="0" borderId="52" xfId="0" applyNumberFormat="1" applyFont="1" applyBorder="1" applyAlignment="1" applyProtection="1">
      <alignment horizontal="center"/>
    </xf>
    <xf numFmtId="0" fontId="0" fillId="0" borderId="17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left" wrapText="1"/>
    </xf>
    <xf numFmtId="0" fontId="0" fillId="0" borderId="9" xfId="0" applyFont="1" applyFill="1" applyBorder="1" applyAlignment="1" applyProtection="1">
      <alignment horizontal="left" wrapText="1"/>
    </xf>
    <xf numFmtId="0" fontId="0" fillId="0" borderId="3" xfId="0" applyFill="1" applyBorder="1" applyAlignment="1" applyProtection="1">
      <alignment horizontal="center" wrapText="1"/>
    </xf>
    <xf numFmtId="0" fontId="0" fillId="0" borderId="3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/>
    </xf>
    <xf numFmtId="4" fontId="2" fillId="0" borderId="31" xfId="0" applyNumberFormat="1" applyFont="1" applyFill="1" applyBorder="1" applyAlignment="1" applyProtection="1">
      <alignment horizontal="right" vertical="center" wrapText="1"/>
    </xf>
    <xf numFmtId="4" fontId="2" fillId="0" borderId="55" xfId="0" applyNumberFormat="1" applyFont="1" applyFill="1" applyBorder="1" applyAlignment="1" applyProtection="1">
      <alignment horizontal="right" vertical="center" wrapText="1"/>
    </xf>
    <xf numFmtId="4" fontId="2" fillId="0" borderId="26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0" fillId="0" borderId="44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righ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0" fillId="0" borderId="50" xfId="0" applyFill="1" applyBorder="1" applyAlignment="1" applyProtection="1">
      <alignment horizontal="right" vertical="center" wrapText="1"/>
    </xf>
    <xf numFmtId="0" fontId="0" fillId="0" borderId="44" xfId="0" applyFill="1" applyBorder="1" applyAlignment="1" applyProtection="1">
      <alignment horizontal="right" vertical="center" wrapText="1"/>
    </xf>
    <xf numFmtId="0" fontId="0" fillId="0" borderId="45" xfId="0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3" xfId="0" applyFont="1" applyBorder="1" applyAlignment="1" applyProtection="1">
      <alignment horizontal="center" vertical="center"/>
    </xf>
    <xf numFmtId="0" fontId="32" fillId="0" borderId="3" xfId="0" applyFont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 applyProtection="1">
      <alignment horizontal="center"/>
      <protection locked="0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8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35</xdr:row>
      <xdr:rowOff>0</xdr:rowOff>
    </xdr:from>
    <xdr:to>
      <xdr:col>33</xdr:col>
      <xdr:colOff>534929</xdr:colOff>
      <xdr:row>45</xdr:row>
      <xdr:rowOff>1429148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67C7CC6-F6C7-41ED-B71D-1435A2448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3441" y="13346206"/>
          <a:ext cx="6944694" cy="39343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GD" displayName="AGD" ref="A1:CA4" totalsRowShown="0" headerRowDxfId="86" dataDxfId="85">
  <autoFilter ref="A1:CA4" xr:uid="{00000000-0009-0000-0100-000001000000}"/>
  <tableColumns count="79">
    <tableColumn id="1" xr3:uid="{00000000-0010-0000-0000-000001000000}" name="Typ budynku" dataDxfId="84"/>
    <tableColumn id="2" xr3:uid="{00000000-0010-0000-0000-000002000000}" name="płyta indukcyjna" dataDxfId="83"/>
    <tableColumn id="3" xr3:uid="{00000000-0010-0000-0000-000003000000}" name="Czas używania zimą" dataDxfId="82"/>
    <tableColumn id="50" xr3:uid="{00000000-0010-0000-0000-000032000000}" name="czas używania latem" dataDxfId="81"/>
    <tableColumn id="4" xr3:uid="{00000000-0010-0000-0000-000004000000}" name="czajnik" dataDxfId="80"/>
    <tableColumn id="5" xr3:uid="{00000000-0010-0000-0000-000005000000}" name="Czas używania zimą2" dataDxfId="79"/>
    <tableColumn id="59" xr3:uid="{00000000-0010-0000-0000-00003B000000}" name="czas używania latem2" dataDxfId="78"/>
    <tableColumn id="6" xr3:uid="{00000000-0010-0000-0000-000006000000}" name="kuchenka mikrofalowa" dataDxfId="77"/>
    <tableColumn id="7" xr3:uid="{00000000-0010-0000-0000-000007000000}" name="Czas używania zimą3" dataDxfId="76"/>
    <tableColumn id="60" xr3:uid="{00000000-0010-0000-0000-00003C000000}" name="czas używania latem3" dataDxfId="75"/>
    <tableColumn id="8" xr3:uid="{00000000-0010-0000-0000-000008000000}" name="lodówka" dataDxfId="74"/>
    <tableColumn id="9" xr3:uid="{00000000-0010-0000-0000-000009000000}" name="Czas używania zimą4" dataDxfId="73"/>
    <tableColumn id="61" xr3:uid="{00000000-0010-0000-0000-00003D000000}" name="czas używania latem4" dataDxfId="72"/>
    <tableColumn id="10" xr3:uid="{00000000-0010-0000-0000-00000A000000}" name="piekarnik" dataDxfId="71"/>
    <tableColumn id="11" xr3:uid="{00000000-0010-0000-0000-00000B000000}" name="Czas używania zimą5" dataDxfId="70"/>
    <tableColumn id="62" xr3:uid="{00000000-0010-0000-0000-00003E000000}" name="czas używania latem5" dataDxfId="69"/>
    <tableColumn id="12" xr3:uid="{00000000-0010-0000-0000-00000C000000}" name="okap" dataDxfId="68"/>
    <tableColumn id="13" xr3:uid="{00000000-0010-0000-0000-00000D000000}" name="Czas używania zimą6" dataDxfId="67"/>
    <tableColumn id="63" xr3:uid="{00000000-0010-0000-0000-00003F000000}" name="czas używania latem6" dataDxfId="66"/>
    <tableColumn id="14" xr3:uid="{00000000-0010-0000-0000-00000E000000}" name="pralka" dataDxfId="65"/>
    <tableColumn id="15" xr3:uid="{00000000-0010-0000-0000-00000F000000}" name="Czas używania zimą7" dataDxfId="64"/>
    <tableColumn id="64" xr3:uid="{00000000-0010-0000-0000-000040000000}" name="czas używania latem7" dataDxfId="63"/>
    <tableColumn id="16" xr3:uid="{00000000-0010-0000-0000-000010000000}" name="zmywarka" dataDxfId="62"/>
    <tableColumn id="17" xr3:uid="{00000000-0010-0000-0000-000011000000}" name="Czas używania zimą8" dataDxfId="61"/>
    <tableColumn id="65" xr3:uid="{00000000-0010-0000-0000-000041000000}" name="czas używania latem8" dataDxfId="60"/>
    <tableColumn id="18" xr3:uid="{00000000-0010-0000-0000-000012000000}" name="odkurzacz" dataDxfId="59"/>
    <tableColumn id="19" xr3:uid="{00000000-0010-0000-0000-000013000000}" name="Czas używania zimą9" dataDxfId="58"/>
    <tableColumn id="66" xr3:uid="{00000000-0010-0000-0000-000042000000}" name="czas używania latem9" dataDxfId="57"/>
    <tableColumn id="20" xr3:uid="{00000000-0010-0000-0000-000014000000}" name="komputer/konsola do gier" dataDxfId="56"/>
    <tableColumn id="21" xr3:uid="{00000000-0010-0000-0000-000015000000}" name="Czas używania zimą10" dataDxfId="55"/>
    <tableColumn id="67" xr3:uid="{00000000-0010-0000-0000-000043000000}" name="czas używania latem10" dataDxfId="54"/>
    <tableColumn id="36" xr3:uid="{00000000-0010-0000-0000-000024000000}" name="sprzęt RTV" dataDxfId="53"/>
    <tableColumn id="35" xr3:uid="{00000000-0010-0000-0000-000023000000}" name="Czas używania zimą11" dataDxfId="52"/>
    <tableColumn id="68" xr3:uid="{00000000-0010-0000-0000-000044000000}" name="czas używania latem11" dataDxfId="51"/>
    <tableColumn id="44" xr3:uid="{00000000-0010-0000-0000-00002C000000}" name="żelazko" dataDxfId="50"/>
    <tableColumn id="45" xr3:uid="{00000000-0010-0000-0000-00002D000000}" name="Czas używania zimą12" dataDxfId="49"/>
    <tableColumn id="69" xr3:uid="{00000000-0010-0000-0000-000045000000}" name="czas używania latem12" dataDxfId="48"/>
    <tableColumn id="40" xr3:uid="{00000000-0010-0000-0000-000028000000}" name="winda" dataDxfId="47"/>
    <tableColumn id="41" xr3:uid="{00000000-0010-0000-0000-000029000000}" name="Czas używania zimą13" dataDxfId="46"/>
    <tableColumn id="70" xr3:uid="{00000000-0010-0000-0000-000046000000}" name="czas używania latem13" dataDxfId="45"/>
    <tableColumn id="42" xr3:uid="{00000000-0010-0000-0000-00002A000000}" name="Ładowarki do samochodów elektrycznych" dataDxfId="44"/>
    <tableColumn id="43" xr3:uid="{00000000-0010-0000-0000-00002B000000}" name="Czas używania zimą14" dataDxfId="43"/>
    <tableColumn id="71" xr3:uid="{00000000-0010-0000-0000-000047000000}" name="czas używania latem14" dataDxfId="42"/>
    <tableColumn id="38" xr3:uid="{00000000-0010-0000-0000-000026000000}" name="System BMS" dataDxfId="41"/>
    <tableColumn id="39" xr3:uid="{00000000-0010-0000-0000-000027000000}" name="Czas używania zimą15" dataDxfId="40"/>
    <tableColumn id="72" xr3:uid="{00000000-0010-0000-0000-000048000000}" name="czas używania latem15" dataDxfId="39"/>
    <tableColumn id="37" xr3:uid="{00000000-0010-0000-0000-000025000000}" name="Monitoring" dataDxfId="38"/>
    <tableColumn id="34" xr3:uid="{00000000-0010-0000-0000-000022000000}" name="Czas używania zimą16" dataDxfId="37"/>
    <tableColumn id="73" xr3:uid="{00000000-0010-0000-0000-000049000000}" name="czas używania latem16" dataDxfId="36"/>
    <tableColumn id="22" xr3:uid="{00000000-0010-0000-0000-000016000000}" name="Warunek AGD" dataDxfId="35"/>
    <tableColumn id="23" xr3:uid="{00000000-0010-0000-0000-000017000000}" name="Warunek oświetlenie" dataDxfId="34"/>
    <tableColumn id="24" xr3:uid="{00000000-0010-0000-0000-000018000000}" name="Liczba mieszkań" dataDxfId="33"/>
    <tableColumn id="25" xr3:uid="{00000000-0010-0000-0000-000019000000}" name="Liczba mieszkańców" dataDxfId="32"/>
    <tableColumn id="30" xr3:uid="{00000000-0010-0000-0000-00001E000000}" name="Powierzchnia budynku" dataDxfId="31"/>
    <tableColumn id="26" xr3:uid="{00000000-0010-0000-0000-00001A000000}" name="Punkty świetlne ogół" dataDxfId="30"/>
    <tableColumn id="27" xr3:uid="{00000000-0010-0000-0000-00001B000000}" name="punkty wspólne" dataDxfId="29"/>
    <tableColumn id="28" xr3:uid="{00000000-0010-0000-0000-00001C000000}" name="warunek woda" dataDxfId="28">
      <calculatedColumnFormula>AGD[[#This Row],[Liczba mieszkańców]]*100</calculatedColumnFormula>
    </tableColumn>
    <tableColumn id="29" xr3:uid="{00000000-0010-0000-0000-00001D000000}" name="warunek ścieki" dataDxfId="27">
      <calculatedColumnFormula>AGD[[#This Row],[warunek woda]]</calculatedColumnFormula>
    </tableColumn>
    <tableColumn id="31" xr3:uid="{00000000-0010-0000-0000-00001F000000}" name="koszty remontów" dataDxfId="26">
      <calculatedColumnFormula>AGD[[#This Row],[warunek woda]]</calculatedColumnFormula>
    </tableColumn>
    <tableColumn id="32" xr3:uid="{00000000-0010-0000-0000-000020000000}" name="koszty administracji" dataDxfId="25">
      <calculatedColumnFormula>AGD[[#This Row],[warunek woda]]</calculatedColumnFormula>
    </tableColumn>
    <tableColumn id="33" xr3:uid="{00000000-0010-0000-0000-000021000000}" name="warunek en cieplna" dataDxfId="24"/>
    <tableColumn id="46" xr3:uid="{00000000-0010-0000-0000-00002E000000}" name="ENWR, zasialanie wentylacji, rekuperacji" dataDxfId="23"/>
    <tableColumn id="51" xr3:uid="{00000000-0010-0000-0000-000033000000}" name="Czas używania zimą17" dataDxfId="22">
      <calculatedColumnFormula>4*365</calculatedColumnFormula>
    </tableColumn>
    <tableColumn id="74" xr3:uid="{00000000-0010-0000-0000-00004A000000}" name="czas używania latem17" dataDxfId="21"/>
    <tableColumn id="47" xr3:uid="{00000000-0010-0000-0000-00002F000000}" name="ENCWU, ciepła woda" dataDxfId="20"/>
    <tableColumn id="52" xr3:uid="{00000000-0010-0000-0000-000034000000}" name="Czas używania zimą18" dataDxfId="19"/>
    <tableColumn id="75" xr3:uid="{00000000-0010-0000-0000-00004B000000}" name="czas używania latem18" dataDxfId="18"/>
    <tableColumn id="48" xr3:uid="{00000000-0010-0000-0000-000030000000}" name="ENPC, zasilanie instalacji ogrzewania " dataDxfId="17"/>
    <tableColumn id="53" xr3:uid="{00000000-0010-0000-0000-000035000000}" name="Czas używania zimą19" dataDxfId="16"/>
    <tableColumn id="76" xr3:uid="{00000000-0010-0000-0000-00004C000000}" name="czas używania latem19" dataDxfId="15"/>
    <tableColumn id="49" xr3:uid="{00000000-0010-0000-0000-000031000000}" name=" ENE, zasilanie paneli PV" dataDxfId="14"/>
    <tableColumn id="54" xr3:uid="{00000000-0010-0000-0000-000036000000}" name="Czas używania zimą20" dataDxfId="13"/>
    <tableColumn id="77" xr3:uid="{00000000-0010-0000-0000-00004D000000}" name="czas używania latem20" dataDxfId="12">
      <calculatedColumnFormula>4*365</calculatedColumnFormula>
    </tableColumn>
    <tableColumn id="56" xr3:uid="{00000000-0010-0000-0000-000038000000}" name="punkty świetlne w mieszkaniu" dataDxfId="11">
      <calculatedColumnFormula>AGD[[#This Row],[Punkty świetlne ogół]]</calculatedColumnFormula>
    </tableColumn>
    <tableColumn id="55" xr3:uid="{00000000-0010-0000-0000-000037000000}" name="Czas używania zimą21" dataDxfId="10">
      <calculatedColumnFormula>1*365</calculatedColumnFormula>
    </tableColumn>
    <tableColumn id="78" xr3:uid="{00000000-0010-0000-0000-00004E000000}" name="czas używania latem21" dataDxfId="9">
      <calculatedColumnFormula>AGD[[#This Row],[Czas używania zimą21]]*0.7</calculatedColumnFormula>
    </tableColumn>
    <tableColumn id="57" xr3:uid="{00000000-0010-0000-0000-000039000000}" name="punktyświetlne w cz. Wspólnej" dataDxfId="8"/>
    <tableColumn id="58" xr3:uid="{00000000-0010-0000-0000-00003A000000}" name="Czas używania zimą22" dataDxfId="7">
      <calculatedColumnFormula>3*365</calculatedColumnFormula>
    </tableColumn>
    <tableColumn id="79" xr3:uid="{00000000-0010-0000-0000-00004F000000}" name="czas używania latem22" dataDxfId="6">
      <calculatedColumnFormula>AGD[[#This Row],[Czas używania zimą22]]*0.7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6"/>
  <sheetViews>
    <sheetView tabSelected="1" zoomScale="70" zoomScaleNormal="70" workbookViewId="0">
      <pane ySplit="3" topLeftCell="A100" activePane="bottomLeft" state="frozen"/>
      <selection pane="bottomLeft" activeCell="G110" sqref="G110"/>
    </sheetView>
  </sheetViews>
  <sheetFormatPr defaultColWidth="8.85546875" defaultRowHeight="14.45"/>
  <cols>
    <col min="1" max="1" width="14" style="3" customWidth="1"/>
    <col min="2" max="2" width="61.42578125" style="4" customWidth="1"/>
    <col min="3" max="3" width="27.42578125" style="4" bestFit="1" customWidth="1"/>
    <col min="4" max="4" width="24.140625" style="4" customWidth="1"/>
    <col min="5" max="5" width="20.42578125" style="4" customWidth="1"/>
    <col min="6" max="6" width="20.42578125" style="4" bestFit="1" customWidth="1"/>
    <col min="7" max="7" width="29.42578125" style="4" customWidth="1"/>
    <col min="8" max="8" width="23" style="4" customWidth="1"/>
    <col min="9" max="9" width="11.42578125" style="3" customWidth="1"/>
    <col min="10" max="10" width="16.42578125" style="3" customWidth="1"/>
    <col min="11" max="11" width="11.42578125" style="3" customWidth="1"/>
    <col min="12" max="12" width="16.42578125" style="3" customWidth="1"/>
    <col min="13" max="13" width="26.42578125" style="3" customWidth="1"/>
    <col min="14" max="14" width="16.42578125" style="3" customWidth="1"/>
    <col min="15" max="15" width="11.42578125" style="3" customWidth="1"/>
    <col min="16" max="16" width="17.42578125" style="3" customWidth="1"/>
    <col min="17" max="23" width="11.42578125" style="3" customWidth="1"/>
    <col min="24" max="16384" width="8.85546875" style="3"/>
  </cols>
  <sheetData>
    <row r="1" spans="1:24" ht="14.45" customHeight="1">
      <c r="A1" s="370" t="s">
        <v>0</v>
      </c>
      <c r="B1" s="371"/>
      <c r="C1" s="371"/>
      <c r="D1" s="371"/>
      <c r="E1" s="371"/>
      <c r="F1" s="371"/>
      <c r="G1" s="372"/>
      <c r="H1" s="86"/>
      <c r="I1" s="85"/>
      <c r="J1" s="85"/>
      <c r="K1" s="85"/>
      <c r="L1" s="85"/>
      <c r="M1" s="85"/>
    </row>
    <row r="2" spans="1:24" ht="14.45" customHeight="1">
      <c r="A2" s="373"/>
      <c r="B2" s="374"/>
      <c r="C2" s="374"/>
      <c r="D2" s="374"/>
      <c r="E2" s="374"/>
      <c r="F2" s="374"/>
      <c r="G2" s="375"/>
      <c r="H2" s="86"/>
      <c r="I2" s="85"/>
      <c r="J2" s="85"/>
      <c r="K2" s="85"/>
      <c r="L2" s="85"/>
      <c r="M2" s="85"/>
    </row>
    <row r="3" spans="1:24" ht="15" customHeight="1" thickBot="1">
      <c r="A3" s="376"/>
      <c r="B3" s="377"/>
      <c r="C3" s="377"/>
      <c r="D3" s="377"/>
      <c r="E3" s="377"/>
      <c r="F3" s="377"/>
      <c r="G3" s="378"/>
      <c r="H3" s="86"/>
      <c r="I3" s="85"/>
      <c r="J3" s="85"/>
      <c r="K3" s="85"/>
      <c r="L3" s="85"/>
      <c r="M3" s="85"/>
    </row>
    <row r="4" spans="1:24">
      <c r="A4" s="286" t="s">
        <v>1</v>
      </c>
      <c r="B4" s="329"/>
      <c r="C4" s="193"/>
      <c r="D4" s="193"/>
      <c r="E4" s="193"/>
      <c r="F4" s="193"/>
      <c r="G4" s="193"/>
      <c r="H4" s="86"/>
      <c r="I4" s="85"/>
      <c r="J4" s="85"/>
      <c r="K4" s="85"/>
      <c r="L4" s="85"/>
      <c r="M4" s="85"/>
    </row>
    <row r="5" spans="1:24" ht="18.600000000000001" customHeight="1">
      <c r="A5" s="325"/>
      <c r="B5" s="328" t="s">
        <v>2</v>
      </c>
      <c r="C5" s="92"/>
      <c r="D5" s="92"/>
      <c r="E5" s="323"/>
      <c r="F5" s="323"/>
      <c r="G5" s="323"/>
      <c r="H5" s="86"/>
      <c r="I5" s="85"/>
      <c r="J5" s="85"/>
      <c r="K5" s="85"/>
      <c r="L5" s="85"/>
      <c r="M5" s="85"/>
    </row>
    <row r="6" spans="1:24" ht="18.600000000000001" customHeight="1">
      <c r="A6" s="331"/>
      <c r="B6" s="4" t="s">
        <v>3</v>
      </c>
      <c r="C6" s="92"/>
      <c r="D6" s="92"/>
      <c r="E6" s="324"/>
      <c r="F6" s="323"/>
      <c r="G6" s="323"/>
      <c r="H6" s="86"/>
      <c r="I6" s="85"/>
      <c r="J6" s="85"/>
      <c r="K6" s="85"/>
      <c r="L6" s="85"/>
      <c r="M6" s="85"/>
    </row>
    <row r="7" spans="1:24" ht="21">
      <c r="A7" s="326"/>
      <c r="B7" s="327" t="s">
        <v>4</v>
      </c>
      <c r="C7" s="92"/>
      <c r="D7" s="92"/>
      <c r="E7" s="105"/>
      <c r="F7" s="323"/>
      <c r="G7" s="323"/>
      <c r="H7" s="85"/>
      <c r="I7" s="86"/>
      <c r="J7" s="86"/>
      <c r="K7" s="85"/>
      <c r="L7" s="85"/>
      <c r="M7" s="85"/>
      <c r="R7" s="4"/>
      <c r="S7" s="4"/>
      <c r="U7" s="4"/>
      <c r="V7" s="4"/>
      <c r="X7" s="4"/>
    </row>
    <row r="8" spans="1:24" ht="14.45" customHeight="1">
      <c r="A8" s="92"/>
      <c r="B8" s="92"/>
      <c r="C8" s="92"/>
      <c r="D8" s="92"/>
      <c r="E8" s="178"/>
      <c r="F8" s="323"/>
      <c r="G8" s="323"/>
      <c r="H8" s="85"/>
      <c r="I8" s="86"/>
      <c r="J8" s="86"/>
      <c r="K8" s="85"/>
      <c r="L8" s="85"/>
      <c r="M8" s="85"/>
      <c r="R8" s="4"/>
      <c r="S8" s="4"/>
      <c r="U8" s="4"/>
      <c r="V8" s="4"/>
      <c r="X8" s="4"/>
    </row>
    <row r="9" spans="1:24" ht="21">
      <c r="A9" s="92"/>
      <c r="B9" s="92"/>
      <c r="C9" s="92"/>
      <c r="D9" s="92"/>
      <c r="E9" s="105"/>
      <c r="F9" s="323"/>
      <c r="G9" s="323"/>
      <c r="H9" s="85"/>
      <c r="I9" s="86"/>
      <c r="J9" s="86"/>
      <c r="K9" s="85"/>
      <c r="L9" s="85"/>
      <c r="M9" s="85"/>
      <c r="R9" s="4"/>
      <c r="S9" s="4"/>
      <c r="U9" s="4"/>
      <c r="V9" s="4"/>
      <c r="X9" s="4"/>
    </row>
    <row r="10" spans="1:24">
      <c r="A10" s="323"/>
      <c r="B10" s="323"/>
      <c r="C10" s="323"/>
      <c r="D10" s="105"/>
      <c r="E10" s="105"/>
      <c r="F10" s="323"/>
      <c r="G10" s="323"/>
      <c r="H10" s="86"/>
      <c r="I10" s="85"/>
      <c r="J10" s="85"/>
      <c r="K10" s="85"/>
      <c r="L10" s="85"/>
      <c r="M10" s="85"/>
    </row>
    <row r="11" spans="1:24" ht="48" customHeight="1" thickBot="1">
      <c r="A11" s="396"/>
      <c r="B11" s="396"/>
      <c r="C11" s="396"/>
      <c r="D11" s="396"/>
      <c r="E11" s="119"/>
      <c r="F11" s="193"/>
      <c r="G11" s="193"/>
      <c r="H11" s="86"/>
      <c r="I11" s="85"/>
      <c r="J11" s="85"/>
      <c r="K11" s="85"/>
      <c r="L11" s="85"/>
      <c r="M11" s="85"/>
    </row>
    <row r="12" spans="1:24" ht="15" thickBot="1">
      <c r="A12" s="360" t="s">
        <v>5</v>
      </c>
      <c r="B12" s="358"/>
      <c r="C12" s="358"/>
      <c r="D12" s="358"/>
      <c r="E12" s="358"/>
      <c r="F12" s="358"/>
      <c r="G12" s="359"/>
      <c r="H12" s="86"/>
      <c r="I12" s="85"/>
      <c r="J12" s="85"/>
      <c r="K12" s="85"/>
      <c r="L12" s="85"/>
      <c r="M12" s="85"/>
    </row>
    <row r="13" spans="1:24" ht="21">
      <c r="A13" s="119"/>
      <c r="B13" s="194" t="s">
        <v>6</v>
      </c>
      <c r="C13" s="200" t="s">
        <v>7</v>
      </c>
      <c r="D13" s="192" t="s">
        <v>8</v>
      </c>
      <c r="E13" s="92"/>
      <c r="F13" s="92"/>
      <c r="G13" s="92"/>
      <c r="H13" s="362"/>
      <c r="I13" s="362"/>
      <c r="J13" s="362"/>
      <c r="K13" s="362"/>
      <c r="L13" s="362"/>
      <c r="M13" s="362"/>
    </row>
    <row r="14" spans="1:24" ht="18.600000000000001">
      <c r="A14" s="119"/>
      <c r="B14" s="195" t="s">
        <v>9</v>
      </c>
      <c r="C14" s="54">
        <f>ROUND(IF($C$13="","",VLOOKUP($C$13,AGD[],'Profil użytkownika'!A59,0)),2)</f>
        <v>4</v>
      </c>
      <c r="D14" s="196"/>
      <c r="E14" s="196"/>
      <c r="F14" s="197"/>
      <c r="G14" s="197"/>
      <c r="H14" s="53"/>
      <c r="I14" s="116"/>
      <c r="J14" s="85"/>
      <c r="K14" s="85"/>
      <c r="L14" s="85"/>
      <c r="M14" s="85"/>
    </row>
    <row r="15" spans="1:24" ht="18.600000000000001">
      <c r="A15" s="119"/>
      <c r="B15" s="195" t="s">
        <v>10</v>
      </c>
      <c r="C15" s="289"/>
      <c r="D15" s="196"/>
      <c r="E15" s="196"/>
      <c r="F15" s="197"/>
      <c r="G15" s="197"/>
      <c r="H15" s="53"/>
      <c r="I15" s="116"/>
      <c r="J15" s="85"/>
      <c r="K15" s="85"/>
      <c r="L15" s="85"/>
      <c r="M15" s="85"/>
    </row>
    <row r="16" spans="1:24" ht="58.5" thickBot="1">
      <c r="A16" s="198"/>
      <c r="B16" s="195" t="s">
        <v>11</v>
      </c>
      <c r="C16" s="199"/>
      <c r="D16" s="199"/>
      <c r="E16" s="119"/>
      <c r="F16" s="193"/>
      <c r="G16" s="193"/>
      <c r="H16" s="86"/>
      <c r="I16" s="85"/>
      <c r="J16" s="85"/>
      <c r="K16" s="85"/>
      <c r="L16" s="85"/>
      <c r="M16" s="85"/>
    </row>
    <row r="17" spans="1:13" ht="15" thickBot="1">
      <c r="A17" s="360" t="s">
        <v>12</v>
      </c>
      <c r="B17" s="358"/>
      <c r="C17" s="358"/>
      <c r="D17" s="358"/>
      <c r="E17" s="358"/>
      <c r="F17" s="358"/>
      <c r="G17" s="359"/>
      <c r="H17" s="86"/>
      <c r="I17" s="85"/>
      <c r="J17" s="85"/>
      <c r="K17" s="85"/>
      <c r="L17" s="85"/>
      <c r="M17" s="85"/>
    </row>
    <row r="18" spans="1:13">
      <c r="A18" s="85"/>
      <c r="B18" s="86"/>
      <c r="C18" s="86"/>
      <c r="D18" s="86"/>
      <c r="E18" s="86"/>
      <c r="F18" s="86"/>
      <c r="G18" s="86"/>
      <c r="H18" s="86"/>
      <c r="I18" s="85"/>
      <c r="J18" s="85"/>
      <c r="K18" s="85"/>
      <c r="L18" s="85"/>
      <c r="M18" s="85"/>
    </row>
    <row r="19" spans="1:13" ht="18.600000000000001">
      <c r="A19" s="364" t="s">
        <v>13</v>
      </c>
      <c r="B19" s="364"/>
      <c r="C19" s="364"/>
      <c r="D19" s="364"/>
      <c r="E19" s="364"/>
      <c r="F19" s="364"/>
      <c r="G19" s="86"/>
      <c r="H19" s="86"/>
      <c r="I19" s="85"/>
      <c r="J19" s="85"/>
      <c r="K19" s="85"/>
      <c r="L19" s="85"/>
      <c r="M19" s="85"/>
    </row>
    <row r="20" spans="1:13" ht="15.95" thickBot="1">
      <c r="A20" s="365" t="s">
        <v>14</v>
      </c>
      <c r="B20" s="365"/>
      <c r="C20" s="365"/>
      <c r="D20" s="365"/>
      <c r="E20" s="365"/>
      <c r="F20" s="365"/>
      <c r="G20" s="365"/>
      <c r="H20" s="86"/>
      <c r="I20" s="85"/>
      <c r="J20" s="85"/>
      <c r="K20" s="85"/>
      <c r="L20" s="85"/>
      <c r="M20" s="85"/>
    </row>
    <row r="21" spans="1:13" ht="29.1">
      <c r="A21" s="173" t="s">
        <v>15</v>
      </c>
      <c r="B21" s="153" t="s">
        <v>16</v>
      </c>
      <c r="C21" s="153" t="s">
        <v>17</v>
      </c>
      <c r="D21" s="153" t="s">
        <v>18</v>
      </c>
      <c r="E21" s="174" t="s">
        <v>19</v>
      </c>
      <c r="F21" s="174" t="s">
        <v>20</v>
      </c>
      <c r="G21" s="175" t="s">
        <v>21</v>
      </c>
      <c r="H21" s="86"/>
      <c r="I21" s="85"/>
      <c r="J21" s="85"/>
      <c r="K21" s="85"/>
      <c r="L21" s="85"/>
      <c r="M21" s="85"/>
    </row>
    <row r="22" spans="1:13">
      <c r="A22" s="114" t="s">
        <v>22</v>
      </c>
      <c r="B22" s="180"/>
      <c r="C22" s="181"/>
      <c r="D22" s="181"/>
      <c r="E22" s="181"/>
      <c r="F22" s="19">
        <f t="shared" ref="F22:F49" si="0">C22*E22</f>
        <v>0</v>
      </c>
      <c r="G22" s="182" t="s">
        <v>23</v>
      </c>
      <c r="H22" s="86"/>
      <c r="I22" s="85"/>
      <c r="J22" s="85"/>
      <c r="K22" s="85"/>
      <c r="L22" s="85"/>
      <c r="M22" s="85"/>
    </row>
    <row r="23" spans="1:13">
      <c r="A23" s="114" t="s">
        <v>24</v>
      </c>
      <c r="B23" s="180"/>
      <c r="C23" s="181"/>
      <c r="D23" s="181"/>
      <c r="E23" s="181"/>
      <c r="F23" s="19">
        <f t="shared" si="0"/>
        <v>0</v>
      </c>
      <c r="G23" s="182" t="s">
        <v>23</v>
      </c>
      <c r="H23" s="86"/>
      <c r="I23" s="85"/>
      <c r="J23" s="85"/>
      <c r="K23" s="85"/>
      <c r="L23" s="85"/>
      <c r="M23" s="85"/>
    </row>
    <row r="24" spans="1:13">
      <c r="A24" s="114" t="s">
        <v>25</v>
      </c>
      <c r="B24" s="180"/>
      <c r="C24" s="181"/>
      <c r="D24" s="181"/>
      <c r="E24" s="181"/>
      <c r="F24" s="19">
        <f t="shared" si="0"/>
        <v>0</v>
      </c>
      <c r="G24" s="182" t="s">
        <v>23</v>
      </c>
      <c r="H24" s="86"/>
      <c r="I24" s="85"/>
      <c r="J24" s="85"/>
      <c r="K24" s="85"/>
      <c r="L24" s="85"/>
      <c r="M24" s="85"/>
    </row>
    <row r="25" spans="1:13">
      <c r="A25" s="114" t="s">
        <v>26</v>
      </c>
      <c r="B25" s="180"/>
      <c r="C25" s="181"/>
      <c r="D25" s="181"/>
      <c r="E25" s="181"/>
      <c r="F25" s="19">
        <f t="shared" si="0"/>
        <v>0</v>
      </c>
      <c r="G25" s="182" t="s">
        <v>23</v>
      </c>
      <c r="H25" s="86"/>
      <c r="I25" s="85"/>
      <c r="J25" s="85"/>
      <c r="K25" s="85"/>
      <c r="L25" s="85"/>
      <c r="M25" s="85"/>
    </row>
    <row r="26" spans="1:13">
      <c r="A26" s="114" t="s">
        <v>27</v>
      </c>
      <c r="B26" s="180"/>
      <c r="C26" s="181"/>
      <c r="D26" s="181"/>
      <c r="E26" s="181"/>
      <c r="F26" s="19">
        <f t="shared" si="0"/>
        <v>0</v>
      </c>
      <c r="G26" s="182" t="s">
        <v>23</v>
      </c>
      <c r="H26" s="86"/>
      <c r="I26" s="85"/>
      <c r="J26" s="85"/>
      <c r="K26" s="85"/>
      <c r="L26" s="85"/>
      <c r="M26" s="85"/>
    </row>
    <row r="27" spans="1:13">
      <c r="A27" s="114" t="s">
        <v>28</v>
      </c>
      <c r="B27" s="180"/>
      <c r="C27" s="181"/>
      <c r="D27" s="181"/>
      <c r="E27" s="181"/>
      <c r="F27" s="19">
        <f t="shared" si="0"/>
        <v>0</v>
      </c>
      <c r="G27" s="182" t="s">
        <v>23</v>
      </c>
      <c r="H27" s="86"/>
      <c r="I27" s="85"/>
      <c r="J27" s="85"/>
      <c r="K27" s="85"/>
      <c r="L27" s="85"/>
      <c r="M27" s="85"/>
    </row>
    <row r="28" spans="1:13">
      <c r="A28" s="114" t="s">
        <v>29</v>
      </c>
      <c r="B28" s="180"/>
      <c r="C28" s="181"/>
      <c r="D28" s="181"/>
      <c r="E28" s="181"/>
      <c r="F28" s="19">
        <f t="shared" si="0"/>
        <v>0</v>
      </c>
      <c r="G28" s="182" t="s">
        <v>23</v>
      </c>
      <c r="H28" s="86"/>
      <c r="I28" s="85"/>
      <c r="J28" s="85"/>
      <c r="K28" s="85"/>
      <c r="L28" s="85"/>
      <c r="M28" s="85"/>
    </row>
    <row r="29" spans="1:13">
      <c r="A29" s="114" t="s">
        <v>30</v>
      </c>
      <c r="B29" s="180"/>
      <c r="C29" s="181"/>
      <c r="D29" s="181"/>
      <c r="E29" s="181"/>
      <c r="F29" s="19">
        <f t="shared" si="0"/>
        <v>0</v>
      </c>
      <c r="G29" s="182" t="s">
        <v>23</v>
      </c>
      <c r="H29" s="86"/>
      <c r="I29" s="85"/>
      <c r="J29" s="85"/>
      <c r="K29" s="85"/>
      <c r="L29" s="85"/>
      <c r="M29" s="85"/>
    </row>
    <row r="30" spans="1:13">
      <c r="A30" s="114" t="s">
        <v>31</v>
      </c>
      <c r="B30" s="180"/>
      <c r="C30" s="181"/>
      <c r="D30" s="181"/>
      <c r="E30" s="181"/>
      <c r="F30" s="19">
        <f t="shared" si="0"/>
        <v>0</v>
      </c>
      <c r="G30" s="182" t="s">
        <v>23</v>
      </c>
      <c r="H30" s="86"/>
      <c r="I30" s="85"/>
      <c r="J30" s="85"/>
      <c r="K30" s="85"/>
      <c r="L30" s="85"/>
      <c r="M30" s="85"/>
    </row>
    <row r="31" spans="1:13">
      <c r="A31" s="114" t="s">
        <v>32</v>
      </c>
      <c r="B31" s="180"/>
      <c r="C31" s="181"/>
      <c r="D31" s="181"/>
      <c r="E31" s="181"/>
      <c r="F31" s="19">
        <f t="shared" si="0"/>
        <v>0</v>
      </c>
      <c r="G31" s="182" t="s">
        <v>23</v>
      </c>
      <c r="H31" s="86"/>
      <c r="I31" s="85"/>
      <c r="J31" s="85"/>
      <c r="K31" s="85"/>
      <c r="L31" s="85"/>
      <c r="M31" s="85"/>
    </row>
    <row r="32" spans="1:13">
      <c r="A32" s="114" t="s">
        <v>33</v>
      </c>
      <c r="B32" s="180"/>
      <c r="C32" s="181"/>
      <c r="D32" s="181"/>
      <c r="E32" s="181"/>
      <c r="F32" s="19">
        <f t="shared" si="0"/>
        <v>0</v>
      </c>
      <c r="G32" s="182" t="s">
        <v>23</v>
      </c>
      <c r="H32" s="86"/>
      <c r="I32" s="85"/>
      <c r="J32" s="85"/>
      <c r="K32" s="85"/>
      <c r="L32" s="85"/>
      <c r="M32" s="85"/>
    </row>
    <row r="33" spans="1:13">
      <c r="A33" s="114" t="s">
        <v>34</v>
      </c>
      <c r="B33" s="180"/>
      <c r="C33" s="181"/>
      <c r="D33" s="181"/>
      <c r="E33" s="181"/>
      <c r="F33" s="19">
        <f t="shared" si="0"/>
        <v>0</v>
      </c>
      <c r="G33" s="182" t="s">
        <v>23</v>
      </c>
      <c r="H33" s="86"/>
      <c r="I33" s="85"/>
      <c r="J33" s="85"/>
      <c r="K33" s="85"/>
      <c r="L33" s="85"/>
      <c r="M33" s="85"/>
    </row>
    <row r="34" spans="1:13">
      <c r="A34" s="114" t="s">
        <v>35</v>
      </c>
      <c r="B34" s="180"/>
      <c r="C34" s="181"/>
      <c r="D34" s="181"/>
      <c r="E34" s="181"/>
      <c r="F34" s="19">
        <f t="shared" si="0"/>
        <v>0</v>
      </c>
      <c r="G34" s="182" t="s">
        <v>23</v>
      </c>
      <c r="H34" s="86"/>
      <c r="I34" s="85"/>
      <c r="J34" s="85"/>
      <c r="K34" s="85"/>
      <c r="L34" s="85"/>
      <c r="M34" s="85"/>
    </row>
    <row r="35" spans="1:13">
      <c r="A35" s="114" t="s">
        <v>36</v>
      </c>
      <c r="B35" s="180"/>
      <c r="C35" s="181"/>
      <c r="D35" s="181"/>
      <c r="E35" s="181"/>
      <c r="F35" s="19">
        <f t="shared" si="0"/>
        <v>0</v>
      </c>
      <c r="G35" s="182" t="s">
        <v>23</v>
      </c>
      <c r="H35" s="86"/>
      <c r="I35" s="85"/>
      <c r="J35" s="85"/>
      <c r="K35" s="85"/>
      <c r="L35" s="85"/>
      <c r="M35" s="85"/>
    </row>
    <row r="36" spans="1:13">
      <c r="A36" s="114" t="s">
        <v>37</v>
      </c>
      <c r="B36" s="180"/>
      <c r="C36" s="181"/>
      <c r="D36" s="181"/>
      <c r="E36" s="181"/>
      <c r="F36" s="19">
        <f t="shared" si="0"/>
        <v>0</v>
      </c>
      <c r="G36" s="182" t="s">
        <v>23</v>
      </c>
      <c r="H36" s="86"/>
      <c r="I36" s="85"/>
      <c r="J36" s="85"/>
      <c r="K36" s="85"/>
      <c r="L36" s="85"/>
      <c r="M36" s="85"/>
    </row>
    <row r="37" spans="1:13">
      <c r="A37" s="114" t="s">
        <v>38</v>
      </c>
      <c r="B37" s="180"/>
      <c r="C37" s="181"/>
      <c r="D37" s="181"/>
      <c r="E37" s="181"/>
      <c r="F37" s="19">
        <f t="shared" si="0"/>
        <v>0</v>
      </c>
      <c r="G37" s="182" t="s">
        <v>23</v>
      </c>
      <c r="H37" s="86"/>
      <c r="I37" s="85"/>
      <c r="J37" s="85"/>
      <c r="K37" s="85"/>
      <c r="L37" s="85"/>
      <c r="M37" s="85"/>
    </row>
    <row r="38" spans="1:13">
      <c r="A38" s="114" t="s">
        <v>39</v>
      </c>
      <c r="B38" s="180"/>
      <c r="C38" s="181"/>
      <c r="D38" s="181"/>
      <c r="E38" s="181"/>
      <c r="F38" s="19">
        <f t="shared" si="0"/>
        <v>0</v>
      </c>
      <c r="G38" s="182" t="s">
        <v>23</v>
      </c>
      <c r="H38" s="86"/>
      <c r="I38" s="85"/>
      <c r="J38" s="85"/>
      <c r="K38" s="85"/>
      <c r="L38" s="85"/>
      <c r="M38" s="85"/>
    </row>
    <row r="39" spans="1:13">
      <c r="A39" s="114" t="s">
        <v>40</v>
      </c>
      <c r="B39" s="180"/>
      <c r="C39" s="181"/>
      <c r="D39" s="181"/>
      <c r="E39" s="181"/>
      <c r="F39" s="19">
        <f t="shared" si="0"/>
        <v>0</v>
      </c>
      <c r="G39" s="182" t="s">
        <v>23</v>
      </c>
      <c r="H39" s="86"/>
      <c r="I39" s="85"/>
      <c r="J39" s="85"/>
      <c r="K39" s="85"/>
      <c r="L39" s="85"/>
      <c r="M39" s="85"/>
    </row>
    <row r="40" spans="1:13">
      <c r="A40" s="114" t="s">
        <v>41</v>
      </c>
      <c r="B40" s="180"/>
      <c r="C40" s="181"/>
      <c r="D40" s="181"/>
      <c r="E40" s="181"/>
      <c r="F40" s="19">
        <f t="shared" si="0"/>
        <v>0</v>
      </c>
      <c r="G40" s="182" t="s">
        <v>23</v>
      </c>
      <c r="H40" s="86"/>
      <c r="I40" s="85"/>
      <c r="J40" s="85"/>
      <c r="K40" s="85"/>
      <c r="L40" s="85"/>
      <c r="M40" s="85"/>
    </row>
    <row r="41" spans="1:13">
      <c r="A41" s="114" t="s">
        <v>42</v>
      </c>
      <c r="B41" s="180"/>
      <c r="C41" s="181"/>
      <c r="D41" s="181"/>
      <c r="E41" s="181"/>
      <c r="F41" s="19">
        <f t="shared" si="0"/>
        <v>0</v>
      </c>
      <c r="G41" s="182" t="s">
        <v>23</v>
      </c>
      <c r="H41" s="86"/>
      <c r="I41" s="85"/>
      <c r="J41" s="85"/>
      <c r="K41" s="85"/>
      <c r="L41" s="85"/>
      <c r="M41" s="85"/>
    </row>
    <row r="42" spans="1:13">
      <c r="A42" s="114" t="s">
        <v>43</v>
      </c>
      <c r="B42" s="180"/>
      <c r="C42" s="181"/>
      <c r="D42" s="181"/>
      <c r="E42" s="181"/>
      <c r="F42" s="19">
        <f t="shared" si="0"/>
        <v>0</v>
      </c>
      <c r="G42" s="182" t="s">
        <v>23</v>
      </c>
      <c r="H42" s="86"/>
      <c r="I42" s="85"/>
      <c r="J42" s="85"/>
      <c r="K42" s="85"/>
      <c r="L42" s="85"/>
      <c r="M42" s="85"/>
    </row>
    <row r="43" spans="1:13">
      <c r="A43" s="114" t="s">
        <v>44</v>
      </c>
      <c r="B43" s="180"/>
      <c r="C43" s="181"/>
      <c r="D43" s="181"/>
      <c r="E43" s="181"/>
      <c r="F43" s="19">
        <f t="shared" si="0"/>
        <v>0</v>
      </c>
      <c r="G43" s="182" t="s">
        <v>23</v>
      </c>
      <c r="H43" s="86"/>
      <c r="I43" s="85"/>
      <c r="J43" s="85"/>
      <c r="K43" s="85"/>
      <c r="L43" s="85"/>
      <c r="M43" s="85"/>
    </row>
    <row r="44" spans="1:13">
      <c r="A44" s="114" t="s">
        <v>45</v>
      </c>
      <c r="B44" s="180"/>
      <c r="C44" s="181"/>
      <c r="D44" s="181"/>
      <c r="E44" s="181"/>
      <c r="F44" s="19">
        <f t="shared" si="0"/>
        <v>0</v>
      </c>
      <c r="G44" s="182" t="s">
        <v>23</v>
      </c>
      <c r="H44" s="86"/>
      <c r="I44" s="85"/>
      <c r="J44" s="85"/>
      <c r="K44" s="85"/>
      <c r="L44" s="85"/>
      <c r="M44" s="85"/>
    </row>
    <row r="45" spans="1:13">
      <c r="A45" s="114" t="s">
        <v>46</v>
      </c>
      <c r="B45" s="180"/>
      <c r="C45" s="181"/>
      <c r="D45" s="181"/>
      <c r="E45" s="181"/>
      <c r="F45" s="19">
        <f t="shared" si="0"/>
        <v>0</v>
      </c>
      <c r="G45" s="182" t="s">
        <v>23</v>
      </c>
      <c r="H45" s="86"/>
      <c r="I45" s="85"/>
      <c r="J45" s="85"/>
      <c r="K45" s="85"/>
      <c r="L45" s="85"/>
      <c r="M45" s="85"/>
    </row>
    <row r="46" spans="1:13">
      <c r="A46" s="114" t="s">
        <v>47</v>
      </c>
      <c r="B46" s="180"/>
      <c r="C46" s="181"/>
      <c r="D46" s="181"/>
      <c r="E46" s="181"/>
      <c r="F46" s="19">
        <f t="shared" si="0"/>
        <v>0</v>
      </c>
      <c r="G46" s="182" t="s">
        <v>23</v>
      </c>
      <c r="H46" s="86"/>
      <c r="I46" s="85"/>
      <c r="J46" s="85"/>
      <c r="K46" s="85"/>
      <c r="L46" s="85"/>
      <c r="M46" s="85"/>
    </row>
    <row r="47" spans="1:13">
      <c r="A47" s="114" t="s">
        <v>48</v>
      </c>
      <c r="B47" s="180"/>
      <c r="C47" s="181"/>
      <c r="D47" s="181"/>
      <c r="E47" s="181"/>
      <c r="F47" s="19">
        <f t="shared" si="0"/>
        <v>0</v>
      </c>
      <c r="G47" s="182" t="s">
        <v>23</v>
      </c>
      <c r="H47" s="86"/>
      <c r="I47" s="85"/>
      <c r="J47" s="85"/>
      <c r="K47" s="85"/>
      <c r="L47" s="85"/>
      <c r="M47" s="85"/>
    </row>
    <row r="48" spans="1:13">
      <c r="A48" s="114" t="s">
        <v>49</v>
      </c>
      <c r="B48" s="180"/>
      <c r="C48" s="181"/>
      <c r="D48" s="181"/>
      <c r="E48" s="181"/>
      <c r="F48" s="19">
        <f t="shared" si="0"/>
        <v>0</v>
      </c>
      <c r="G48" s="182" t="s">
        <v>23</v>
      </c>
      <c r="H48" s="86"/>
      <c r="I48" s="85"/>
      <c r="J48" s="85"/>
      <c r="K48" s="85"/>
      <c r="L48" s="85"/>
      <c r="M48" s="85"/>
    </row>
    <row r="49" spans="1:13">
      <c r="A49" s="114" t="s">
        <v>50</v>
      </c>
      <c r="B49" s="180"/>
      <c r="C49" s="181"/>
      <c r="D49" s="181"/>
      <c r="E49" s="181"/>
      <c r="F49" s="19">
        <f t="shared" si="0"/>
        <v>0</v>
      </c>
      <c r="G49" s="182" t="s">
        <v>23</v>
      </c>
      <c r="H49" s="86"/>
      <c r="I49" s="85"/>
      <c r="J49" s="85"/>
      <c r="K49" s="85"/>
      <c r="L49" s="85"/>
      <c r="M49" s="85"/>
    </row>
    <row r="50" spans="1:13" ht="18.600000000000001">
      <c r="A50" s="26"/>
      <c r="B50" s="366" t="s">
        <v>51</v>
      </c>
      <c r="C50" s="366"/>
      <c r="D50" s="366"/>
      <c r="E50" s="366"/>
      <c r="F50" s="28">
        <f>SUM(F22:F49)</f>
        <v>0</v>
      </c>
      <c r="G50" s="126"/>
      <c r="H50" s="86"/>
      <c r="I50" s="85"/>
      <c r="J50" s="85"/>
      <c r="K50" s="85"/>
      <c r="L50" s="85"/>
      <c r="M50" s="85"/>
    </row>
    <row r="51" spans="1:13" ht="15.95" thickBot="1">
      <c r="A51" s="367" t="s">
        <v>52</v>
      </c>
      <c r="B51" s="368"/>
      <c r="C51" s="368"/>
      <c r="D51" s="368"/>
      <c r="E51" s="368"/>
      <c r="F51" s="368"/>
      <c r="G51" s="369"/>
      <c r="H51" s="86"/>
      <c r="I51" s="85"/>
      <c r="J51" s="85"/>
      <c r="K51" s="85"/>
      <c r="L51" s="85"/>
      <c r="M51" s="85"/>
    </row>
    <row r="52" spans="1:13" ht="29.1">
      <c r="A52" s="173" t="s">
        <v>15</v>
      </c>
      <c r="B52" s="153" t="s">
        <v>16</v>
      </c>
      <c r="C52" s="153" t="s">
        <v>17</v>
      </c>
      <c r="D52" s="153" t="s">
        <v>53</v>
      </c>
      <c r="E52" s="174" t="s">
        <v>19</v>
      </c>
      <c r="F52" s="174" t="s">
        <v>20</v>
      </c>
      <c r="G52" s="175"/>
      <c r="H52" s="86"/>
      <c r="I52" s="85"/>
      <c r="J52" s="85"/>
      <c r="K52" s="85"/>
      <c r="L52" s="85"/>
      <c r="M52" s="85"/>
    </row>
    <row r="53" spans="1:13">
      <c r="A53" s="114" t="s">
        <v>54</v>
      </c>
      <c r="B53" s="183"/>
      <c r="C53" s="184"/>
      <c r="D53" s="185"/>
      <c r="E53" s="184"/>
      <c r="F53" s="78">
        <f t="shared" ref="F53:F62" si="1">C53*E53</f>
        <v>0</v>
      </c>
      <c r="G53" s="133"/>
      <c r="H53" s="86"/>
      <c r="I53" s="85"/>
      <c r="J53" s="85"/>
      <c r="K53" s="85"/>
      <c r="L53" s="85"/>
      <c r="M53" s="85"/>
    </row>
    <row r="54" spans="1:13">
      <c r="A54" s="114" t="s">
        <v>55</v>
      </c>
      <c r="B54" s="183"/>
      <c r="C54" s="184"/>
      <c r="D54" s="185"/>
      <c r="E54" s="184"/>
      <c r="F54" s="78">
        <f t="shared" si="1"/>
        <v>0</v>
      </c>
      <c r="G54" s="133"/>
      <c r="H54" s="86"/>
      <c r="I54" s="85"/>
      <c r="J54" s="85"/>
      <c r="K54" s="85"/>
      <c r="L54" s="85"/>
      <c r="M54" s="85"/>
    </row>
    <row r="55" spans="1:13">
      <c r="A55" s="114" t="s">
        <v>56</v>
      </c>
      <c r="B55" s="183"/>
      <c r="C55" s="184"/>
      <c r="D55" s="185"/>
      <c r="E55" s="184"/>
      <c r="F55" s="78">
        <f t="shared" si="1"/>
        <v>0</v>
      </c>
      <c r="G55" s="133"/>
      <c r="H55" s="86"/>
      <c r="I55" s="85"/>
      <c r="J55" s="85"/>
      <c r="K55" s="85"/>
      <c r="L55" s="85"/>
      <c r="M55" s="85"/>
    </row>
    <row r="56" spans="1:13">
      <c r="A56" s="114" t="s">
        <v>57</v>
      </c>
      <c r="B56" s="183"/>
      <c r="C56" s="184"/>
      <c r="D56" s="185"/>
      <c r="E56" s="184"/>
      <c r="F56" s="78">
        <f t="shared" si="1"/>
        <v>0</v>
      </c>
      <c r="G56" s="133"/>
      <c r="H56" s="86"/>
      <c r="I56" s="85"/>
      <c r="J56" s="85"/>
      <c r="K56" s="85"/>
      <c r="L56" s="85"/>
      <c r="M56" s="85"/>
    </row>
    <row r="57" spans="1:13">
      <c r="A57" s="114" t="s">
        <v>58</v>
      </c>
      <c r="B57" s="183"/>
      <c r="C57" s="184"/>
      <c r="D57" s="185"/>
      <c r="E57" s="184"/>
      <c r="F57" s="78">
        <f t="shared" si="1"/>
        <v>0</v>
      </c>
      <c r="G57" s="133"/>
      <c r="H57" s="86"/>
      <c r="I57" s="85"/>
      <c r="J57" s="85"/>
      <c r="K57" s="85"/>
      <c r="L57" s="85"/>
      <c r="M57" s="85"/>
    </row>
    <row r="58" spans="1:13">
      <c r="A58" s="114" t="s">
        <v>59</v>
      </c>
      <c r="B58" s="183"/>
      <c r="C58" s="184"/>
      <c r="D58" s="185"/>
      <c r="E58" s="184"/>
      <c r="F58" s="78">
        <f t="shared" si="1"/>
        <v>0</v>
      </c>
      <c r="G58" s="133"/>
      <c r="H58" s="86"/>
      <c r="I58" s="85"/>
      <c r="J58" s="85"/>
      <c r="K58" s="85"/>
      <c r="L58" s="85"/>
      <c r="M58" s="85"/>
    </row>
    <row r="59" spans="1:13">
      <c r="A59" s="114" t="s">
        <v>60</v>
      </c>
      <c r="B59" s="183"/>
      <c r="C59" s="184"/>
      <c r="D59" s="185"/>
      <c r="E59" s="184"/>
      <c r="F59" s="78">
        <f t="shared" si="1"/>
        <v>0</v>
      </c>
      <c r="G59" s="133"/>
      <c r="H59" s="86"/>
      <c r="I59" s="85"/>
      <c r="J59" s="85"/>
      <c r="K59" s="85"/>
      <c r="L59" s="85"/>
      <c r="M59" s="85"/>
    </row>
    <row r="60" spans="1:13">
      <c r="A60" s="114" t="s">
        <v>61</v>
      </c>
      <c r="B60" s="183"/>
      <c r="C60" s="184"/>
      <c r="D60" s="185"/>
      <c r="E60" s="184"/>
      <c r="F60" s="78">
        <f t="shared" si="1"/>
        <v>0</v>
      </c>
      <c r="G60" s="133"/>
      <c r="H60" s="86"/>
      <c r="I60" s="85"/>
      <c r="J60" s="85"/>
      <c r="K60" s="85"/>
      <c r="L60" s="85"/>
      <c r="M60" s="85"/>
    </row>
    <row r="61" spans="1:13">
      <c r="A61" s="114" t="s">
        <v>62</v>
      </c>
      <c r="B61" s="183"/>
      <c r="C61" s="184"/>
      <c r="D61" s="185"/>
      <c r="E61" s="184"/>
      <c r="F61" s="78">
        <f t="shared" si="1"/>
        <v>0</v>
      </c>
      <c r="G61" s="133"/>
      <c r="H61" s="86"/>
      <c r="I61" s="85"/>
      <c r="J61" s="85"/>
      <c r="K61" s="85"/>
      <c r="L61" s="85"/>
      <c r="M61" s="85"/>
    </row>
    <row r="62" spans="1:13">
      <c r="A62" s="114" t="s">
        <v>63</v>
      </c>
      <c r="B62" s="183"/>
      <c r="C62" s="184"/>
      <c r="D62" s="185"/>
      <c r="E62" s="184"/>
      <c r="F62" s="78">
        <f t="shared" si="1"/>
        <v>0</v>
      </c>
      <c r="G62" s="133"/>
      <c r="H62" s="86"/>
      <c r="I62" s="85"/>
      <c r="J62" s="85"/>
      <c r="K62" s="85"/>
      <c r="L62" s="85"/>
      <c r="M62" s="85"/>
    </row>
    <row r="63" spans="1:13" ht="18.600000000000001">
      <c r="A63" s="26"/>
      <c r="B63" s="366" t="s">
        <v>64</v>
      </c>
      <c r="C63" s="366"/>
      <c r="D63" s="366"/>
      <c r="E63" s="366"/>
      <c r="F63" s="28">
        <f>SUM(F53:F62)</f>
        <v>0</v>
      </c>
      <c r="G63" s="126"/>
      <c r="H63" s="86"/>
      <c r="I63" s="85"/>
      <c r="J63" s="85"/>
      <c r="K63" s="85"/>
      <c r="L63" s="85"/>
      <c r="M63" s="85"/>
    </row>
    <row r="64" spans="1:13" ht="15.95" thickBot="1">
      <c r="A64" s="367" t="s">
        <v>65</v>
      </c>
      <c r="B64" s="368"/>
      <c r="C64" s="368"/>
      <c r="D64" s="368"/>
      <c r="E64" s="368"/>
      <c r="F64" s="368"/>
      <c r="G64" s="369"/>
      <c r="H64" s="86"/>
      <c r="I64" s="85"/>
      <c r="J64" s="85"/>
      <c r="K64" s="85"/>
      <c r="L64" s="85"/>
      <c r="M64" s="85"/>
    </row>
    <row r="65" spans="1:13" ht="29.1">
      <c r="A65" s="173" t="s">
        <v>15</v>
      </c>
      <c r="B65" s="153" t="s">
        <v>16</v>
      </c>
      <c r="C65" s="153" t="s">
        <v>17</v>
      </c>
      <c r="D65" s="153" t="s">
        <v>66</v>
      </c>
      <c r="E65" s="174" t="s">
        <v>19</v>
      </c>
      <c r="F65" s="174" t="s">
        <v>20</v>
      </c>
      <c r="G65" s="175"/>
      <c r="H65" s="86"/>
      <c r="I65" s="85"/>
      <c r="J65" s="85"/>
      <c r="K65" s="85"/>
      <c r="L65" s="85"/>
      <c r="M65" s="85"/>
    </row>
    <row r="66" spans="1:13">
      <c r="A66" s="114" t="s">
        <v>67</v>
      </c>
      <c r="B66" s="183"/>
      <c r="C66" s="185"/>
      <c r="D66" s="349"/>
      <c r="E66" s="185"/>
      <c r="F66" s="78">
        <f t="shared" ref="F66:F67" si="2">C66*E66</f>
        <v>0</v>
      </c>
      <c r="G66" s="133"/>
      <c r="H66" s="86"/>
      <c r="I66" s="85"/>
      <c r="J66" s="85"/>
      <c r="K66" s="85"/>
      <c r="L66" s="85"/>
      <c r="M66" s="85"/>
    </row>
    <row r="67" spans="1:13">
      <c r="A67" s="114" t="s">
        <v>68</v>
      </c>
      <c r="B67" s="186"/>
      <c r="C67" s="185"/>
      <c r="D67" s="349"/>
      <c r="E67" s="185"/>
      <c r="F67" s="78">
        <f t="shared" si="2"/>
        <v>0</v>
      </c>
      <c r="G67" s="133"/>
      <c r="H67" s="86"/>
      <c r="I67" s="85"/>
      <c r="J67" s="85"/>
      <c r="K67" s="85"/>
      <c r="L67" s="85"/>
      <c r="M67" s="85"/>
    </row>
    <row r="68" spans="1:13">
      <c r="A68" s="114" t="s">
        <v>69</v>
      </c>
      <c r="B68" s="187"/>
      <c r="C68" s="349"/>
      <c r="D68" s="349"/>
      <c r="E68" s="349"/>
      <c r="F68" s="78"/>
      <c r="G68" s="133"/>
      <c r="H68" s="86"/>
      <c r="I68" s="85"/>
      <c r="J68" s="85"/>
      <c r="K68" s="85"/>
      <c r="L68" s="85"/>
      <c r="M68" s="85"/>
    </row>
    <row r="69" spans="1:13">
      <c r="A69" s="114" t="s">
        <v>70</v>
      </c>
      <c r="B69" s="183"/>
      <c r="C69" s="185"/>
      <c r="D69" s="349"/>
      <c r="E69" s="185"/>
      <c r="F69" s="78"/>
      <c r="G69" s="133"/>
      <c r="H69" s="86"/>
      <c r="I69" s="85"/>
      <c r="J69" s="85"/>
      <c r="K69" s="85"/>
      <c r="L69" s="85"/>
      <c r="M69" s="85"/>
    </row>
    <row r="70" spans="1:13">
      <c r="A70" s="114" t="s">
        <v>71</v>
      </c>
      <c r="B70" s="186"/>
      <c r="C70" s="185"/>
      <c r="D70" s="349"/>
      <c r="E70" s="185"/>
      <c r="F70" s="78"/>
      <c r="G70" s="133"/>
      <c r="H70" s="86"/>
      <c r="I70" s="85"/>
      <c r="J70" s="85"/>
      <c r="K70" s="85"/>
      <c r="L70" s="85"/>
      <c r="M70" s="85"/>
    </row>
    <row r="71" spans="1:13">
      <c r="A71" s="114" t="s">
        <v>72</v>
      </c>
      <c r="B71" s="187"/>
      <c r="C71" s="349"/>
      <c r="D71" s="349"/>
      <c r="E71" s="349"/>
      <c r="F71" s="78"/>
      <c r="G71" s="133"/>
      <c r="H71" s="86"/>
      <c r="I71" s="85"/>
      <c r="J71" s="85"/>
      <c r="K71" s="85"/>
      <c r="L71" s="85"/>
      <c r="M71" s="85"/>
    </row>
    <row r="72" spans="1:13" ht="18.600000000000001">
      <c r="A72" s="26"/>
      <c r="B72" s="366" t="s">
        <v>73</v>
      </c>
      <c r="C72" s="366"/>
      <c r="D72" s="366"/>
      <c r="E72" s="366"/>
      <c r="F72" s="28">
        <f>SUM(F66:F71)</f>
        <v>0</v>
      </c>
      <c r="G72" s="126"/>
      <c r="H72" s="115"/>
      <c r="I72" s="85"/>
      <c r="J72" s="85"/>
      <c r="K72" s="85"/>
      <c r="L72" s="85"/>
      <c r="M72" s="85"/>
    </row>
    <row r="73" spans="1:13" ht="18.600000000000001">
      <c r="A73" s="188"/>
      <c r="B73" s="140"/>
      <c r="C73" s="140"/>
      <c r="D73" s="140"/>
      <c r="E73" s="140"/>
      <c r="F73" s="189"/>
      <c r="G73" s="190"/>
      <c r="H73" s="115"/>
      <c r="I73" s="85"/>
      <c r="J73" s="85"/>
      <c r="K73" s="85"/>
      <c r="L73" s="85"/>
      <c r="M73" s="85"/>
    </row>
    <row r="74" spans="1:13" ht="15.95" thickBot="1">
      <c r="A74" s="367" t="s">
        <v>74</v>
      </c>
      <c r="B74" s="368"/>
      <c r="C74" s="368"/>
      <c r="D74" s="368"/>
      <c r="E74" s="368"/>
      <c r="F74" s="368"/>
      <c r="G74" s="369"/>
      <c r="H74" s="115"/>
      <c r="I74" s="85"/>
      <c r="J74" s="85"/>
      <c r="K74" s="85"/>
      <c r="L74" s="85"/>
      <c r="M74" s="85"/>
    </row>
    <row r="75" spans="1:13" ht="29.1">
      <c r="A75" s="173" t="s">
        <v>15</v>
      </c>
      <c r="B75" s="153" t="s">
        <v>16</v>
      </c>
      <c r="C75" s="153" t="s">
        <v>17</v>
      </c>
      <c r="D75" s="153" t="s">
        <v>75</v>
      </c>
      <c r="E75" s="174" t="s">
        <v>19</v>
      </c>
      <c r="F75" s="174" t="s">
        <v>20</v>
      </c>
      <c r="G75" s="175"/>
      <c r="H75" s="115"/>
      <c r="I75" s="85"/>
      <c r="J75" s="85"/>
      <c r="K75" s="85"/>
      <c r="L75" s="85"/>
      <c r="M75" s="85"/>
    </row>
    <row r="76" spans="1:13">
      <c r="A76" s="114" t="s">
        <v>76</v>
      </c>
      <c r="B76" s="183"/>
      <c r="C76" s="185"/>
      <c r="D76" s="349"/>
      <c r="E76" s="185"/>
      <c r="F76" s="78">
        <f t="shared" ref="F76:F77" si="3">C76*E76</f>
        <v>0</v>
      </c>
      <c r="G76" s="133"/>
      <c r="H76" s="115"/>
      <c r="I76" s="85"/>
      <c r="J76" s="85"/>
      <c r="K76" s="85"/>
      <c r="L76" s="85"/>
      <c r="M76" s="85"/>
    </row>
    <row r="77" spans="1:13">
      <c r="A77" s="114" t="s">
        <v>77</v>
      </c>
      <c r="B77" s="186"/>
      <c r="C77" s="185"/>
      <c r="D77" s="349"/>
      <c r="E77" s="185"/>
      <c r="F77" s="78">
        <f t="shared" si="3"/>
        <v>0</v>
      </c>
      <c r="G77" s="133"/>
      <c r="H77" s="115"/>
      <c r="I77" s="85"/>
      <c r="J77" s="85"/>
      <c r="K77" s="85"/>
      <c r="L77" s="85"/>
      <c r="M77" s="85"/>
    </row>
    <row r="78" spans="1:13">
      <c r="A78" s="114" t="s">
        <v>78</v>
      </c>
      <c r="B78" s="187"/>
      <c r="C78" s="349"/>
      <c r="D78" s="349"/>
      <c r="E78" s="349"/>
      <c r="F78" s="78"/>
      <c r="G78" s="133"/>
      <c r="H78" s="115"/>
      <c r="I78" s="85"/>
      <c r="J78" s="85"/>
      <c r="K78" s="85"/>
      <c r="L78" s="85"/>
      <c r="M78" s="85"/>
    </row>
    <row r="79" spans="1:13">
      <c r="A79" s="114" t="s">
        <v>79</v>
      </c>
      <c r="B79" s="183"/>
      <c r="C79" s="185"/>
      <c r="D79" s="349"/>
      <c r="E79" s="185"/>
      <c r="F79" s="78"/>
      <c r="G79" s="133"/>
      <c r="H79" s="115"/>
      <c r="I79" s="85"/>
      <c r="J79" s="85"/>
      <c r="K79" s="85"/>
      <c r="L79" s="85"/>
      <c r="M79" s="85"/>
    </row>
    <row r="80" spans="1:13">
      <c r="A80" s="114" t="s">
        <v>80</v>
      </c>
      <c r="B80" s="186"/>
      <c r="C80" s="185"/>
      <c r="D80" s="349"/>
      <c r="E80" s="185"/>
      <c r="F80" s="78"/>
      <c r="G80" s="133"/>
      <c r="H80" s="115"/>
      <c r="I80" s="85"/>
      <c r="J80" s="85"/>
      <c r="K80" s="85"/>
      <c r="L80" s="85"/>
      <c r="M80" s="85"/>
    </row>
    <row r="81" spans="1:13">
      <c r="A81" s="114" t="s">
        <v>81</v>
      </c>
      <c r="B81" s="187"/>
      <c r="C81" s="349"/>
      <c r="D81" s="349"/>
      <c r="E81" s="349"/>
      <c r="F81" s="78"/>
      <c r="G81" s="133"/>
      <c r="H81" s="115"/>
      <c r="I81" s="85"/>
      <c r="J81" s="85"/>
      <c r="K81" s="85"/>
      <c r="L81" s="85"/>
      <c r="M81" s="85"/>
    </row>
    <row r="82" spans="1:13" ht="18.600000000000001">
      <c r="A82" s="26"/>
      <c r="B82" s="366" t="s">
        <v>73</v>
      </c>
      <c r="C82" s="366"/>
      <c r="D82" s="366"/>
      <c r="E82" s="366"/>
      <c r="F82" s="28">
        <f>SUM(F76:F81)</f>
        <v>0</v>
      </c>
      <c r="G82" s="126"/>
      <c r="H82" s="115"/>
      <c r="I82" s="85"/>
      <c r="J82" s="85"/>
      <c r="K82" s="85"/>
      <c r="L82" s="85"/>
      <c r="M82" s="85"/>
    </row>
    <row r="83" spans="1:13" ht="18.600000000000001">
      <c r="A83" s="188"/>
      <c r="B83" s="140"/>
      <c r="C83" s="140"/>
      <c r="D83" s="140"/>
      <c r="E83" s="140"/>
      <c r="F83" s="189"/>
      <c r="G83" s="190"/>
      <c r="H83" s="115"/>
      <c r="I83" s="85"/>
      <c r="J83" s="85"/>
      <c r="K83" s="85"/>
      <c r="L83" s="85"/>
      <c r="M83" s="85"/>
    </row>
    <row r="84" spans="1:13" ht="18.600000000000001">
      <c r="A84" s="188"/>
      <c r="B84" s="140"/>
      <c r="C84" s="140"/>
      <c r="D84" s="140"/>
      <c r="E84" s="140"/>
      <c r="F84" s="189"/>
      <c r="G84" s="190"/>
      <c r="H84" s="115"/>
      <c r="I84" s="85"/>
      <c r="J84" s="85"/>
      <c r="K84" s="85"/>
      <c r="L84" s="85"/>
      <c r="M84" s="85"/>
    </row>
    <row r="85" spans="1:13" ht="15.95" thickBot="1">
      <c r="A85" s="367" t="s">
        <v>82</v>
      </c>
      <c r="B85" s="368"/>
      <c r="C85" s="368"/>
      <c r="D85" s="368"/>
      <c r="E85" s="368"/>
      <c r="F85" s="368"/>
      <c r="G85" s="369"/>
      <c r="H85" s="115"/>
      <c r="I85" s="85"/>
      <c r="J85" s="85"/>
      <c r="K85" s="85"/>
      <c r="L85" s="85"/>
      <c r="M85" s="85"/>
    </row>
    <row r="86" spans="1:13" ht="29.1">
      <c r="A86" s="173" t="s">
        <v>15</v>
      </c>
      <c r="B86" s="153" t="s">
        <v>16</v>
      </c>
      <c r="C86" s="153" t="s">
        <v>17</v>
      </c>
      <c r="D86" s="153" t="s">
        <v>75</v>
      </c>
      <c r="E86" s="174" t="s">
        <v>19</v>
      </c>
      <c r="F86" s="174" t="s">
        <v>20</v>
      </c>
      <c r="G86" s="175" t="s">
        <v>83</v>
      </c>
      <c r="H86" s="115"/>
      <c r="I86" s="85"/>
      <c r="J86" s="85"/>
      <c r="K86" s="85"/>
      <c r="L86" s="85"/>
      <c r="M86" s="85"/>
    </row>
    <row r="87" spans="1:13">
      <c r="A87" s="114" t="s">
        <v>84</v>
      </c>
      <c r="B87" s="183"/>
      <c r="C87" s="185"/>
      <c r="D87" s="349"/>
      <c r="E87" s="185"/>
      <c r="F87" s="78">
        <f t="shared" ref="F87" si="4">C87*E87</f>
        <v>0</v>
      </c>
      <c r="G87" s="191"/>
      <c r="H87" s="115"/>
      <c r="I87" s="85"/>
      <c r="J87" s="85"/>
      <c r="K87" s="85"/>
      <c r="L87" s="85"/>
      <c r="M87" s="85"/>
    </row>
    <row r="88" spans="1:13">
      <c r="A88" s="114" t="s">
        <v>85</v>
      </c>
      <c r="B88" s="186"/>
      <c r="C88" s="185"/>
      <c r="D88" s="349"/>
      <c r="E88" s="185"/>
      <c r="F88" s="78"/>
      <c r="G88" s="191"/>
      <c r="H88" s="115"/>
      <c r="I88" s="85"/>
      <c r="J88" s="85"/>
      <c r="K88" s="85"/>
      <c r="L88" s="85"/>
      <c r="M88" s="85"/>
    </row>
    <row r="89" spans="1:13">
      <c r="A89" s="114" t="s">
        <v>86</v>
      </c>
      <c r="B89" s="187"/>
      <c r="C89" s="349"/>
      <c r="D89" s="349"/>
      <c r="E89" s="349"/>
      <c r="F89" s="78"/>
      <c r="G89" s="191"/>
      <c r="H89" s="115"/>
      <c r="I89" s="85"/>
      <c r="J89" s="85"/>
      <c r="K89" s="85"/>
      <c r="L89" s="85"/>
      <c r="M89" s="85"/>
    </row>
    <row r="90" spans="1:13">
      <c r="A90" s="114" t="s">
        <v>87</v>
      </c>
      <c r="B90" s="183"/>
      <c r="C90" s="185"/>
      <c r="D90" s="349"/>
      <c r="E90" s="185"/>
      <c r="F90" s="78"/>
      <c r="G90" s="191"/>
      <c r="H90" s="115"/>
      <c r="I90" s="85"/>
      <c r="J90" s="85"/>
      <c r="K90" s="85"/>
      <c r="L90" s="85"/>
      <c r="M90" s="85"/>
    </row>
    <row r="91" spans="1:13">
      <c r="A91" s="114" t="s">
        <v>88</v>
      </c>
      <c r="B91" s="186"/>
      <c r="C91" s="185"/>
      <c r="D91" s="349"/>
      <c r="E91" s="185"/>
      <c r="F91" s="78"/>
      <c r="G91" s="191"/>
      <c r="H91" s="115"/>
      <c r="I91" s="85"/>
      <c r="J91" s="85"/>
      <c r="K91" s="85"/>
      <c r="L91" s="85"/>
      <c r="M91" s="85"/>
    </row>
    <row r="92" spans="1:13">
      <c r="A92" s="114" t="s">
        <v>89</v>
      </c>
      <c r="B92" s="187"/>
      <c r="C92" s="349"/>
      <c r="D92" s="349"/>
      <c r="E92" s="349"/>
      <c r="F92" s="78"/>
      <c r="G92" s="191"/>
      <c r="H92" s="115"/>
      <c r="I92" s="85"/>
      <c r="J92" s="85"/>
      <c r="K92" s="85"/>
      <c r="L92" s="85"/>
      <c r="M92" s="85"/>
    </row>
    <row r="93" spans="1:13" ht="18.600000000000001">
      <c r="A93" s="26"/>
      <c r="B93" s="366" t="s">
        <v>90</v>
      </c>
      <c r="C93" s="366"/>
      <c r="D93" s="366"/>
      <c r="E93" s="366"/>
      <c r="F93" s="28">
        <f>SUM(F87:F92)</f>
        <v>0</v>
      </c>
      <c r="G93" s="126"/>
      <c r="H93" s="115"/>
      <c r="I93" s="85"/>
      <c r="J93" s="85"/>
      <c r="K93" s="85"/>
      <c r="L93" s="85"/>
      <c r="M93" s="85"/>
    </row>
    <row r="94" spans="1:13" ht="15" customHeight="1" thickBot="1">
      <c r="A94" s="346"/>
      <c r="B94" s="346"/>
      <c r="C94" s="346"/>
      <c r="D94" s="346"/>
      <c r="E94" s="346"/>
      <c r="F94" s="86"/>
      <c r="G94" s="86"/>
      <c r="H94" s="85"/>
      <c r="I94" s="85"/>
      <c r="J94" s="85"/>
      <c r="K94" s="85"/>
      <c r="L94" s="85"/>
      <c r="M94" s="85"/>
    </row>
    <row r="95" spans="1:13" ht="15" thickBot="1">
      <c r="A95" s="357" t="s">
        <v>91</v>
      </c>
      <c r="B95" s="358"/>
      <c r="C95" s="358"/>
      <c r="D95" s="358"/>
      <c r="E95" s="358"/>
      <c r="F95" s="358"/>
      <c r="G95" s="359"/>
      <c r="H95" s="85"/>
      <c r="I95" s="85"/>
      <c r="J95" s="85"/>
      <c r="K95" s="85"/>
      <c r="L95" s="85"/>
      <c r="M95" s="85"/>
    </row>
    <row r="96" spans="1:13">
      <c r="A96" s="85" t="s">
        <v>92</v>
      </c>
      <c r="B96" s="86"/>
      <c r="C96" s="86"/>
      <c r="D96" s="86"/>
      <c r="E96" s="86"/>
      <c r="F96" s="86"/>
      <c r="G96" s="86"/>
      <c r="H96" s="86"/>
      <c r="I96" s="85"/>
      <c r="J96" s="85"/>
      <c r="K96" s="85"/>
      <c r="L96" s="85"/>
      <c r="M96" s="85"/>
    </row>
    <row r="97" spans="1:13">
      <c r="A97" s="288"/>
      <c r="B97" s="288"/>
      <c r="C97" s="288"/>
      <c r="D97" s="288"/>
      <c r="E97" s="288"/>
      <c r="F97" s="288"/>
      <c r="G97" s="288"/>
      <c r="H97" s="119"/>
      <c r="I97" s="85"/>
      <c r="J97" s="85"/>
      <c r="K97" s="85"/>
      <c r="L97" s="85"/>
      <c r="M97" s="85"/>
    </row>
    <row r="98" spans="1:13" ht="18.600000000000001">
      <c r="A98" s="364" t="s">
        <v>93</v>
      </c>
      <c r="B98" s="364"/>
      <c r="C98" s="364"/>
      <c r="D98" s="364"/>
      <c r="E98" s="364"/>
      <c r="F98" s="364"/>
      <c r="G98" s="288"/>
      <c r="H98" s="119"/>
      <c r="I98" s="85"/>
      <c r="J98" s="85"/>
      <c r="K98" s="85"/>
      <c r="L98" s="85"/>
      <c r="M98" s="85"/>
    </row>
    <row r="99" spans="1:13" ht="29.1">
      <c r="A99" s="201" t="s">
        <v>94</v>
      </c>
      <c r="B99" s="59">
        <f>C15</f>
        <v>0</v>
      </c>
      <c r="C99" s="118"/>
      <c r="D99" s="118"/>
      <c r="E99" s="351"/>
      <c r="F99" s="351"/>
      <c r="G99" s="288"/>
      <c r="H99" s="119"/>
      <c r="I99" s="85"/>
      <c r="J99" s="85"/>
      <c r="K99" s="85"/>
      <c r="L99" s="85"/>
      <c r="M99" s="85"/>
    </row>
    <row r="100" spans="1:13" ht="43.5">
      <c r="A100" s="201" t="s">
        <v>95</v>
      </c>
      <c r="B100" s="59" t="e">
        <f>('Zał. B2 Bilans energetyczny'!H112*(-1))</f>
        <v>#DIV/0!</v>
      </c>
      <c r="C100" s="363" t="s">
        <v>96</v>
      </c>
      <c r="D100" s="363"/>
      <c r="E100" s="363"/>
      <c r="F100" s="363"/>
      <c r="G100" s="363"/>
      <c r="H100" s="363"/>
      <c r="I100" s="85"/>
      <c r="J100" s="85"/>
      <c r="K100" s="85"/>
      <c r="L100" s="85"/>
      <c r="M100" s="85"/>
    </row>
    <row r="101" spans="1:13" ht="18.95" thickBot="1">
      <c r="A101" s="201" t="e">
        <f>IF(B101&gt;0,"Roczny koszt [zł]","Roczny przychód [zł]")</f>
        <v>#DIV/0!</v>
      </c>
      <c r="B101" s="29" t="e">
        <f>B100*B99*(-1)</f>
        <v>#DIV/0!</v>
      </c>
      <c r="C101" s="288"/>
      <c r="D101" s="288"/>
      <c r="E101" s="288"/>
      <c r="F101" s="288"/>
      <c r="G101" s="288"/>
      <c r="H101" s="119"/>
      <c r="I101" s="85"/>
      <c r="J101" s="85"/>
      <c r="K101" s="85"/>
      <c r="L101" s="85"/>
      <c r="M101" s="85"/>
    </row>
    <row r="102" spans="1:13" ht="15" thickBot="1">
      <c r="A102" s="288"/>
      <c r="B102" s="288"/>
      <c r="C102" s="288"/>
      <c r="D102" s="288"/>
      <c r="E102" s="288"/>
      <c r="F102" s="288"/>
      <c r="G102" s="288"/>
      <c r="H102" s="119"/>
      <c r="I102" s="85"/>
      <c r="J102" s="85"/>
      <c r="K102" s="85"/>
      <c r="L102" s="85"/>
      <c r="M102" s="85"/>
    </row>
    <row r="103" spans="1:13" ht="15" thickBot="1">
      <c r="A103" s="360" t="s">
        <v>97</v>
      </c>
      <c r="B103" s="358"/>
      <c r="C103" s="358"/>
      <c r="D103" s="358"/>
      <c r="E103" s="358"/>
      <c r="F103" s="358"/>
      <c r="G103" s="359"/>
      <c r="H103" s="119"/>
      <c r="I103" s="85"/>
      <c r="J103" s="85"/>
      <c r="K103" s="85"/>
      <c r="L103" s="85"/>
      <c r="M103" s="85"/>
    </row>
    <row r="104" spans="1:13">
      <c r="A104" s="288"/>
      <c r="B104" s="288"/>
      <c r="C104" s="288"/>
      <c r="D104" s="288"/>
      <c r="E104" s="288"/>
      <c r="F104" s="288"/>
      <c r="G104" s="115"/>
      <c r="H104" s="85"/>
      <c r="I104" s="85"/>
      <c r="J104" s="85"/>
      <c r="K104" s="85"/>
      <c r="L104" s="85"/>
      <c r="M104" s="85"/>
    </row>
    <row r="105" spans="1:13" ht="18.95" thickBot="1">
      <c r="A105" s="361" t="s">
        <v>98</v>
      </c>
      <c r="B105" s="361"/>
      <c r="C105" s="361"/>
      <c r="D105" s="361"/>
      <c r="E105" s="361"/>
      <c r="F105" s="361"/>
      <c r="G105" s="115"/>
      <c r="H105" s="85"/>
      <c r="I105" s="85"/>
      <c r="J105" s="85"/>
      <c r="K105" s="85"/>
      <c r="L105" s="85"/>
      <c r="M105" s="85"/>
    </row>
    <row r="106" spans="1:13" ht="15" customHeight="1">
      <c r="A106" s="397" t="s">
        <v>99</v>
      </c>
      <c r="B106" s="398"/>
      <c r="C106" s="398"/>
      <c r="D106" s="398"/>
      <c r="E106" s="398"/>
      <c r="F106" s="399"/>
      <c r="G106" s="115"/>
      <c r="H106" s="115"/>
      <c r="I106" s="85"/>
      <c r="J106" s="85"/>
      <c r="K106" s="85"/>
      <c r="L106" s="85"/>
      <c r="M106" s="85"/>
    </row>
    <row r="107" spans="1:13" ht="16.5">
      <c r="A107" s="379" t="s">
        <v>100</v>
      </c>
      <c r="B107" s="380"/>
      <c r="C107" s="381"/>
      <c r="D107" s="382" t="s">
        <v>101</v>
      </c>
      <c r="E107" s="380"/>
      <c r="F107" s="383"/>
      <c r="G107" s="115"/>
      <c r="H107" s="58"/>
      <c r="I107" s="57"/>
      <c r="J107" s="20"/>
      <c r="K107" s="85"/>
      <c r="L107" s="85"/>
      <c r="M107" s="85"/>
    </row>
    <row r="108" spans="1:13" ht="14.45" customHeight="1">
      <c r="A108" s="79" t="s">
        <v>102</v>
      </c>
      <c r="B108" s="387"/>
      <c r="C108" s="388"/>
      <c r="D108" s="141" t="s">
        <v>103</v>
      </c>
      <c r="E108" s="142"/>
      <c r="F108" s="80" t="s">
        <v>18</v>
      </c>
      <c r="G108" s="115"/>
      <c r="H108" s="58"/>
      <c r="I108" s="124"/>
      <c r="J108" s="85"/>
      <c r="K108" s="85"/>
      <c r="L108" s="85"/>
      <c r="M108" s="85"/>
    </row>
    <row r="109" spans="1:13">
      <c r="A109" s="14" t="s">
        <v>104</v>
      </c>
      <c r="B109" s="389" t="s">
        <v>105</v>
      </c>
      <c r="C109" s="390"/>
      <c r="D109" s="9"/>
      <c r="E109" s="143">
        <f>C14</f>
        <v>4</v>
      </c>
      <c r="F109" s="81" t="s">
        <v>106</v>
      </c>
      <c r="G109" s="85"/>
      <c r="H109" s="58"/>
      <c r="I109" s="124"/>
      <c r="J109" s="85"/>
      <c r="K109" s="85"/>
      <c r="L109" s="85"/>
      <c r="M109" s="85"/>
    </row>
    <row r="110" spans="1:13" ht="16.5">
      <c r="A110" s="14" t="s">
        <v>107</v>
      </c>
      <c r="B110" s="391" t="s">
        <v>108</v>
      </c>
      <c r="C110" s="392"/>
      <c r="D110" s="9"/>
      <c r="E110" s="11">
        <v>100</v>
      </c>
      <c r="F110" s="81" t="s">
        <v>109</v>
      </c>
      <c r="G110" s="85"/>
      <c r="H110" s="58"/>
      <c r="I110" s="124"/>
      <c r="J110" s="85"/>
      <c r="K110" s="85"/>
      <c r="L110" s="85"/>
      <c r="M110" s="85"/>
    </row>
    <row r="111" spans="1:13" ht="14.45" customHeight="1">
      <c r="A111" s="14" t="s">
        <v>110</v>
      </c>
      <c r="B111" s="391" t="s">
        <v>111</v>
      </c>
      <c r="C111" s="392"/>
      <c r="D111" s="290">
        <v>0</v>
      </c>
      <c r="E111" s="11">
        <f>D111*E110</f>
        <v>0</v>
      </c>
      <c r="F111" s="81" t="s">
        <v>112</v>
      </c>
      <c r="G111" s="85"/>
      <c r="H111" s="58"/>
      <c r="I111" s="124"/>
      <c r="J111" s="85"/>
      <c r="K111" s="85"/>
      <c r="L111" s="85"/>
      <c r="M111" s="85"/>
    </row>
    <row r="112" spans="1:13" ht="14.45" customHeight="1">
      <c r="A112" s="14" t="s">
        <v>113</v>
      </c>
      <c r="B112" s="391" t="s">
        <v>114</v>
      </c>
      <c r="C112" s="392"/>
      <c r="D112" s="290">
        <v>0</v>
      </c>
      <c r="E112" s="11">
        <f>D112*E110</f>
        <v>0</v>
      </c>
      <c r="F112" s="81" t="s">
        <v>109</v>
      </c>
      <c r="G112" s="206"/>
      <c r="H112" s="127"/>
      <c r="I112" s="124"/>
      <c r="J112" s="85"/>
      <c r="K112" s="85"/>
      <c r="L112" s="85"/>
      <c r="M112" s="85"/>
    </row>
    <row r="113" spans="1:13">
      <c r="A113" s="15" t="s">
        <v>115</v>
      </c>
      <c r="B113" s="389" t="s">
        <v>116</v>
      </c>
      <c r="C113" s="390"/>
      <c r="D113" s="82"/>
      <c r="E113" s="11">
        <v>4.4400000000000004</v>
      </c>
      <c r="F113" s="81" t="s">
        <v>117</v>
      </c>
      <c r="G113" s="206"/>
      <c r="H113" s="58"/>
      <c r="I113" s="124"/>
      <c r="J113" s="85"/>
      <c r="K113" s="85"/>
      <c r="L113" s="85"/>
      <c r="M113" s="85"/>
    </row>
    <row r="114" spans="1:13" ht="15" thickBot="1">
      <c r="A114" s="15" t="s">
        <v>118</v>
      </c>
      <c r="B114" s="389" t="s">
        <v>119</v>
      </c>
      <c r="C114" s="390"/>
      <c r="D114" s="82"/>
      <c r="E114" s="11">
        <v>6.05</v>
      </c>
      <c r="F114" s="81" t="s">
        <v>117</v>
      </c>
      <c r="G114" s="206"/>
      <c r="H114" s="105"/>
      <c r="I114" s="124"/>
      <c r="J114" s="85"/>
      <c r="K114" s="85"/>
      <c r="L114" s="85"/>
      <c r="M114" s="85"/>
    </row>
    <row r="115" spans="1:13" ht="18.95" customHeight="1">
      <c r="A115" s="393" t="s">
        <v>120</v>
      </c>
      <c r="B115" s="394"/>
      <c r="C115" s="394"/>
      <c r="D115" s="395"/>
      <c r="E115" s="145">
        <f>(E110-E111-E112)*E109</f>
        <v>400</v>
      </c>
      <c r="F115" s="83"/>
      <c r="G115" s="206"/>
      <c r="H115" s="86"/>
      <c r="I115" s="128"/>
      <c r="J115" s="85"/>
      <c r="K115" s="85"/>
      <c r="L115" s="85"/>
      <c r="M115" s="85"/>
    </row>
    <row r="116" spans="1:13" ht="15">
      <c r="A116" s="384" t="s">
        <v>121</v>
      </c>
      <c r="B116" s="385"/>
      <c r="C116" s="385"/>
      <c r="D116" s="386"/>
      <c r="E116" s="290"/>
      <c r="F116" s="84"/>
      <c r="G116" s="206"/>
      <c r="H116" s="86"/>
      <c r="I116" s="85"/>
      <c r="J116" s="85"/>
      <c r="K116" s="85"/>
      <c r="L116" s="85"/>
      <c r="M116" s="85"/>
    </row>
    <row r="117" spans="1:13" ht="15">
      <c r="A117" s="85"/>
      <c r="B117" s="86"/>
      <c r="C117" s="86"/>
      <c r="D117" s="86"/>
      <c r="E117" s="86"/>
      <c r="F117" s="86"/>
      <c r="G117" s="86"/>
      <c r="H117" s="86"/>
      <c r="I117" s="85"/>
      <c r="J117" s="85"/>
      <c r="K117" s="85"/>
      <c r="L117" s="85"/>
      <c r="M117" s="85"/>
    </row>
    <row r="118" spans="1:13" ht="15" thickBot="1">
      <c r="A118" s="400" t="s">
        <v>122</v>
      </c>
      <c r="B118" s="401"/>
      <c r="C118" s="401"/>
      <c r="D118" s="401"/>
      <c r="E118" s="401"/>
      <c r="F118" s="401"/>
      <c r="G118" s="402"/>
      <c r="H118" s="86"/>
      <c r="I118" s="85"/>
      <c r="J118" s="85"/>
      <c r="K118" s="85"/>
      <c r="L118" s="85"/>
      <c r="M118" s="85"/>
    </row>
    <row r="119" spans="1:13">
      <c r="A119" s="85"/>
      <c r="B119" s="86"/>
      <c r="C119" s="86"/>
      <c r="D119" s="86"/>
      <c r="E119" s="86"/>
      <c r="F119" s="86"/>
      <c r="G119" s="86"/>
      <c r="H119" s="86"/>
      <c r="I119" s="85"/>
      <c r="J119" s="85"/>
      <c r="K119" s="85"/>
      <c r="L119" s="85"/>
      <c r="M119" s="85"/>
    </row>
    <row r="120" spans="1:13">
      <c r="A120" s="85"/>
      <c r="B120" s="86"/>
      <c r="C120" s="86"/>
      <c r="D120" s="86"/>
      <c r="E120" s="86"/>
      <c r="F120" s="86"/>
      <c r="G120" s="86"/>
      <c r="H120" s="86"/>
      <c r="I120" s="85"/>
      <c r="J120" s="85"/>
      <c r="K120" s="85"/>
      <c r="L120" s="85"/>
      <c r="M120" s="85"/>
    </row>
    <row r="121" spans="1:13" ht="18.95" thickBot="1">
      <c r="A121" s="361" t="s">
        <v>123</v>
      </c>
      <c r="B121" s="361"/>
      <c r="C121" s="361"/>
      <c r="D121" s="86"/>
      <c r="E121" s="86"/>
      <c r="F121" s="86"/>
      <c r="G121" s="86"/>
      <c r="H121" s="86"/>
      <c r="I121" s="85"/>
      <c r="J121" s="85"/>
      <c r="K121" s="85"/>
      <c r="L121" s="85"/>
      <c r="M121" s="85"/>
    </row>
    <row r="122" spans="1:13">
      <c r="A122" s="151" t="s">
        <v>15</v>
      </c>
      <c r="B122" s="152" t="s">
        <v>124</v>
      </c>
      <c r="C122" s="203" t="s">
        <v>125</v>
      </c>
      <c r="D122" s="86"/>
      <c r="E122" s="85"/>
      <c r="F122" s="86"/>
      <c r="G122" s="86"/>
      <c r="H122" s="86"/>
      <c r="I122" s="85"/>
      <c r="J122" s="85"/>
      <c r="K122" s="85"/>
      <c r="L122" s="85"/>
      <c r="M122" s="85"/>
    </row>
    <row r="123" spans="1:13">
      <c r="A123" s="87" t="s">
        <v>126</v>
      </c>
      <c r="B123" s="88" t="s">
        <v>127</v>
      </c>
      <c r="C123" s="227">
        <f>IF('Zał. B2 Bilans energetyczny'!$C$8="","",VLOOKUP('Zał. B2 Bilans energetyczny'!$C$8,AGD[],'Profil użytkownika'!A65,0))</f>
        <v>500</v>
      </c>
      <c r="D123" s="86"/>
      <c r="E123" s="85"/>
      <c r="F123" s="86"/>
      <c r="G123" s="86"/>
      <c r="H123" s="86"/>
      <c r="I123" s="85"/>
      <c r="J123" s="85"/>
      <c r="K123" s="85"/>
      <c r="L123" s="85"/>
      <c r="M123" s="85"/>
    </row>
    <row r="124" spans="1:13" ht="15" thickBot="1">
      <c r="A124" s="89" t="s">
        <v>128</v>
      </c>
      <c r="B124" s="90" t="s">
        <v>129</v>
      </c>
      <c r="C124" s="228">
        <f>IF('Zał. B2 Bilans energetyczny'!$C$8="","",VLOOKUP('Zał. B2 Bilans energetyczny'!$C$8,AGD[],'Profil użytkownika'!A66,0))</f>
        <v>1000</v>
      </c>
      <c r="D124" s="85"/>
      <c r="E124" s="85"/>
      <c r="F124" s="86"/>
      <c r="G124" s="86"/>
      <c r="H124" s="86"/>
      <c r="I124" s="85"/>
      <c r="J124" s="85"/>
      <c r="K124" s="85"/>
      <c r="L124" s="85"/>
      <c r="M124" s="85"/>
    </row>
    <row r="125" spans="1:13">
      <c r="A125" s="85"/>
      <c r="B125" s="85"/>
      <c r="C125" s="85"/>
      <c r="D125" s="85"/>
      <c r="E125" s="85"/>
      <c r="F125" s="86"/>
      <c r="G125" s="86"/>
      <c r="H125" s="86"/>
      <c r="I125" s="85"/>
      <c r="J125" s="85"/>
      <c r="K125" s="85"/>
      <c r="L125" s="85"/>
      <c r="M125" s="85"/>
    </row>
    <row r="126" spans="1:13">
      <c r="A126" s="85"/>
      <c r="B126" s="85"/>
      <c r="C126" s="85"/>
      <c r="D126" s="85"/>
      <c r="E126" s="85"/>
      <c r="F126" s="86"/>
      <c r="G126" s="86"/>
      <c r="H126" s="86"/>
      <c r="I126" s="85"/>
      <c r="J126" s="85"/>
      <c r="K126" s="85"/>
      <c r="L126" s="85"/>
      <c r="M126" s="85"/>
    </row>
    <row r="127" spans="1:13">
      <c r="A127" s="85"/>
      <c r="B127" s="85"/>
      <c r="C127" s="85"/>
      <c r="D127" s="85"/>
      <c r="E127" s="85"/>
      <c r="F127" s="86"/>
      <c r="G127" s="86"/>
      <c r="H127" s="86"/>
      <c r="I127" s="85"/>
      <c r="J127" s="85"/>
      <c r="K127" s="85"/>
      <c r="L127" s="85"/>
      <c r="M127" s="85"/>
    </row>
    <row r="128" spans="1:13" ht="15" thickBot="1">
      <c r="A128" s="85"/>
      <c r="B128" s="85"/>
      <c r="C128" s="85"/>
      <c r="D128" s="85"/>
      <c r="E128" s="85"/>
      <c r="F128" s="86"/>
      <c r="G128" s="86"/>
      <c r="H128" s="86"/>
      <c r="I128" s="85"/>
      <c r="J128" s="85"/>
      <c r="K128" s="85"/>
      <c r="L128" s="85"/>
      <c r="M128" s="85"/>
    </row>
    <row r="129" spans="1:13" ht="15" thickBot="1">
      <c r="A129" s="400" t="s">
        <v>130</v>
      </c>
      <c r="B129" s="401"/>
      <c r="C129" s="401"/>
      <c r="D129" s="401"/>
      <c r="E129" s="401"/>
      <c r="F129" s="401"/>
      <c r="G129" s="402"/>
      <c r="H129" s="86"/>
      <c r="I129" s="85"/>
      <c r="J129" s="85"/>
      <c r="K129" s="85"/>
      <c r="L129" s="85"/>
      <c r="M129" s="85"/>
    </row>
    <row r="130" spans="1:13">
      <c r="A130" s="85"/>
      <c r="B130" s="85"/>
      <c r="C130" s="85"/>
      <c r="D130" s="85"/>
      <c r="E130" s="85"/>
      <c r="F130" s="86"/>
      <c r="G130" s="86"/>
      <c r="H130" s="86"/>
      <c r="I130" s="85"/>
      <c r="J130" s="85"/>
      <c r="K130" s="85"/>
      <c r="L130" s="85"/>
      <c r="M130" s="85"/>
    </row>
    <row r="131" spans="1:13" ht="18.95" thickBot="1">
      <c r="A131" s="361" t="s">
        <v>131</v>
      </c>
      <c r="B131" s="361"/>
      <c r="C131" s="361"/>
      <c r="D131" s="361"/>
      <c r="E131" s="364"/>
      <c r="F131" s="364"/>
      <c r="G131" s="342"/>
      <c r="H131" s="86"/>
      <c r="I131" s="85"/>
      <c r="J131" s="85"/>
      <c r="K131" s="85"/>
      <c r="L131" s="85"/>
      <c r="M131" s="85"/>
    </row>
    <row r="132" spans="1:13" ht="14.45" customHeight="1">
      <c r="A132" s="403" t="s">
        <v>132</v>
      </c>
      <c r="B132" s="399"/>
      <c r="C132" s="404" t="s">
        <v>133</v>
      </c>
      <c r="D132" s="405"/>
      <c r="E132" s="146"/>
      <c r="F132" s="146"/>
      <c r="G132" s="146"/>
      <c r="H132" s="86"/>
      <c r="I132" s="85"/>
      <c r="J132" s="85"/>
      <c r="K132" s="85"/>
      <c r="L132" s="85"/>
      <c r="M132" s="85"/>
    </row>
    <row r="133" spans="1:13" ht="16.5" customHeight="1">
      <c r="A133" s="406" t="s">
        <v>134</v>
      </c>
      <c r="B133" s="407"/>
      <c r="C133" s="408" t="s">
        <v>135</v>
      </c>
      <c r="D133" s="409"/>
      <c r="E133" s="207"/>
      <c r="F133" s="207"/>
      <c r="G133" s="207"/>
      <c r="H133" s="86"/>
      <c r="I133" s="85"/>
      <c r="J133" s="85"/>
      <c r="K133" s="85"/>
      <c r="L133" s="85"/>
      <c r="M133" s="85"/>
    </row>
    <row r="134" spans="1:13">
      <c r="A134" s="208" t="s">
        <v>102</v>
      </c>
      <c r="B134" s="208"/>
      <c r="C134" s="208"/>
      <c r="D134" s="208"/>
      <c r="E134" s="209"/>
      <c r="F134" s="209"/>
      <c r="G134" s="209"/>
      <c r="H134" s="86"/>
      <c r="I134" s="85"/>
      <c r="J134" s="85"/>
      <c r="K134" s="85"/>
      <c r="L134" s="85"/>
      <c r="M134" s="85"/>
    </row>
    <row r="135" spans="1:13">
      <c r="A135" s="210"/>
      <c r="B135" s="210"/>
      <c r="C135" s="211" t="s">
        <v>136</v>
      </c>
      <c r="D135" s="211" t="s">
        <v>18</v>
      </c>
      <c r="E135" s="212"/>
      <c r="F135" s="212"/>
      <c r="G135" s="57"/>
      <c r="H135" s="86"/>
      <c r="I135" s="85"/>
      <c r="J135" s="85"/>
      <c r="K135" s="85"/>
      <c r="L135" s="85"/>
      <c r="M135" s="85"/>
    </row>
    <row r="136" spans="1:13" ht="16.5">
      <c r="A136" s="213" t="s">
        <v>137</v>
      </c>
      <c r="B136" s="210" t="s">
        <v>138</v>
      </c>
      <c r="C136" s="341" t="e">
        <f>C149+C150</f>
        <v>#DIV/0!</v>
      </c>
      <c r="D136" s="211" t="s">
        <v>139</v>
      </c>
      <c r="E136" s="212"/>
      <c r="F136" s="212"/>
      <c r="G136" s="57"/>
      <c r="H136" s="86"/>
      <c r="I136" s="85"/>
      <c r="J136" s="85"/>
      <c r="K136" s="85"/>
      <c r="L136" s="85"/>
      <c r="M136" s="85"/>
    </row>
    <row r="137" spans="1:13" ht="16.5">
      <c r="A137" s="213" t="s">
        <v>140</v>
      </c>
      <c r="B137" s="214" t="s">
        <v>141</v>
      </c>
      <c r="C137" s="215">
        <f>F50</f>
        <v>0</v>
      </c>
      <c r="D137" s="13" t="s">
        <v>139</v>
      </c>
      <c r="E137" s="212"/>
      <c r="F137" s="212"/>
      <c r="G137" s="216"/>
      <c r="H137" s="86"/>
      <c r="I137" s="85"/>
      <c r="J137" s="85"/>
      <c r="K137" s="85"/>
      <c r="L137" s="85"/>
      <c r="M137" s="85"/>
    </row>
    <row r="138" spans="1:13" ht="29.1">
      <c r="A138" s="213" t="s">
        <v>142</v>
      </c>
      <c r="B138" s="214" t="s">
        <v>143</v>
      </c>
      <c r="C138" s="215">
        <f>F63</f>
        <v>0</v>
      </c>
      <c r="D138" s="217" t="s">
        <v>139</v>
      </c>
      <c r="E138" s="212"/>
      <c r="F138" s="212"/>
      <c r="G138" s="216"/>
      <c r="H138" s="86"/>
      <c r="I138" s="85"/>
      <c r="J138" s="85"/>
      <c r="K138" s="85"/>
      <c r="L138" s="85"/>
      <c r="M138" s="85"/>
    </row>
    <row r="139" spans="1:13" ht="29.1">
      <c r="A139" s="213" t="s">
        <v>144</v>
      </c>
      <c r="B139" s="214" t="s">
        <v>145</v>
      </c>
      <c r="C139" s="215">
        <f>F72</f>
        <v>0</v>
      </c>
      <c r="D139" s="217" t="s">
        <v>139</v>
      </c>
      <c r="E139" s="212"/>
      <c r="F139" s="212"/>
      <c r="G139" s="216"/>
      <c r="H139" s="86"/>
      <c r="I139" s="85"/>
      <c r="J139" s="85"/>
      <c r="K139" s="85"/>
      <c r="L139" s="85"/>
      <c r="M139" s="85"/>
    </row>
    <row r="140" spans="1:13" ht="29.1">
      <c r="A140" s="213" t="s">
        <v>146</v>
      </c>
      <c r="B140" s="214" t="s">
        <v>147</v>
      </c>
      <c r="C140" s="215">
        <f>F82</f>
        <v>0</v>
      </c>
      <c r="D140" s="217" t="s">
        <v>139</v>
      </c>
      <c r="E140" s="212"/>
      <c r="F140" s="212"/>
      <c r="G140" s="216"/>
      <c r="H140" s="86"/>
      <c r="I140" s="85"/>
      <c r="J140" s="85"/>
      <c r="K140" s="85"/>
      <c r="L140" s="85"/>
      <c r="M140" s="85"/>
    </row>
    <row r="141" spans="1:13" ht="29.1">
      <c r="A141" s="213" t="s">
        <v>148</v>
      </c>
      <c r="B141" s="214" t="s">
        <v>149</v>
      </c>
      <c r="C141" s="215">
        <f>F93</f>
        <v>0</v>
      </c>
      <c r="D141" s="217" t="s">
        <v>139</v>
      </c>
      <c r="E141" s="212"/>
      <c r="F141" s="212"/>
      <c r="G141" s="216"/>
      <c r="H141" s="86"/>
      <c r="I141" s="85"/>
      <c r="J141" s="85"/>
      <c r="K141" s="85"/>
      <c r="L141" s="85"/>
      <c r="M141" s="85"/>
    </row>
    <row r="142" spans="1:13" ht="43.5">
      <c r="A142" s="213" t="s">
        <v>150</v>
      </c>
      <c r="B142" s="214" t="s">
        <v>151</v>
      </c>
      <c r="C142" s="215" t="e">
        <f>B101</f>
        <v>#DIV/0!</v>
      </c>
      <c r="D142" s="217" t="s">
        <v>152</v>
      </c>
      <c r="E142" s="212"/>
      <c r="F142" s="212"/>
      <c r="G142" s="216"/>
      <c r="H142" s="86"/>
      <c r="I142" s="85"/>
      <c r="J142" s="85"/>
      <c r="K142" s="85"/>
      <c r="L142" s="85"/>
      <c r="M142" s="85"/>
    </row>
    <row r="143" spans="1:13" ht="16.5">
      <c r="A143" s="213" t="s">
        <v>153</v>
      </c>
      <c r="B143" s="214" t="s">
        <v>154</v>
      </c>
      <c r="C143" s="215">
        <f>C15</f>
        <v>0</v>
      </c>
      <c r="D143" s="13" t="s">
        <v>155</v>
      </c>
      <c r="E143" s="212"/>
      <c r="F143" s="212"/>
      <c r="G143" s="216"/>
      <c r="H143" s="86"/>
      <c r="I143" s="85"/>
      <c r="J143" s="85"/>
      <c r="K143" s="85"/>
      <c r="L143" s="85"/>
      <c r="M143" s="85"/>
    </row>
    <row r="144" spans="1:13" ht="29.1">
      <c r="A144" s="213" t="s">
        <v>156</v>
      </c>
      <c r="B144" s="214" t="s">
        <v>157</v>
      </c>
      <c r="C144" s="215">
        <f>E115/1000*E113*365</f>
        <v>648.24000000000012</v>
      </c>
      <c r="D144" s="13" t="s">
        <v>158</v>
      </c>
      <c r="E144" s="212"/>
      <c r="F144" s="212"/>
      <c r="G144" s="216"/>
      <c r="H144" s="86"/>
      <c r="I144" s="85"/>
      <c r="J144" s="85"/>
      <c r="K144" s="85"/>
      <c r="L144" s="85"/>
      <c r="M144" s="85"/>
    </row>
    <row r="145" spans="1:14" ht="16.5">
      <c r="A145" s="213" t="s">
        <v>159</v>
      </c>
      <c r="B145" s="214" t="s">
        <v>160</v>
      </c>
      <c r="C145" s="215">
        <f>E116*E114*365/1000</f>
        <v>0</v>
      </c>
      <c r="D145" s="13" t="s">
        <v>158</v>
      </c>
      <c r="E145" s="212"/>
      <c r="F145" s="212"/>
      <c r="G145" s="216"/>
      <c r="H145" s="86"/>
      <c r="I145" s="85"/>
      <c r="J145" s="85"/>
      <c r="K145" s="85"/>
      <c r="L145" s="85"/>
      <c r="M145" s="85"/>
    </row>
    <row r="146" spans="1:14" ht="16.5">
      <c r="A146" s="213" t="s">
        <v>161</v>
      </c>
      <c r="B146" s="214" t="s">
        <v>162</v>
      </c>
      <c r="C146" s="215">
        <f>C123</f>
        <v>500</v>
      </c>
      <c r="D146" s="13" t="s">
        <v>158</v>
      </c>
      <c r="E146" s="212"/>
      <c r="F146" s="212"/>
      <c r="G146" s="216"/>
      <c r="H146" s="86"/>
      <c r="I146" s="85"/>
      <c r="J146" s="85"/>
      <c r="K146" s="85"/>
      <c r="L146" s="85"/>
      <c r="M146" s="85"/>
    </row>
    <row r="147" spans="1:14" ht="16.5">
      <c r="A147" s="213" t="s">
        <v>163</v>
      </c>
      <c r="B147" s="214" t="s">
        <v>164</v>
      </c>
      <c r="C147" s="215">
        <f>C124</f>
        <v>1000</v>
      </c>
      <c r="D147" s="13" t="s">
        <v>158</v>
      </c>
      <c r="E147" s="212"/>
      <c r="F147" s="212"/>
      <c r="G147" s="216"/>
      <c r="H147" s="86"/>
      <c r="I147" s="85"/>
      <c r="J147" s="85"/>
      <c r="K147" s="85"/>
      <c r="L147" s="85"/>
      <c r="M147" s="85"/>
    </row>
    <row r="148" spans="1:14" ht="29.1">
      <c r="A148" s="213" t="s">
        <v>165</v>
      </c>
      <c r="B148" s="214" t="s">
        <v>166</v>
      </c>
      <c r="C148" s="215">
        <v>1.03</v>
      </c>
      <c r="D148" s="218" t="s">
        <v>167</v>
      </c>
      <c r="E148" s="212"/>
      <c r="F148" s="212"/>
      <c r="G148" s="216"/>
      <c r="H148" s="86"/>
      <c r="I148" s="85"/>
      <c r="J148" s="85"/>
      <c r="K148" s="85"/>
      <c r="L148" s="85"/>
      <c r="M148" s="85"/>
    </row>
    <row r="149" spans="1:14" ht="23.45">
      <c r="A149" s="345" t="s">
        <v>168</v>
      </c>
      <c r="B149" s="219" t="s">
        <v>169</v>
      </c>
      <c r="C149" s="220">
        <f>C137+C138+C139</f>
        <v>0</v>
      </c>
      <c r="D149" s="221" t="s">
        <v>139</v>
      </c>
      <c r="E149" s="60"/>
      <c r="F149" s="60"/>
      <c r="G149" s="60"/>
      <c r="H149" s="86"/>
      <c r="I149" s="85"/>
      <c r="J149" s="85"/>
      <c r="K149" s="85"/>
      <c r="L149" s="85"/>
      <c r="M149" s="85"/>
    </row>
    <row r="150" spans="1:14" ht="23.45">
      <c r="A150" s="345" t="s">
        <v>170</v>
      </c>
      <c r="B150" s="222" t="s">
        <v>171</v>
      </c>
      <c r="C150" s="220" t="e">
        <f>30*C142+30*C148*(C144+C145+C146+C147+C141)+27*C148*C140</f>
        <v>#DIV/0!</v>
      </c>
      <c r="D150" s="221" t="s">
        <v>139</v>
      </c>
      <c r="E150" s="60"/>
      <c r="F150" s="60"/>
      <c r="G150" s="60"/>
      <c r="H150" s="86"/>
      <c r="I150" s="85"/>
      <c r="J150" s="85"/>
      <c r="K150" s="85"/>
      <c r="L150" s="85"/>
      <c r="M150" s="85"/>
    </row>
    <row r="151" spans="1:14" ht="15" thickBot="1">
      <c r="A151" s="223"/>
      <c r="B151" s="224"/>
      <c r="C151" s="224"/>
      <c r="D151" s="224"/>
      <c r="E151" s="86"/>
      <c r="F151" s="86"/>
      <c r="G151" s="86"/>
      <c r="H151" s="86"/>
      <c r="I151" s="85"/>
      <c r="J151" s="85"/>
      <c r="K151" s="85"/>
      <c r="L151" s="85"/>
      <c r="M151" s="85"/>
    </row>
    <row r="152" spans="1:14" s="46" customFormat="1" ht="24" customHeight="1" thickBot="1">
      <c r="A152" s="410" t="s">
        <v>172</v>
      </c>
      <c r="B152" s="411"/>
      <c r="C152" s="225" t="e">
        <f>ROUND((C136)/C15,0)</f>
        <v>#DIV/0!</v>
      </c>
      <c r="D152" s="226" t="s">
        <v>173</v>
      </c>
      <c r="E152" s="60"/>
      <c r="F152" s="60"/>
      <c r="H152" s="60"/>
      <c r="I152" s="60"/>
      <c r="J152" s="60"/>
      <c r="K152" s="60"/>
      <c r="L152" s="60"/>
      <c r="M152" s="129"/>
      <c r="N152" s="61"/>
    </row>
    <row r="153" spans="1:14">
      <c r="A153" s="288"/>
      <c r="B153" s="288"/>
      <c r="C153" s="288"/>
      <c r="D153" s="288"/>
      <c r="E153" s="288"/>
      <c r="F153" s="288"/>
      <c r="G153" s="288"/>
      <c r="H153" s="119"/>
      <c r="I153" s="85"/>
      <c r="J153" s="85"/>
      <c r="K153" s="85"/>
      <c r="L153" s="85"/>
      <c r="M153" s="85"/>
    </row>
    <row r="154" spans="1:14">
      <c r="A154" s="110"/>
      <c r="B154" s="110"/>
      <c r="C154" s="110"/>
      <c r="D154" s="110"/>
      <c r="E154" s="110"/>
      <c r="F154" s="110"/>
      <c r="G154" s="110"/>
      <c r="H154" s="119"/>
      <c r="I154" s="85"/>
      <c r="J154" s="85"/>
      <c r="K154" s="85"/>
      <c r="L154" s="85"/>
      <c r="M154" s="85"/>
    </row>
    <row r="155" spans="1:14">
      <c r="A155" s="288"/>
      <c r="B155" s="288"/>
      <c r="C155" s="288"/>
      <c r="D155" s="288"/>
      <c r="E155" s="288"/>
      <c r="F155" s="288"/>
      <c r="G155" s="288"/>
      <c r="H155" s="85"/>
      <c r="I155" s="85"/>
      <c r="J155" s="85"/>
      <c r="K155" s="85"/>
      <c r="L155" s="85"/>
      <c r="M155" s="85"/>
    </row>
    <row r="156" spans="1:14" ht="18.600000000000001">
      <c r="A156" s="205"/>
      <c r="B156" s="205"/>
      <c r="C156" s="205"/>
      <c r="D156" s="205"/>
      <c r="E156" s="205"/>
      <c r="F156" s="205"/>
      <c r="G156" s="288"/>
      <c r="H156" s="85"/>
      <c r="I156" s="85"/>
      <c r="J156" s="85"/>
      <c r="K156" s="85"/>
      <c r="L156" s="85"/>
      <c r="M156" s="85"/>
    </row>
    <row r="157" spans="1:14" ht="15" customHeight="1">
      <c r="A157" s="42"/>
      <c r="B157" s="42"/>
      <c r="C157" s="42"/>
      <c r="D157" s="42"/>
      <c r="E157" s="42"/>
      <c r="F157" s="42"/>
      <c r="G157" s="288"/>
      <c r="H157" s="115"/>
      <c r="I157" s="85"/>
      <c r="J157" s="85"/>
      <c r="K157" s="85"/>
      <c r="L157" s="85"/>
      <c r="M157" s="85"/>
    </row>
    <row r="158" spans="1:14">
      <c r="A158" s="105"/>
      <c r="B158" s="105"/>
      <c r="C158" s="105"/>
      <c r="D158" s="105"/>
      <c r="E158" s="105"/>
      <c r="F158" s="105"/>
      <c r="G158" s="288"/>
      <c r="H158" s="124"/>
      <c r="I158" s="124"/>
      <c r="J158" s="85"/>
      <c r="K158" s="85"/>
      <c r="L158" s="85"/>
      <c r="M158" s="85"/>
    </row>
    <row r="159" spans="1:14">
      <c r="A159" s="110"/>
      <c r="B159" s="110"/>
      <c r="C159" s="110"/>
      <c r="D159" s="110"/>
      <c r="E159" s="110"/>
      <c r="F159" s="110"/>
      <c r="G159" s="288"/>
      <c r="H159" s="58"/>
      <c r="I159" s="57"/>
      <c r="J159" s="20"/>
      <c r="K159" s="85"/>
      <c r="L159" s="85"/>
      <c r="M159" s="85"/>
    </row>
    <row r="160" spans="1:14">
      <c r="A160" s="105"/>
      <c r="B160" s="105"/>
      <c r="C160" s="105"/>
      <c r="D160" s="105"/>
      <c r="E160" s="105"/>
      <c r="F160" s="105"/>
      <c r="G160" s="288"/>
      <c r="H160" s="105"/>
      <c r="I160" s="124"/>
      <c r="J160" s="85"/>
      <c r="K160" s="85"/>
      <c r="L160" s="85"/>
      <c r="M160" s="85"/>
    </row>
    <row r="161" spans="1:8" s="7" customFormat="1">
      <c r="A161" s="3"/>
      <c r="B161" s="4"/>
      <c r="C161" s="4"/>
      <c r="D161" s="4"/>
      <c r="E161" s="4"/>
      <c r="F161" s="4"/>
      <c r="G161" s="4"/>
      <c r="H161" s="8"/>
    </row>
    <row r="162" spans="1:8" s="7" customFormat="1">
      <c r="A162" s="3"/>
      <c r="B162" s="4"/>
      <c r="C162" s="4"/>
      <c r="D162" s="4"/>
      <c r="E162" s="4"/>
      <c r="F162" s="4"/>
      <c r="G162" s="4"/>
      <c r="H162" s="8"/>
    </row>
    <row r="163" spans="1:8">
      <c r="A163" s="46"/>
      <c r="B163" s="8"/>
      <c r="C163" s="8"/>
      <c r="D163" s="8"/>
      <c r="E163" s="8"/>
      <c r="F163" s="8"/>
      <c r="G163" s="8"/>
    </row>
    <row r="164" spans="1:8">
      <c r="A164" s="46"/>
      <c r="B164" s="8"/>
      <c r="C164" s="8"/>
      <c r="D164" s="8"/>
      <c r="E164" s="8"/>
      <c r="F164" s="8"/>
      <c r="G164" s="8"/>
    </row>
    <row r="165" spans="1:8">
      <c r="A165" s="46"/>
      <c r="B165" s="8"/>
      <c r="C165" s="8"/>
      <c r="D165" s="8"/>
      <c r="E165" s="8"/>
      <c r="F165" s="8"/>
      <c r="G165" s="8"/>
    </row>
    <row r="166" spans="1:8">
      <c r="A166" s="46"/>
      <c r="B166" s="8"/>
      <c r="C166" s="8"/>
      <c r="D166" s="8"/>
      <c r="E166" s="8"/>
      <c r="F166" s="8"/>
      <c r="G166" s="8"/>
    </row>
  </sheetData>
  <mergeCells count="43">
    <mergeCell ref="A132:B132"/>
    <mergeCell ref="C132:D132"/>
    <mergeCell ref="A133:B133"/>
    <mergeCell ref="C133:D133"/>
    <mergeCell ref="A152:B152"/>
    <mergeCell ref="A106:F106"/>
    <mergeCell ref="A118:G118"/>
    <mergeCell ref="A121:C121"/>
    <mergeCell ref="A129:G129"/>
    <mergeCell ref="A131:C131"/>
    <mergeCell ref="D131:F131"/>
    <mergeCell ref="B93:E93"/>
    <mergeCell ref="A1:G3"/>
    <mergeCell ref="A107:C107"/>
    <mergeCell ref="D107:F107"/>
    <mergeCell ref="A116:D116"/>
    <mergeCell ref="B108:C108"/>
    <mergeCell ref="B109:C109"/>
    <mergeCell ref="B110:C110"/>
    <mergeCell ref="B111:C111"/>
    <mergeCell ref="B112:C112"/>
    <mergeCell ref="B113:C113"/>
    <mergeCell ref="B114:C114"/>
    <mergeCell ref="A115:D115"/>
    <mergeCell ref="A11:D11"/>
    <mergeCell ref="A17:G17"/>
    <mergeCell ref="A12:G12"/>
    <mergeCell ref="A95:G95"/>
    <mergeCell ref="A103:G103"/>
    <mergeCell ref="A105:F105"/>
    <mergeCell ref="H13:M13"/>
    <mergeCell ref="C100:H100"/>
    <mergeCell ref="A98:F98"/>
    <mergeCell ref="A19:F19"/>
    <mergeCell ref="A20:G20"/>
    <mergeCell ref="B50:E50"/>
    <mergeCell ref="A51:G51"/>
    <mergeCell ref="B63:E63"/>
    <mergeCell ref="A64:G64"/>
    <mergeCell ref="B72:E72"/>
    <mergeCell ref="A74:G74"/>
    <mergeCell ref="B82:E82"/>
    <mergeCell ref="A85:G85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0" fitToHeight="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Wartość nieprawidłowa" promptTitle="Wybierz typ budynku" prompt="Wybierz typ budynku" xr:uid="{00000000-0002-0000-0000-000000000000}">
          <x14:formula1>
            <xm:f>'Profil użytkownika'!$A$2:$A$4</xm:f>
          </x14:formula1>
          <xm:sqref>C13</xm:sqref>
        </x14:dataValidation>
        <x14:dataValidation type="list" allowBlank="1" showInputMessage="1" showErrorMessage="1" promptTitle="Wybierz z listy" prompt="Wybierz z listy" xr:uid="{00000000-0002-0000-0000-000001000000}">
          <x14:formula1>
            <xm:f>'Profil użytkownika'!$F$21:$F$22</xm:f>
          </x14:formula1>
          <xm:sqref>G22:G49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5"/>
  <sheetViews>
    <sheetView zoomScale="70" zoomScaleNormal="70" workbookViewId="0">
      <pane ySplit="3" topLeftCell="B4" activePane="bottomLeft" state="frozen"/>
      <selection pane="bottomLeft" activeCell="C94" sqref="C94"/>
    </sheetView>
  </sheetViews>
  <sheetFormatPr defaultColWidth="8.85546875" defaultRowHeight="14.45"/>
  <cols>
    <col min="1" max="1" width="5.42578125" style="44" customWidth="1"/>
    <col min="2" max="2" width="70.140625" style="1" customWidth="1"/>
    <col min="3" max="3" width="13.42578125" customWidth="1"/>
    <col min="4" max="4" width="11.140625" customWidth="1"/>
    <col min="5" max="5" width="11.85546875" customWidth="1"/>
    <col min="6" max="7" width="9.42578125" bestFit="1" customWidth="1"/>
    <col min="8" max="8" width="12.140625" customWidth="1"/>
    <col min="9" max="9" width="21.42578125" customWidth="1"/>
    <col min="10" max="10" width="9.42578125" bestFit="1" customWidth="1"/>
    <col min="11" max="11" width="10.42578125" bestFit="1" customWidth="1"/>
    <col min="12" max="13" width="9.42578125" bestFit="1" customWidth="1"/>
    <col min="14" max="14" width="11.85546875" bestFit="1" customWidth="1"/>
    <col min="15" max="15" width="31.140625" customWidth="1"/>
  </cols>
  <sheetData>
    <row r="1" spans="1:14" s="44" customFormat="1" ht="18.600000000000001" customHeight="1">
      <c r="A1" s="427" t="s">
        <v>174</v>
      </c>
      <c r="B1" s="428"/>
      <c r="C1" s="428"/>
      <c r="D1" s="428"/>
      <c r="E1" s="428"/>
      <c r="F1" s="428"/>
      <c r="G1" s="429"/>
      <c r="H1" s="85"/>
      <c r="I1" s="85"/>
      <c r="J1" s="85"/>
      <c r="K1" s="85"/>
      <c r="L1" s="85"/>
      <c r="M1" s="85"/>
      <c r="N1" s="85"/>
    </row>
    <row r="2" spans="1:14" s="44" customFormat="1" ht="18.600000000000001" customHeight="1">
      <c r="A2" s="430"/>
      <c r="B2" s="431"/>
      <c r="C2" s="431"/>
      <c r="D2" s="431"/>
      <c r="E2" s="431"/>
      <c r="F2" s="431"/>
      <c r="G2" s="432"/>
      <c r="H2" s="85"/>
      <c r="I2" s="85"/>
      <c r="J2" s="85"/>
      <c r="K2" s="85"/>
      <c r="L2" s="85"/>
      <c r="M2" s="85"/>
      <c r="N2" s="85"/>
    </row>
    <row r="3" spans="1:14" s="44" customFormat="1" ht="15" thickBot="1">
      <c r="A3" s="433"/>
      <c r="B3" s="434"/>
      <c r="C3" s="434"/>
      <c r="D3" s="434"/>
      <c r="E3" s="434"/>
      <c r="F3" s="434"/>
      <c r="G3" s="435"/>
      <c r="H3" s="85"/>
      <c r="I3" s="85"/>
      <c r="J3" s="85"/>
      <c r="K3" s="85"/>
      <c r="L3" s="85"/>
      <c r="M3" s="85"/>
      <c r="N3" s="85"/>
    </row>
    <row r="4" spans="1:14">
      <c r="A4" s="286" t="s">
        <v>1</v>
      </c>
      <c r="B4" s="32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3" customFormat="1" ht="18.600000000000001">
      <c r="A5" s="325"/>
      <c r="B5" s="328" t="s">
        <v>2</v>
      </c>
      <c r="C5" s="110"/>
      <c r="D5" s="110"/>
      <c r="E5" s="110"/>
      <c r="F5" s="110"/>
      <c r="G5" s="110"/>
      <c r="H5" s="86"/>
      <c r="I5" s="85"/>
      <c r="J5" s="85"/>
      <c r="K5" s="85"/>
      <c r="L5" s="85"/>
      <c r="M5" s="85"/>
      <c r="N5" s="85"/>
    </row>
    <row r="6" spans="1:14" s="3" customFormat="1" ht="18.600000000000001">
      <c r="A6" s="326"/>
      <c r="B6" s="327" t="s">
        <v>4</v>
      </c>
      <c r="C6" s="288"/>
      <c r="D6" s="288"/>
      <c r="E6" s="288"/>
      <c r="F6" s="288"/>
      <c r="G6" s="288"/>
      <c r="H6" s="86"/>
      <c r="I6" s="85"/>
      <c r="J6" s="85"/>
      <c r="K6" s="85"/>
      <c r="L6" s="85"/>
      <c r="M6" s="85"/>
      <c r="N6" s="85"/>
    </row>
    <row r="7" spans="1:14" s="3" customFormat="1">
      <c r="A7" s="85"/>
      <c r="B7" s="115"/>
      <c r="C7" s="115"/>
      <c r="D7" s="115"/>
      <c r="E7" s="115"/>
      <c r="F7" s="115"/>
      <c r="G7" s="115"/>
      <c r="H7" s="115"/>
      <c r="I7" s="115"/>
      <c r="J7" s="85"/>
      <c r="K7" s="85"/>
      <c r="L7" s="85"/>
      <c r="M7" s="85"/>
      <c r="N7" s="85"/>
    </row>
    <row r="8" spans="1:14" s="3" customFormat="1" ht="21" customHeight="1">
      <c r="A8" s="85"/>
      <c r="B8" s="91" t="s">
        <v>6</v>
      </c>
      <c r="C8" s="229" t="str">
        <f>'Zał. A2 Koszty całkowite'!C13</f>
        <v>jednorodzinny</v>
      </c>
      <c r="D8" s="192"/>
      <c r="E8" s="92"/>
      <c r="F8" s="92"/>
      <c r="G8" s="92"/>
      <c r="H8" s="75"/>
      <c r="I8" s="75"/>
      <c r="J8" s="75"/>
      <c r="K8" s="75"/>
      <c r="L8" s="75"/>
      <c r="M8" s="75"/>
      <c r="N8" s="85"/>
    </row>
    <row r="9" spans="1:14" s="3" customFormat="1" ht="18.600000000000001">
      <c r="A9" s="85"/>
      <c r="B9" s="93" t="s">
        <v>9</v>
      </c>
      <c r="C9" s="54">
        <f>ROUND(IF($C$8="","",VLOOKUP($C$8,AGD[],'Profil użytkownika'!A59,0)),2)</f>
        <v>4</v>
      </c>
      <c r="D9" s="52"/>
      <c r="E9" s="52"/>
      <c r="F9" s="53"/>
      <c r="G9" s="53"/>
      <c r="H9" s="53"/>
      <c r="I9" s="116"/>
      <c r="J9" s="85"/>
      <c r="K9" s="85"/>
      <c r="L9" s="85"/>
      <c r="M9" s="85"/>
      <c r="N9" s="85"/>
    </row>
    <row r="10" spans="1:14" s="3" customFormat="1" ht="18.600000000000001">
      <c r="A10" s="85"/>
      <c r="B10" s="93" t="s">
        <v>175</v>
      </c>
      <c r="C10" s="230">
        <f>'Zał. A2 Koszty całkowite'!C15</f>
        <v>0</v>
      </c>
      <c r="D10" s="52"/>
      <c r="E10" s="52"/>
      <c r="F10" s="53"/>
      <c r="G10" s="53"/>
      <c r="H10" s="53"/>
      <c r="I10" s="116"/>
      <c r="J10" s="85"/>
      <c r="K10" s="85"/>
      <c r="L10" s="85"/>
      <c r="M10" s="85"/>
      <c r="N10" s="85"/>
    </row>
    <row r="11" spans="1:14" s="3" customFormat="1" ht="69.599999999999994" customHeight="1" thickBot="1">
      <c r="A11" s="85"/>
      <c r="B11" s="93" t="s">
        <v>176</v>
      </c>
      <c r="C11" s="117"/>
      <c r="D11" s="117"/>
      <c r="E11" s="117"/>
      <c r="F11" s="117"/>
      <c r="G11" s="117"/>
      <c r="H11" s="117"/>
      <c r="I11" s="85"/>
      <c r="J11" s="85"/>
      <c r="K11" s="85"/>
      <c r="L11" s="85"/>
      <c r="M11" s="85"/>
      <c r="N11" s="85"/>
    </row>
    <row r="12" spans="1:14" s="3" customFormat="1" ht="15" thickBot="1">
      <c r="A12" s="360" t="s">
        <v>177</v>
      </c>
      <c r="B12" s="358"/>
      <c r="C12" s="358"/>
      <c r="D12" s="358"/>
      <c r="E12" s="358"/>
      <c r="F12" s="358"/>
      <c r="G12" s="359"/>
      <c r="H12" s="117"/>
      <c r="I12" s="85"/>
      <c r="J12" s="85"/>
      <c r="K12" s="85"/>
      <c r="L12" s="85"/>
      <c r="M12" s="85"/>
      <c r="N12" s="85"/>
    </row>
    <row r="13" spans="1:14" s="3" customFormat="1">
      <c r="A13" s="287"/>
      <c r="B13" s="287"/>
      <c r="C13" s="287"/>
      <c r="D13" s="287"/>
      <c r="E13" s="287"/>
      <c r="F13" s="287"/>
      <c r="G13" s="287"/>
      <c r="H13" s="117"/>
      <c r="I13" s="85"/>
      <c r="J13" s="85"/>
      <c r="K13" s="85"/>
      <c r="L13" s="85"/>
      <c r="M13" s="85"/>
      <c r="N13" s="85"/>
    </row>
    <row r="14" spans="1:14" s="3" customFormat="1" ht="18.600000000000001">
      <c r="A14" s="436" t="s">
        <v>178</v>
      </c>
      <c r="B14" s="436"/>
      <c r="C14" s="436"/>
      <c r="D14" s="436"/>
      <c r="E14" s="436"/>
      <c r="F14" s="436"/>
      <c r="G14" s="85"/>
      <c r="H14" s="85"/>
      <c r="I14" s="111"/>
      <c r="J14" s="113"/>
      <c r="K14" s="85"/>
      <c r="L14" s="85"/>
      <c r="M14" s="85"/>
      <c r="N14" s="85"/>
    </row>
    <row r="15" spans="1:14" s="3" customFormat="1" ht="72.599999999999994">
      <c r="A15" s="350" t="s">
        <v>15</v>
      </c>
      <c r="B15" s="345" t="s">
        <v>179</v>
      </c>
      <c r="C15" s="345" t="s">
        <v>180</v>
      </c>
      <c r="D15" s="345" t="s">
        <v>181</v>
      </c>
      <c r="E15" s="345" t="s">
        <v>182</v>
      </c>
      <c r="F15" s="345" t="s">
        <v>183</v>
      </c>
      <c r="G15" s="85"/>
      <c r="H15" s="86"/>
      <c r="I15" s="86"/>
      <c r="J15" s="85"/>
      <c r="K15" s="85"/>
      <c r="L15" s="85"/>
      <c r="M15" s="85"/>
      <c r="N15" s="85"/>
    </row>
    <row r="16" spans="1:14" s="3" customFormat="1" ht="15.6">
      <c r="A16" s="9" t="s">
        <v>126</v>
      </c>
      <c r="B16" s="76" t="s">
        <v>184</v>
      </c>
      <c r="C16" s="291"/>
      <c r="D16" s="48">
        <f>ROUND(IF($C$8="","",VLOOKUP($C$8,AGD[],'Profil użytkownika'!A9,0)),2)/180</f>
        <v>1</v>
      </c>
      <c r="E16" s="48">
        <f>ROUND(IF($C$8="","",VLOOKUP($C$8,AGD[],'Profil użytkownika'!A10,0)),2)/180</f>
        <v>1</v>
      </c>
      <c r="F16" s="10">
        <f>IF($C$8="","",VLOOKUP($C$8,AGD[],'Profil użytkownika'!A8,0))</f>
        <v>1</v>
      </c>
      <c r="G16" s="85"/>
      <c r="H16" s="119"/>
      <c r="I16" s="120"/>
      <c r="J16" s="121"/>
      <c r="K16" s="85"/>
      <c r="L16" s="85"/>
      <c r="M16" s="85"/>
      <c r="N16" s="85"/>
    </row>
    <row r="17" spans="1:14" s="3" customFormat="1" ht="15.6">
      <c r="A17" s="9" t="s">
        <v>185</v>
      </c>
      <c r="B17" s="76" t="s">
        <v>186</v>
      </c>
      <c r="C17" s="291"/>
      <c r="D17" s="48">
        <f>ROUND(IF($C$8="","",VLOOKUP($C$8,AGD[],'Profil użytkownika'!A12,0)),2)/180</f>
        <v>0.16666666666666666</v>
      </c>
      <c r="E17" s="48">
        <f>ROUND(IF($C$8="","",VLOOKUP($C$8,AGD[],'Profil użytkownika'!A13,0)),2)/180</f>
        <v>0.16666666666666666</v>
      </c>
      <c r="F17" s="10">
        <f>IF($C$8="","",VLOOKUP($C$8,AGD[],'Profil użytkownika'!A11,0))</f>
        <v>1</v>
      </c>
      <c r="G17" s="85"/>
      <c r="H17" s="119"/>
      <c r="I17" s="120"/>
      <c r="J17" s="121"/>
      <c r="K17" s="85"/>
      <c r="L17" s="85"/>
      <c r="M17" s="85"/>
      <c r="N17" s="85"/>
    </row>
    <row r="18" spans="1:14" s="3" customFormat="1" ht="15.6">
      <c r="A18" s="9" t="s">
        <v>187</v>
      </c>
      <c r="B18" s="76" t="s">
        <v>188</v>
      </c>
      <c r="C18" s="291"/>
      <c r="D18" s="48">
        <f>ROUND(IF($C$8="","",VLOOKUP($C$8,AGD[],'Profil użytkownika'!A15,0)),2)/180</f>
        <v>0.1111111111111111</v>
      </c>
      <c r="E18" s="48">
        <f>ROUND(IF($C$8="","",VLOOKUP($C$8,AGD[],'Profil użytkownika'!A16,0)),2)/180</f>
        <v>0.1111111111111111</v>
      </c>
      <c r="F18" s="10">
        <f>IF($C$8="","",VLOOKUP($C$8,AGD[],'Profil użytkownika'!A14,0))</f>
        <v>1</v>
      </c>
      <c r="G18" s="85"/>
      <c r="H18" s="119"/>
      <c r="I18" s="120"/>
      <c r="J18" s="121"/>
      <c r="K18" s="85"/>
      <c r="L18" s="85"/>
      <c r="M18" s="85"/>
      <c r="N18" s="85"/>
    </row>
    <row r="19" spans="1:14" s="3" customFormat="1" ht="15.6">
      <c r="A19" s="9" t="s">
        <v>189</v>
      </c>
      <c r="B19" s="77" t="s">
        <v>190</v>
      </c>
      <c r="C19" s="291"/>
      <c r="D19" s="48">
        <f>ROUND(IF($C$8="","",VLOOKUP($C$8,AGD[],'Profil użytkownika'!A18,0)),2)/180</f>
        <v>23.888888888888889</v>
      </c>
      <c r="E19" s="48">
        <f>ROUND(IF($C$8="","",VLOOKUP($C$8,AGD[],'Profil użytkownika'!A19,0)),2)/180</f>
        <v>23.888888888888889</v>
      </c>
      <c r="F19" s="10">
        <f>IF($C$8="","",VLOOKUP($C$8,AGD[],'Profil użytkownika'!A17,0))</f>
        <v>1</v>
      </c>
      <c r="G19" s="85"/>
      <c r="H19" s="119"/>
      <c r="I19" s="120"/>
      <c r="J19" s="121"/>
      <c r="K19" s="85"/>
      <c r="L19" s="85"/>
      <c r="M19" s="85"/>
      <c r="N19" s="85"/>
    </row>
    <row r="20" spans="1:14" s="3" customFormat="1" ht="15.6">
      <c r="A20" s="9" t="s">
        <v>191</v>
      </c>
      <c r="B20" s="76" t="s">
        <v>192</v>
      </c>
      <c r="C20" s="291"/>
      <c r="D20" s="48">
        <f>ROUND(IF($C$8="","",VLOOKUP($C$8,AGD[],'Profil użytkownika'!A21,0)),2)/180</f>
        <v>0.66666666666666663</v>
      </c>
      <c r="E20" s="48">
        <f>ROUND(IF($C$8="","",VLOOKUP($C$8,AGD[],'Profil użytkownika'!A22,0)),2)/180</f>
        <v>0.66666666666666663</v>
      </c>
      <c r="F20" s="10">
        <f>IF($C$8="","",VLOOKUP($C$8,AGD[],'Profil użytkownika'!A20,0))</f>
        <v>1</v>
      </c>
      <c r="G20" s="85"/>
      <c r="H20" s="119"/>
      <c r="I20" s="120"/>
      <c r="J20" s="121"/>
      <c r="K20" s="85"/>
      <c r="L20" s="85"/>
      <c r="M20" s="85"/>
      <c r="N20" s="85"/>
    </row>
    <row r="21" spans="1:14" s="3" customFormat="1" ht="15.6">
      <c r="A21" s="9" t="s">
        <v>193</v>
      </c>
      <c r="B21" s="76" t="s">
        <v>194</v>
      </c>
      <c r="C21" s="291"/>
      <c r="D21" s="48">
        <f>ROUND(IF($C$8="","",VLOOKUP($C$8,AGD[],'Profil użytkownika'!A24,0)),2)/180</f>
        <v>1</v>
      </c>
      <c r="E21" s="48">
        <f>ROUND(IF($C$8="","",VLOOKUP($C$8,AGD[],'Profil użytkownika'!A25,0)),2)/180</f>
        <v>1</v>
      </c>
      <c r="F21" s="10">
        <f>IF($C$8="","",VLOOKUP($C$8,AGD[],'Profil użytkownika'!A23,0))</f>
        <v>1</v>
      </c>
      <c r="G21" s="85"/>
      <c r="H21" s="119"/>
      <c r="I21" s="120"/>
      <c r="J21" s="121"/>
      <c r="K21" s="85"/>
      <c r="L21" s="85"/>
      <c r="M21" s="85"/>
      <c r="N21" s="85"/>
    </row>
    <row r="22" spans="1:14" s="3" customFormat="1" ht="15.6">
      <c r="A22" s="9" t="s">
        <v>195</v>
      </c>
      <c r="B22" s="76" t="s">
        <v>196</v>
      </c>
      <c r="C22" s="291"/>
      <c r="D22" s="48">
        <f>ROUND(IF($C$8="","",VLOOKUP($C$8,AGD[],'Profil użytkownika'!A27,0)),2)/180</f>
        <v>0.55555555555555558</v>
      </c>
      <c r="E22" s="48">
        <f>ROUND(IF($C$8="","",VLOOKUP($C$8,AGD[],'Profil użytkownika'!A28,0)),2)/180</f>
        <v>0.55555555555555558</v>
      </c>
      <c r="F22" s="10">
        <f>IF($C$8="","",VLOOKUP($C$8,AGD[],'Profil użytkownika'!A26,0))</f>
        <v>1</v>
      </c>
      <c r="G22" s="85"/>
      <c r="H22" s="119"/>
      <c r="I22" s="120"/>
      <c r="J22" s="121"/>
      <c r="K22" s="85"/>
      <c r="L22" s="85"/>
      <c r="M22" s="85"/>
      <c r="N22" s="85"/>
    </row>
    <row r="23" spans="1:14" s="3" customFormat="1" ht="15.6">
      <c r="A23" s="9" t="s">
        <v>197</v>
      </c>
      <c r="B23" s="76" t="s">
        <v>198</v>
      </c>
      <c r="C23" s="291"/>
      <c r="D23" s="48">
        <f>ROUND(IF($C$8="","",VLOOKUP($C$8,AGD[],'Profil użytkownika'!A30,0)),2)/180</f>
        <v>1</v>
      </c>
      <c r="E23" s="48">
        <f>ROUND(IF($C$8="","",VLOOKUP($C$8,AGD[],'Profil użytkownika'!A31,0)),2)/180</f>
        <v>1</v>
      </c>
      <c r="F23" s="10">
        <f>IF($C$8="","",VLOOKUP($C$8,AGD[],'Profil użytkownika'!A29,0))</f>
        <v>1</v>
      </c>
      <c r="G23" s="85"/>
      <c r="H23" s="119"/>
      <c r="I23" s="120"/>
      <c r="J23" s="121"/>
      <c r="K23" s="85"/>
      <c r="L23" s="85"/>
      <c r="M23" s="85"/>
      <c r="N23" s="85"/>
    </row>
    <row r="24" spans="1:14" s="3" customFormat="1" ht="15.6">
      <c r="A24" s="9" t="s">
        <v>199</v>
      </c>
      <c r="B24" s="112" t="s">
        <v>200</v>
      </c>
      <c r="C24" s="291"/>
      <c r="D24" s="48">
        <f>ROUND(IF($C$8="","",VLOOKUP($C$8,AGD[],'Profil użytkownika'!A45,0)),2)/180</f>
        <v>0</v>
      </c>
      <c r="E24" s="48">
        <f>ROUND(IF($C$8="","",VLOOKUP($C$8,AGD[],'Profil użytkownika'!A46,0)),2)/180</f>
        <v>0</v>
      </c>
      <c r="F24" s="10">
        <f>IF($C$8="","",VLOOKUP($C$8,AGD[],'Profil użytkownika'!A44,0))</f>
        <v>0</v>
      </c>
      <c r="G24" s="85"/>
      <c r="H24" s="119"/>
      <c r="I24" s="120"/>
      <c r="J24" s="121"/>
      <c r="K24" s="85"/>
      <c r="L24" s="85"/>
      <c r="M24" s="85"/>
      <c r="N24" s="85"/>
    </row>
    <row r="25" spans="1:14" s="3" customFormat="1" ht="15.6">
      <c r="A25" s="9" t="s">
        <v>201</v>
      </c>
      <c r="B25" s="112" t="s">
        <v>202</v>
      </c>
      <c r="C25" s="291"/>
      <c r="D25" s="48">
        <f>ROUND(IF($C$8="","",VLOOKUP($C$8,AGD[],'Profil użytkownika'!A48,0)),2)/180</f>
        <v>1</v>
      </c>
      <c r="E25" s="48">
        <f>ROUND(IF($C$8="","",VLOOKUP($C$8,AGD[],'Profil użytkownika'!A49,0)),2)/180</f>
        <v>1.1111111111111112</v>
      </c>
      <c r="F25" s="10">
        <f>IF($C$8="","",VLOOKUP($C$8,AGD[],'Profil użytkownika'!A47,0))</f>
        <v>1</v>
      </c>
      <c r="G25" s="85"/>
      <c r="H25" s="119"/>
      <c r="I25" s="120"/>
      <c r="J25" s="121"/>
      <c r="K25" s="85"/>
      <c r="L25" s="85"/>
      <c r="M25" s="85"/>
      <c r="N25" s="85"/>
    </row>
    <row r="26" spans="1:14" s="3" customFormat="1" ht="15.6">
      <c r="A26" s="9" t="s">
        <v>203</v>
      </c>
      <c r="B26" s="112" t="s">
        <v>204</v>
      </c>
      <c r="C26" s="291"/>
      <c r="D26" s="48">
        <f>ROUND(IF($C$8="","",VLOOKUP($C$8,AGD[],'Profil użytkownika'!A54,0)),2)/180</f>
        <v>0</v>
      </c>
      <c r="E26" s="48">
        <f>ROUND(IF($C$8="","",VLOOKUP($C$8,AGD[],'Profil użytkownika'!A55,0)),2)/180</f>
        <v>0</v>
      </c>
      <c r="F26" s="10">
        <f>IF($C$8="","",VLOOKUP($C$8,AGD[],'Profil użytkownika'!A53,0))</f>
        <v>0</v>
      </c>
      <c r="G26" s="85"/>
      <c r="H26" s="119"/>
      <c r="I26" s="120"/>
      <c r="J26" s="121"/>
      <c r="K26" s="85"/>
      <c r="L26" s="85"/>
      <c r="M26" s="85"/>
      <c r="N26" s="85"/>
    </row>
    <row r="27" spans="1:14" s="3" customFormat="1" ht="15.6">
      <c r="A27" s="9" t="s">
        <v>205</v>
      </c>
      <c r="B27" s="76" t="s">
        <v>206</v>
      </c>
      <c r="C27" s="25">
        <f>Taryfy!E37</f>
        <v>1500</v>
      </c>
      <c r="D27" s="48">
        <f>ROUND(IF($C$8="","",VLOOKUP($C$8,AGD[],'Profil użytkownika'!A33,0)),2)/180</f>
        <v>0.33333333333333331</v>
      </c>
      <c r="E27" s="48">
        <f>ROUND(IF($C$8="","",VLOOKUP($C$8,AGD[],'Profil użytkownika'!A34,0)),2)/180</f>
        <v>0.33333333333333331</v>
      </c>
      <c r="F27" s="10">
        <f>IF($C$8="","",VLOOKUP($C$8,AGD[],'Profil użytkownika'!A32,0))</f>
        <v>1</v>
      </c>
      <c r="G27" s="85"/>
      <c r="H27" s="86"/>
      <c r="I27" s="86"/>
      <c r="J27" s="121"/>
      <c r="K27" s="85"/>
      <c r="L27" s="85"/>
      <c r="M27" s="85"/>
      <c r="N27" s="85"/>
    </row>
    <row r="28" spans="1:14" s="3" customFormat="1" ht="15.6">
      <c r="A28" s="9" t="s">
        <v>207</v>
      </c>
      <c r="B28" s="76" t="s">
        <v>208</v>
      </c>
      <c r="C28" s="25">
        <f>Taryfy!E38</f>
        <v>30</v>
      </c>
      <c r="D28" s="48">
        <f>ROUND(IF($C$8="","",VLOOKUP($C$8,AGD[],'Profil użytkownika'!A36,0)),2)/180</f>
        <v>5.5555555555555554</v>
      </c>
      <c r="E28" s="48">
        <f>ROUND(IF($C$8="","",VLOOKUP($C$8,AGD[],'Profil użytkownika'!A37,0)),2)/180</f>
        <v>3.8888888888888888</v>
      </c>
      <c r="F28" s="10">
        <f>IF($C$8="","",VLOOKUP($C$8,AGD[],'Profil użytkownika'!A35,0))</f>
        <v>1</v>
      </c>
      <c r="G28" s="85"/>
      <c r="H28" s="86"/>
      <c r="I28" s="86"/>
      <c r="J28" s="121"/>
      <c r="K28" s="85"/>
      <c r="L28" s="85"/>
      <c r="M28" s="85"/>
      <c r="N28" s="85"/>
    </row>
    <row r="29" spans="1:14" s="3" customFormat="1">
      <c r="A29" s="9" t="s">
        <v>209</v>
      </c>
      <c r="B29" s="9" t="s">
        <v>210</v>
      </c>
      <c r="C29" s="25">
        <f>Taryfy!E40</f>
        <v>50</v>
      </c>
      <c r="D29" s="48">
        <f>ROUND(IF($C$8="","",VLOOKUP($C$8,AGD[],'Profil użytkownika'!A39,0)),2)/180</f>
        <v>5.5555555555555554</v>
      </c>
      <c r="E29" s="48">
        <f>ROUND(IF($C$8="","",VLOOKUP($C$8,AGD[],'Profil użytkownika'!A40,0)),2)/180</f>
        <v>3.8888888888888888</v>
      </c>
      <c r="F29" s="10">
        <f>IF($C$8="","",VLOOKUP($C$8,AGD[],'Profil użytkownika'!A38,0))</f>
        <v>1</v>
      </c>
      <c r="G29" s="85"/>
      <c r="H29" s="86"/>
      <c r="I29" s="86"/>
      <c r="J29" s="85"/>
      <c r="K29" s="85"/>
      <c r="L29" s="85"/>
      <c r="M29" s="85"/>
      <c r="N29" s="85"/>
    </row>
    <row r="30" spans="1:14" s="3" customFormat="1">
      <c r="A30" s="9" t="s">
        <v>211</v>
      </c>
      <c r="B30" s="112" t="s">
        <v>212</v>
      </c>
      <c r="C30" s="25">
        <f>Taryfy!E39</f>
        <v>2000</v>
      </c>
      <c r="D30" s="48">
        <f>ROUND(IF($C$8="","",VLOOKUP($C$8,AGD[],'Profil użytkownika'!A42,0)),2)/180</f>
        <v>0.16666666666666666</v>
      </c>
      <c r="E30" s="48">
        <f>ROUND(IF($C$8="","",VLOOKUP($C$8,AGD[],'Profil użytkownika'!A43,0)),2)/180</f>
        <v>0.16666666666666666</v>
      </c>
      <c r="F30" s="10">
        <f>IF($C$8="","",VLOOKUP($C$8,AGD[],'Profil użytkownika'!A41,0))</f>
        <v>1</v>
      </c>
      <c r="G30" s="85"/>
      <c r="H30" s="86"/>
      <c r="I30" s="86"/>
      <c r="J30" s="85"/>
      <c r="K30" s="85"/>
      <c r="L30" s="85"/>
      <c r="M30" s="85"/>
      <c r="N30" s="85"/>
    </row>
    <row r="31" spans="1:14" s="3" customFormat="1">
      <c r="G31" s="85"/>
      <c r="H31" s="86"/>
      <c r="I31" s="86"/>
      <c r="J31" s="85"/>
      <c r="K31" s="85"/>
      <c r="L31" s="85"/>
      <c r="M31" s="85"/>
      <c r="N31" s="85"/>
    </row>
    <row r="32" spans="1:14" s="3" customFormat="1">
      <c r="A32" s="85"/>
      <c r="B32" s="122"/>
      <c r="C32" s="122"/>
      <c r="D32" s="122"/>
      <c r="E32" s="122"/>
      <c r="F32" s="85"/>
      <c r="G32" s="85"/>
      <c r="H32" s="85"/>
      <c r="I32" s="86"/>
      <c r="J32" s="85"/>
      <c r="K32" s="85"/>
      <c r="L32" s="85"/>
      <c r="M32" s="85"/>
      <c r="N32" s="85"/>
    </row>
    <row r="33" spans="1:14" s="3" customFormat="1" ht="15" thickBo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4" s="3" customFormat="1" ht="15" thickBot="1">
      <c r="A34" s="360" t="s">
        <v>213</v>
      </c>
      <c r="B34" s="358"/>
      <c r="C34" s="358"/>
      <c r="D34" s="358"/>
      <c r="E34" s="358"/>
      <c r="F34" s="358"/>
      <c r="G34" s="359"/>
      <c r="H34" s="85"/>
      <c r="I34" s="85"/>
      <c r="J34" s="85"/>
      <c r="K34" s="85"/>
      <c r="L34" s="85"/>
      <c r="M34" s="85"/>
      <c r="N34" s="85"/>
    </row>
    <row r="35" spans="1:14" s="3" customForma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4" s="3" customFormat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1:14" s="3" customFormat="1" ht="18.600000000000001">
      <c r="A37" s="422" t="s">
        <v>214</v>
      </c>
      <c r="B37" s="422"/>
      <c r="C37" s="422"/>
      <c r="D37" s="422"/>
      <c r="E37" s="422"/>
      <c r="F37" s="111"/>
      <c r="G37" s="85"/>
      <c r="H37" s="85"/>
      <c r="I37" s="85"/>
      <c r="J37" s="85"/>
      <c r="K37" s="85"/>
      <c r="L37" s="85"/>
      <c r="M37" s="85"/>
      <c r="N37" s="85"/>
    </row>
    <row r="38" spans="1:14" s="3" customFormat="1">
      <c r="A38" s="9" t="s">
        <v>126</v>
      </c>
      <c r="B38" s="12" t="s">
        <v>215</v>
      </c>
      <c r="C38" s="424" t="s">
        <v>104</v>
      </c>
      <c r="D38" s="424"/>
      <c r="E38" s="40">
        <f>IF($C$8="","",VLOOKUP($C$8,AGD[],'Profil użytkownika'!A61,0))</f>
        <v>15</v>
      </c>
      <c r="F38" s="123"/>
      <c r="G38" s="85"/>
      <c r="H38" s="86"/>
      <c r="I38" s="85"/>
      <c r="J38" s="85"/>
      <c r="K38" s="85"/>
      <c r="L38" s="85"/>
      <c r="M38" s="85"/>
      <c r="N38" s="85"/>
    </row>
    <row r="39" spans="1:14" s="3" customFormat="1">
      <c r="A39" s="9" t="s">
        <v>185</v>
      </c>
      <c r="B39" s="12" t="s">
        <v>216</v>
      </c>
      <c r="C39" s="424" t="s">
        <v>217</v>
      </c>
      <c r="D39" s="424"/>
      <c r="E39" s="40">
        <f>IF($C$8="","",VLOOKUP($C$8,AGD[],'Profil użytkownika'!A58,0))</f>
        <v>1</v>
      </c>
      <c r="F39" s="123"/>
      <c r="G39" s="85"/>
      <c r="H39" s="86"/>
      <c r="I39" s="85"/>
      <c r="J39" s="85"/>
      <c r="K39" s="85"/>
      <c r="L39" s="85"/>
      <c r="M39" s="85"/>
      <c r="N39" s="85"/>
    </row>
    <row r="40" spans="1:14" s="3" customFormat="1">
      <c r="A40" s="9" t="s">
        <v>187</v>
      </c>
      <c r="B40" s="12" t="s">
        <v>218</v>
      </c>
      <c r="C40" s="424" t="s">
        <v>115</v>
      </c>
      <c r="D40" s="424"/>
      <c r="E40" s="40">
        <f>IF($C$8="","",VLOOKUP($C$8,AGD[],'Profil użytkownika'!A62,0))</f>
        <v>0</v>
      </c>
      <c r="F40" s="123"/>
      <c r="G40" s="85"/>
      <c r="H40" s="86"/>
      <c r="I40" s="85"/>
      <c r="J40" s="85"/>
      <c r="K40" s="85"/>
      <c r="L40" s="85"/>
      <c r="M40" s="85"/>
      <c r="N40" s="85"/>
    </row>
    <row r="41" spans="1:14" s="3" customFormat="1">
      <c r="A41" s="9" t="s">
        <v>189</v>
      </c>
      <c r="B41" s="12" t="s">
        <v>219</v>
      </c>
      <c r="C41" s="424" t="s">
        <v>220</v>
      </c>
      <c r="D41" s="424"/>
      <c r="E41" s="292"/>
      <c r="F41" s="123"/>
      <c r="G41" s="85"/>
      <c r="H41" s="86"/>
      <c r="I41" s="85"/>
      <c r="J41" s="85"/>
      <c r="K41" s="85"/>
      <c r="L41" s="85"/>
      <c r="M41" s="85"/>
      <c r="N41" s="85"/>
    </row>
    <row r="42" spans="1:14" s="3" customFormat="1">
      <c r="A42" s="9" t="s">
        <v>191</v>
      </c>
      <c r="B42" s="9" t="s">
        <v>221</v>
      </c>
      <c r="C42" s="425" t="s">
        <v>222</v>
      </c>
      <c r="D42" s="426"/>
      <c r="E42" s="48">
        <f>ROUND(IF($C$8="","",VLOOKUP($C$8,AGD[],'Profil użytkownika'!A81,0)),2)/180</f>
        <v>5</v>
      </c>
      <c r="F42" s="85"/>
      <c r="G42" s="85"/>
      <c r="H42" s="85"/>
      <c r="I42" s="85"/>
      <c r="J42" s="85"/>
      <c r="K42" s="85"/>
      <c r="L42" s="85"/>
      <c r="M42" s="85"/>
      <c r="N42" s="85"/>
    </row>
    <row r="43" spans="1:14" s="3" customFormat="1">
      <c r="A43" s="9" t="s">
        <v>193</v>
      </c>
      <c r="B43" s="9" t="s">
        <v>223</v>
      </c>
      <c r="C43" s="425" t="s">
        <v>224</v>
      </c>
      <c r="D43" s="426"/>
      <c r="E43" s="48">
        <f>ROUND(IF($C$8="","",VLOOKUP($C$8,AGD[],'Profil użytkownika'!A82,0)),2)/180</f>
        <v>1.4166666666666667</v>
      </c>
      <c r="F43" s="85"/>
      <c r="G43" s="85"/>
      <c r="H43" s="85"/>
      <c r="I43" s="85"/>
      <c r="J43" s="85"/>
      <c r="K43" s="85"/>
      <c r="L43" s="85"/>
      <c r="M43" s="85"/>
      <c r="N43" s="85"/>
    </row>
    <row r="44" spans="1:14" s="3" customFormat="1">
      <c r="A44" s="9" t="s">
        <v>195</v>
      </c>
      <c r="B44" s="9" t="s">
        <v>225</v>
      </c>
      <c r="C44" s="425" t="s">
        <v>226</v>
      </c>
      <c r="D44" s="426"/>
      <c r="E44" s="48">
        <f>ROUND(IF($C$8="","",VLOOKUP($C$8,AGD[],'Profil użytkownika'!A84,0)),2)/180</f>
        <v>0</v>
      </c>
      <c r="F44" s="86"/>
      <c r="G44" s="86"/>
      <c r="H44" s="86"/>
      <c r="I44" s="85"/>
      <c r="J44" s="85"/>
      <c r="K44" s="85"/>
      <c r="L44" s="85"/>
      <c r="M44" s="85"/>
      <c r="N44" s="85"/>
    </row>
    <row r="45" spans="1:14" s="3" customFormat="1">
      <c r="A45" s="9" t="s">
        <v>197</v>
      </c>
      <c r="B45" s="9" t="s">
        <v>227</v>
      </c>
      <c r="C45" s="425" t="s">
        <v>228</v>
      </c>
      <c r="D45" s="426"/>
      <c r="E45" s="48">
        <f>ROUND(IF($C$8="","",VLOOKUP($C$8,AGD[],'Profil użytkownika'!A85,0)),2)/180</f>
        <v>0</v>
      </c>
      <c r="F45" s="86"/>
      <c r="G45" s="86"/>
      <c r="H45" s="86"/>
      <c r="I45" s="85"/>
      <c r="J45" s="85"/>
      <c r="K45" s="85"/>
      <c r="L45" s="85"/>
      <c r="M45" s="85"/>
      <c r="N45" s="85"/>
    </row>
    <row r="46" spans="1:14" s="3" customFormat="1" ht="15" thickBot="1">
      <c r="A46" s="85"/>
      <c r="B46" s="85"/>
      <c r="C46" s="86"/>
      <c r="D46" s="86"/>
      <c r="E46" s="86"/>
      <c r="F46" s="86"/>
      <c r="G46" s="86"/>
      <c r="H46" s="86"/>
      <c r="I46" s="86"/>
      <c r="J46" s="85"/>
      <c r="K46" s="85"/>
      <c r="L46" s="85"/>
      <c r="M46" s="85"/>
      <c r="N46" s="85"/>
    </row>
    <row r="47" spans="1:14" s="3" customFormat="1" ht="15" thickBot="1">
      <c r="A47" s="360" t="s">
        <v>229</v>
      </c>
      <c r="B47" s="358"/>
      <c r="C47" s="358"/>
      <c r="D47" s="358"/>
      <c r="E47" s="358"/>
      <c r="F47" s="358"/>
      <c r="G47" s="359"/>
      <c r="H47" s="86"/>
      <c r="I47" s="86"/>
      <c r="J47" s="85"/>
      <c r="K47" s="85"/>
      <c r="L47" s="85"/>
      <c r="M47" s="85"/>
      <c r="N47" s="85"/>
    </row>
    <row r="48" spans="1:14" s="3" customFormat="1">
      <c r="A48" s="85"/>
      <c r="B48" s="85"/>
      <c r="C48" s="86"/>
      <c r="D48" s="86"/>
      <c r="E48" s="86"/>
      <c r="F48" s="86"/>
      <c r="G48" s="86"/>
      <c r="H48" s="86"/>
      <c r="I48" s="86"/>
      <c r="J48" s="85"/>
      <c r="K48" s="85"/>
      <c r="L48" s="85"/>
      <c r="M48" s="85"/>
      <c r="N48" s="85"/>
    </row>
    <row r="49" spans="1:15" s="3" customFormat="1" ht="36" customHeight="1">
      <c r="A49" s="423" t="s">
        <v>230</v>
      </c>
      <c r="B49" s="423"/>
      <c r="C49" s="423"/>
      <c r="D49" s="423"/>
      <c r="E49" s="423"/>
      <c r="F49" s="423"/>
      <c r="G49" s="423"/>
      <c r="H49" s="86"/>
      <c r="I49" s="85"/>
      <c r="J49" s="85"/>
      <c r="K49" s="85"/>
      <c r="L49" s="85"/>
      <c r="M49" s="85"/>
      <c r="N49" s="85"/>
    </row>
    <row r="50" spans="1:15" s="3" customFormat="1" ht="72.599999999999994">
      <c r="A50" s="345" t="s">
        <v>15</v>
      </c>
      <c r="B50" s="345" t="s">
        <v>16</v>
      </c>
      <c r="C50" s="345" t="s">
        <v>231</v>
      </c>
      <c r="D50" s="345" t="s">
        <v>181</v>
      </c>
      <c r="E50" s="345" t="s">
        <v>182</v>
      </c>
      <c r="F50" s="345" t="s">
        <v>183</v>
      </c>
      <c r="G50" s="86"/>
      <c r="H50" s="86"/>
      <c r="I50" s="85"/>
      <c r="J50" s="85"/>
      <c r="K50" s="85"/>
      <c r="L50" s="85"/>
      <c r="M50" s="85"/>
      <c r="N50" s="85"/>
    </row>
    <row r="51" spans="1:15" s="3" customFormat="1">
      <c r="A51" s="9" t="s">
        <v>126</v>
      </c>
      <c r="B51" s="293"/>
      <c r="C51" s="294"/>
      <c r="D51" s="48">
        <f>Taryfy!F45</f>
        <v>0</v>
      </c>
      <c r="E51" s="48">
        <f>Taryfy!G45</f>
        <v>0</v>
      </c>
      <c r="F51" s="10">
        <f>Taryfy!D45</f>
        <v>0</v>
      </c>
      <c r="G51" s="86"/>
      <c r="H51" s="86"/>
      <c r="I51" s="85"/>
      <c r="J51" s="85"/>
      <c r="K51" s="85"/>
      <c r="L51" s="85"/>
      <c r="M51" s="85"/>
      <c r="N51" s="85"/>
    </row>
    <row r="52" spans="1:15" s="3" customFormat="1">
      <c r="A52" s="9" t="s">
        <v>185</v>
      </c>
      <c r="B52" s="293"/>
      <c r="C52" s="294"/>
      <c r="D52" s="48">
        <f>Taryfy!F46</f>
        <v>0</v>
      </c>
      <c r="E52" s="48">
        <f>Taryfy!G46</f>
        <v>0</v>
      </c>
      <c r="F52" s="10">
        <f>Taryfy!D46</f>
        <v>0</v>
      </c>
      <c r="G52" s="86"/>
      <c r="H52" s="86"/>
      <c r="I52" s="85"/>
      <c r="J52" s="85"/>
      <c r="K52" s="85"/>
      <c r="L52" s="85"/>
      <c r="M52" s="85"/>
      <c r="N52" s="85"/>
    </row>
    <row r="53" spans="1:15" s="3" customFormat="1">
      <c r="A53" s="9" t="s">
        <v>187</v>
      </c>
      <c r="B53" s="293"/>
      <c r="C53" s="294"/>
      <c r="D53" s="48">
        <f>Taryfy!F47</f>
        <v>0</v>
      </c>
      <c r="E53" s="48">
        <f>Taryfy!G47</f>
        <v>0</v>
      </c>
      <c r="F53" s="10">
        <f>Taryfy!D47</f>
        <v>0</v>
      </c>
      <c r="G53" s="86"/>
      <c r="H53" s="86"/>
      <c r="I53" s="85"/>
      <c r="J53" s="85"/>
      <c r="K53" s="85"/>
      <c r="L53" s="85"/>
      <c r="M53" s="85"/>
      <c r="N53" s="85"/>
    </row>
    <row r="54" spans="1:15" s="3" customFormat="1">
      <c r="A54" s="9" t="s">
        <v>189</v>
      </c>
      <c r="B54" s="293"/>
      <c r="C54" s="294"/>
      <c r="D54" s="48">
        <f>Taryfy!F48</f>
        <v>0</v>
      </c>
      <c r="E54" s="48">
        <f>Taryfy!G48</f>
        <v>0</v>
      </c>
      <c r="F54" s="10">
        <f>Taryfy!D48</f>
        <v>0</v>
      </c>
      <c r="G54" s="86"/>
      <c r="H54" s="86"/>
      <c r="I54" s="85"/>
      <c r="J54" s="85"/>
      <c r="K54" s="85"/>
      <c r="L54" s="85"/>
      <c r="M54" s="85"/>
      <c r="N54" s="85"/>
    </row>
    <row r="55" spans="1:15" s="3" customFormat="1">
      <c r="A55" s="233" t="s">
        <v>191</v>
      </c>
      <c r="B55" s="293"/>
      <c r="C55" s="294"/>
      <c r="D55" s="48">
        <f>Taryfy!F49</f>
        <v>0</v>
      </c>
      <c r="E55" s="48">
        <f>Taryfy!G49</f>
        <v>0</v>
      </c>
      <c r="F55" s="10">
        <f>Taryfy!D49</f>
        <v>0</v>
      </c>
      <c r="G55" s="86"/>
      <c r="H55" s="86"/>
      <c r="I55" s="85"/>
      <c r="J55" s="85"/>
      <c r="K55" s="85"/>
      <c r="L55" s="85"/>
      <c r="M55" s="85"/>
      <c r="N55" s="85"/>
    </row>
    <row r="56" spans="1:15" s="3" customFormat="1">
      <c r="A56" s="233" t="s">
        <v>193</v>
      </c>
      <c r="B56" s="293"/>
      <c r="C56" s="294"/>
      <c r="D56" s="48">
        <f>Taryfy!F50</f>
        <v>0</v>
      </c>
      <c r="E56" s="48">
        <f>Taryfy!G50</f>
        <v>0</v>
      </c>
      <c r="F56" s="10">
        <f>Taryfy!D50</f>
        <v>0</v>
      </c>
      <c r="G56" s="86"/>
      <c r="H56" s="86"/>
      <c r="I56" s="85"/>
      <c r="J56" s="85"/>
      <c r="K56" s="85"/>
      <c r="L56" s="85"/>
      <c r="M56" s="85"/>
      <c r="N56" s="85"/>
    </row>
    <row r="57" spans="1:15" s="3" customFormat="1">
      <c r="A57" s="233" t="s">
        <v>195</v>
      </c>
      <c r="B57" s="293"/>
      <c r="C57" s="294"/>
      <c r="D57" s="48">
        <f>Taryfy!F51</f>
        <v>0</v>
      </c>
      <c r="E57" s="48">
        <f>Taryfy!G51</f>
        <v>0</v>
      </c>
      <c r="F57" s="10">
        <f>Taryfy!D51</f>
        <v>0</v>
      </c>
      <c r="G57" s="86"/>
      <c r="H57" s="86"/>
      <c r="I57" s="85"/>
      <c r="J57" s="85"/>
      <c r="K57" s="85"/>
      <c r="L57" s="85"/>
      <c r="M57" s="85"/>
      <c r="N57" s="85"/>
    </row>
    <row r="58" spans="1:15" s="3" customFormat="1" ht="15" thickBot="1">
      <c r="A58" s="124"/>
      <c r="B58" s="20"/>
      <c r="C58" s="125"/>
      <c r="D58" s="85"/>
      <c r="E58" s="86"/>
      <c r="F58" s="85"/>
      <c r="G58" s="86"/>
      <c r="H58" s="86"/>
      <c r="I58" s="85"/>
      <c r="J58" s="85"/>
      <c r="K58" s="85"/>
      <c r="L58" s="85"/>
      <c r="M58" s="85"/>
      <c r="N58" s="85"/>
    </row>
    <row r="59" spans="1:15" ht="15" thickBot="1">
      <c r="A59" s="360" t="s">
        <v>232</v>
      </c>
      <c r="B59" s="358"/>
      <c r="C59" s="358"/>
      <c r="D59" s="358"/>
      <c r="E59" s="358"/>
      <c r="F59" s="358"/>
      <c r="G59" s="359"/>
      <c r="H59" s="110"/>
      <c r="I59" s="110"/>
      <c r="J59" s="110"/>
      <c r="K59" s="110"/>
      <c r="L59" s="110"/>
      <c r="M59" s="110"/>
      <c r="N59" s="110"/>
      <c r="O59" s="27"/>
    </row>
    <row r="60" spans="1:15" s="44" customFormat="1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27"/>
    </row>
    <row r="61" spans="1:15" ht="18.600000000000001">
      <c r="A61" s="417" t="s">
        <v>233</v>
      </c>
      <c r="B61" s="418"/>
      <c r="C61" s="418"/>
      <c r="D61" s="418"/>
      <c r="E61" s="418"/>
      <c r="F61" s="111"/>
      <c r="G61" s="111"/>
      <c r="H61" s="85"/>
      <c r="I61" s="85"/>
      <c r="J61" s="85"/>
      <c r="K61" s="85"/>
      <c r="L61" s="85"/>
      <c r="M61" s="85"/>
      <c r="N61" s="85"/>
      <c r="O61" s="44"/>
    </row>
    <row r="62" spans="1:15" ht="84">
      <c r="A62" s="345" t="s">
        <v>15</v>
      </c>
      <c r="B62" s="234" t="s">
        <v>234</v>
      </c>
      <c r="C62" s="202" t="s">
        <v>235</v>
      </c>
      <c r="D62" s="231" t="s">
        <v>236</v>
      </c>
      <c r="E62" s="231" t="s">
        <v>237</v>
      </c>
      <c r="F62" s="231" t="s">
        <v>238</v>
      </c>
      <c r="G62" s="231" t="s">
        <v>239</v>
      </c>
      <c r="H62" s="250" t="s">
        <v>240</v>
      </c>
      <c r="I62" s="85"/>
      <c r="J62" s="85"/>
      <c r="K62" s="85"/>
      <c r="L62" s="85"/>
      <c r="M62" s="85"/>
      <c r="N62" s="85"/>
      <c r="O62" s="44"/>
    </row>
    <row r="63" spans="1:15">
      <c r="A63" s="9" t="s">
        <v>126</v>
      </c>
      <c r="B63" s="295"/>
      <c r="C63" s="180"/>
      <c r="D63" s="296"/>
      <c r="E63" s="296"/>
      <c r="F63" s="260">
        <f>Taryfy!I60</f>
        <v>0</v>
      </c>
      <c r="G63" s="252">
        <f>Taryfy!I65</f>
        <v>0</v>
      </c>
      <c r="H63" s="261">
        <f>Taryfy!J60+Taryfy!J65</f>
        <v>0</v>
      </c>
      <c r="I63" s="85"/>
      <c r="J63" s="85"/>
      <c r="K63" s="85"/>
      <c r="L63" s="85"/>
      <c r="M63" s="85"/>
      <c r="N63" s="85"/>
      <c r="O63" s="44"/>
    </row>
    <row r="64" spans="1:15" s="44" customFormat="1">
      <c r="A64" s="9" t="s">
        <v>185</v>
      </c>
      <c r="B64" s="297"/>
      <c r="C64" s="298"/>
      <c r="D64" s="299"/>
      <c r="E64" s="299"/>
      <c r="F64" s="251">
        <f t="shared" ref="F64:F65" si="0">C64*D64</f>
        <v>0</v>
      </c>
      <c r="G64" s="252">
        <f t="shared" ref="G64:G65" si="1">E64*C64</f>
        <v>0</v>
      </c>
      <c r="H64" s="261">
        <f>Taryfy!J61+Taryfy!J66</f>
        <v>0</v>
      </c>
      <c r="I64" s="85"/>
      <c r="J64" s="85"/>
      <c r="K64" s="85"/>
      <c r="L64" s="85"/>
      <c r="M64" s="85"/>
      <c r="N64" s="85"/>
    </row>
    <row r="65" spans="1:14" s="44" customFormat="1">
      <c r="A65" s="9" t="s">
        <v>187</v>
      </c>
      <c r="B65" s="297"/>
      <c r="C65" s="298"/>
      <c r="D65" s="299"/>
      <c r="E65" s="299"/>
      <c r="F65" s="251">
        <f t="shared" si="0"/>
        <v>0</v>
      </c>
      <c r="G65" s="252">
        <f t="shared" si="1"/>
        <v>0</v>
      </c>
      <c r="H65" s="261">
        <f>Taryfy!J62+Taryfy!J67</f>
        <v>0</v>
      </c>
      <c r="I65" s="85"/>
      <c r="J65" s="85"/>
      <c r="K65" s="85"/>
      <c r="L65" s="85"/>
      <c r="M65" s="85"/>
      <c r="N65" s="85"/>
    </row>
    <row r="66" spans="1:14" ht="74.099999999999994" customHeight="1">
      <c r="A66" s="419" t="s">
        <v>241</v>
      </c>
      <c r="B66" s="420"/>
      <c r="C66" s="420"/>
      <c r="D66" s="420"/>
      <c r="E66" s="420"/>
      <c r="F66" s="420"/>
      <c r="G66" s="420"/>
      <c r="H66" s="420"/>
      <c r="I66" s="85"/>
      <c r="J66" s="85"/>
      <c r="K66" s="85"/>
      <c r="L66" s="85"/>
      <c r="M66" s="85"/>
      <c r="N66" s="85"/>
    </row>
    <row r="67" spans="1:14" s="44" customFormat="1">
      <c r="A67" s="286" t="s">
        <v>242</v>
      </c>
      <c r="B67" s="286"/>
      <c r="C67" s="286"/>
      <c r="D67" s="286"/>
      <c r="E67" s="286"/>
      <c r="F67" s="286"/>
      <c r="G67" s="286"/>
      <c r="H67" s="286"/>
      <c r="I67" s="85"/>
      <c r="J67" s="85"/>
      <c r="K67" s="85"/>
      <c r="L67" s="85"/>
      <c r="M67" s="85"/>
      <c r="N67" s="85"/>
    </row>
    <row r="68" spans="1:14" s="44" customFormat="1" ht="15" thickBot="1">
      <c r="A68" s="85"/>
      <c r="B68" s="8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spans="1:14" s="44" customFormat="1" ht="15" thickBot="1">
      <c r="A69" s="360" t="s">
        <v>243</v>
      </c>
      <c r="B69" s="358"/>
      <c r="C69" s="358"/>
      <c r="D69" s="358"/>
      <c r="E69" s="358"/>
      <c r="F69" s="358"/>
      <c r="G69" s="359"/>
      <c r="H69" s="110"/>
      <c r="I69" s="110"/>
      <c r="J69" s="110"/>
      <c r="K69" s="110"/>
      <c r="L69" s="110"/>
      <c r="M69" s="110"/>
      <c r="N69" s="110"/>
    </row>
    <row r="70" spans="1:14" s="44" customFormat="1">
      <c r="A70" s="288"/>
      <c r="B70" s="288"/>
      <c r="C70" s="288"/>
      <c r="D70" s="288"/>
      <c r="E70" s="288"/>
      <c r="F70" s="288"/>
      <c r="G70" s="288"/>
      <c r="H70" s="110"/>
      <c r="I70" s="110"/>
      <c r="J70" s="110"/>
      <c r="K70" s="110"/>
      <c r="L70" s="110"/>
      <c r="M70" s="110"/>
      <c r="N70" s="110"/>
    </row>
    <row r="71" spans="1:14" s="44" customFormat="1" ht="18.600000000000001">
      <c r="A71" s="421" t="s">
        <v>244</v>
      </c>
      <c r="B71" s="421"/>
      <c r="C71" s="421"/>
      <c r="D71" s="421"/>
      <c r="E71" s="421"/>
      <c r="F71" s="111"/>
      <c r="G71" s="111"/>
      <c r="H71" s="85"/>
      <c r="I71" s="85"/>
      <c r="J71" s="85"/>
      <c r="K71" s="85"/>
      <c r="L71" s="85"/>
      <c r="M71" s="85"/>
      <c r="N71" s="85"/>
    </row>
    <row r="72" spans="1:14" s="44" customFormat="1" ht="57.95">
      <c r="A72" s="345" t="s">
        <v>15</v>
      </c>
      <c r="B72" s="412" t="s">
        <v>234</v>
      </c>
      <c r="C72" s="412"/>
      <c r="D72" s="202" t="s">
        <v>235</v>
      </c>
      <c r="E72" s="232" t="s">
        <v>245</v>
      </c>
      <c r="F72" s="58"/>
      <c r="G72" s="58"/>
      <c r="H72" s="85"/>
      <c r="I72" s="85"/>
      <c r="J72" s="85"/>
      <c r="K72" s="85"/>
      <c r="L72" s="85"/>
      <c r="M72" s="85"/>
      <c r="N72" s="85"/>
    </row>
    <row r="73" spans="1:14" s="44" customFormat="1">
      <c r="A73" s="9" t="s">
        <v>126</v>
      </c>
      <c r="B73" s="414" t="s">
        <v>246</v>
      </c>
      <c r="C73" s="414"/>
      <c r="D73" s="180">
        <v>1</v>
      </c>
      <c r="E73" s="300">
        <v>10</v>
      </c>
      <c r="F73" s="58"/>
      <c r="G73" s="58"/>
      <c r="H73" s="85"/>
      <c r="I73" s="85"/>
      <c r="J73" s="85"/>
      <c r="K73" s="85"/>
      <c r="L73" s="85"/>
      <c r="M73" s="85"/>
      <c r="N73" s="85"/>
    </row>
    <row r="74" spans="1:14" s="44" customFormat="1">
      <c r="A74" s="9" t="s">
        <v>185</v>
      </c>
      <c r="B74" s="414"/>
      <c r="C74" s="414"/>
      <c r="D74" s="180"/>
      <c r="E74" s="300"/>
      <c r="F74" s="58"/>
      <c r="G74" s="58"/>
      <c r="H74" s="85"/>
      <c r="I74" s="85"/>
      <c r="J74" s="85"/>
      <c r="K74" s="85"/>
      <c r="L74" s="85"/>
      <c r="M74" s="85"/>
      <c r="N74" s="85"/>
    </row>
    <row r="75" spans="1:14" s="44" customFormat="1">
      <c r="A75" s="9" t="s">
        <v>187</v>
      </c>
      <c r="B75" s="414"/>
      <c r="C75" s="414"/>
      <c r="D75" s="180"/>
      <c r="E75" s="300"/>
      <c r="F75" s="105"/>
      <c r="G75" s="105"/>
      <c r="H75" s="85"/>
      <c r="I75" s="85"/>
      <c r="J75" s="85"/>
      <c r="K75" s="85"/>
      <c r="L75" s="85"/>
      <c r="M75" s="85"/>
      <c r="N75" s="85"/>
    </row>
    <row r="76" spans="1:14" s="44" customFormat="1">
      <c r="A76" s="9" t="s">
        <v>189</v>
      </c>
      <c r="B76" s="414"/>
      <c r="C76" s="414"/>
      <c r="D76" s="180"/>
      <c r="E76" s="300"/>
      <c r="F76" s="85"/>
      <c r="G76" s="85"/>
      <c r="H76" s="85"/>
      <c r="I76" s="85"/>
      <c r="J76" s="85"/>
      <c r="K76" s="85"/>
      <c r="L76" s="85"/>
      <c r="M76" s="85"/>
      <c r="N76" s="85"/>
    </row>
    <row r="77" spans="1:14" ht="15" thickBot="1">
      <c r="A77" s="85"/>
      <c r="B77" s="86"/>
      <c r="C77" s="85"/>
      <c r="D77" s="85"/>
      <c r="E77" s="85"/>
      <c r="F77" s="85"/>
      <c r="G77" s="85"/>
      <c r="H77" s="85"/>
      <c r="I77" s="119"/>
      <c r="J77" s="119"/>
      <c r="K77" s="119"/>
      <c r="L77" s="119"/>
      <c r="M77" s="119"/>
      <c r="N77" s="119"/>
    </row>
    <row r="78" spans="1:14" ht="15" thickBot="1">
      <c r="A78" s="360" t="s">
        <v>247</v>
      </c>
      <c r="B78" s="358"/>
      <c r="C78" s="358"/>
      <c r="D78" s="358"/>
      <c r="E78" s="358"/>
      <c r="F78" s="358"/>
      <c r="G78" s="358"/>
      <c r="H78" s="359"/>
      <c r="I78" s="110"/>
      <c r="J78" s="110"/>
      <c r="K78" s="110"/>
      <c r="L78" s="110"/>
      <c r="M78" s="110"/>
      <c r="N78" s="110"/>
    </row>
    <row r="79" spans="1:14">
      <c r="A79" s="85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</row>
    <row r="80" spans="1:14">
      <c r="A80" s="421" t="s">
        <v>248</v>
      </c>
      <c r="B80" s="421"/>
      <c r="C80" s="421"/>
      <c r="D80" s="421"/>
      <c r="E80" s="421"/>
      <c r="F80" s="421"/>
      <c r="G80" s="421"/>
      <c r="H80" s="421"/>
      <c r="I80" s="422"/>
      <c r="J80" s="422"/>
      <c r="K80" s="422"/>
      <c r="L80" s="422"/>
      <c r="M80" s="422"/>
      <c r="N80" s="422"/>
    </row>
    <row r="81" spans="1:14" ht="16.5">
      <c r="A81" s="412" t="s">
        <v>249</v>
      </c>
      <c r="B81" s="412"/>
      <c r="C81" s="415" t="s">
        <v>250</v>
      </c>
      <c r="D81" s="415"/>
      <c r="E81" s="415"/>
      <c r="F81" s="415"/>
      <c r="G81" s="415"/>
      <c r="H81" s="415"/>
      <c r="I81" s="42"/>
      <c r="J81" s="42"/>
      <c r="K81" s="42"/>
      <c r="L81" s="42"/>
      <c r="M81" s="42"/>
      <c r="N81" s="42"/>
    </row>
    <row r="82" spans="1:14" s="44" customFormat="1">
      <c r="A82" s="118"/>
      <c r="B82" s="118"/>
      <c r="C82" s="285" t="s">
        <v>102</v>
      </c>
      <c r="D82" s="281"/>
      <c r="E82" s="281"/>
      <c r="F82" s="281"/>
      <c r="G82" s="281"/>
      <c r="H82" s="281"/>
      <c r="I82" s="42"/>
      <c r="J82" s="42"/>
      <c r="K82" s="42"/>
      <c r="L82" s="42"/>
      <c r="M82" s="42"/>
      <c r="N82" s="42"/>
    </row>
    <row r="83" spans="1:14" s="44" customFormat="1" ht="39" customHeight="1">
      <c r="B83" s="283" t="s">
        <v>251</v>
      </c>
      <c r="C83" s="416" t="s">
        <v>252</v>
      </c>
      <c r="D83" s="416"/>
      <c r="E83" s="416"/>
      <c r="F83" s="416"/>
      <c r="G83" s="416"/>
      <c r="H83" s="416"/>
      <c r="I83" s="42"/>
      <c r="J83" s="42"/>
      <c r="K83" s="42"/>
      <c r="L83" s="42"/>
      <c r="M83" s="42"/>
      <c r="N83" s="42"/>
    </row>
    <row r="84" spans="1:14" s="44" customFormat="1" ht="40.5" customHeight="1">
      <c r="B84" s="283" t="s">
        <v>253</v>
      </c>
      <c r="C84" s="416" t="s">
        <v>254</v>
      </c>
      <c r="D84" s="416"/>
      <c r="E84" s="416"/>
      <c r="F84" s="416"/>
      <c r="G84" s="416"/>
      <c r="H84" s="416"/>
      <c r="I84" s="42"/>
      <c r="J84" s="42"/>
      <c r="K84" s="42"/>
      <c r="L84" s="42"/>
      <c r="M84" s="42"/>
      <c r="N84" s="42"/>
    </row>
    <row r="85" spans="1:14" s="44" customFormat="1" ht="33.6" customHeight="1">
      <c r="B85" s="283" t="s">
        <v>255</v>
      </c>
      <c r="C85" s="416" t="s">
        <v>256</v>
      </c>
      <c r="D85" s="416"/>
      <c r="E85" s="416"/>
      <c r="F85" s="416"/>
      <c r="G85" s="416"/>
      <c r="H85" s="416"/>
      <c r="I85" s="42"/>
      <c r="J85" s="42"/>
      <c r="K85" s="42"/>
      <c r="L85" s="42"/>
      <c r="M85" s="42"/>
      <c r="N85" s="42"/>
    </row>
    <row r="86" spans="1:14" s="44" customFormat="1" ht="59.45" customHeight="1">
      <c r="B86" s="283" t="s">
        <v>153</v>
      </c>
      <c r="C86" s="416" t="s">
        <v>257</v>
      </c>
      <c r="D86" s="416"/>
      <c r="E86" s="416"/>
      <c r="F86" s="416"/>
      <c r="G86" s="416"/>
      <c r="H86" s="416"/>
      <c r="I86" s="42"/>
      <c r="J86" s="42"/>
      <c r="K86" s="42"/>
      <c r="L86" s="42"/>
      <c r="M86" s="42"/>
      <c r="N86" s="42"/>
    </row>
    <row r="87" spans="1:14" s="44" customFormat="1" ht="33" customHeight="1">
      <c r="A87" s="118"/>
      <c r="B87" s="118"/>
      <c r="C87" s="273"/>
      <c r="D87" s="273"/>
      <c r="E87" s="273"/>
      <c r="F87" s="273"/>
      <c r="G87" s="273"/>
      <c r="H87" s="273"/>
      <c r="I87" s="42"/>
      <c r="J87" s="42"/>
      <c r="K87" s="42"/>
      <c r="L87" s="42"/>
      <c r="M87" s="42"/>
      <c r="N87" s="42"/>
    </row>
    <row r="88" spans="1:14">
      <c r="A88" s="412" t="s">
        <v>15</v>
      </c>
      <c r="B88" s="412" t="s">
        <v>258</v>
      </c>
      <c r="C88" s="412"/>
      <c r="D88" s="412"/>
      <c r="E88" s="412"/>
      <c r="F88" s="412"/>
      <c r="G88" s="412"/>
      <c r="H88" s="412"/>
      <c r="I88" s="42"/>
      <c r="J88" s="42"/>
      <c r="K88" s="42"/>
      <c r="L88" s="42"/>
      <c r="M88" s="42"/>
      <c r="N88" s="42"/>
    </row>
    <row r="89" spans="1:14" ht="14.45" customHeight="1">
      <c r="A89" s="412"/>
      <c r="B89" s="412"/>
      <c r="C89" s="412"/>
      <c r="D89" s="412"/>
      <c r="E89" s="412"/>
      <c r="F89" s="412"/>
      <c r="G89" s="412"/>
      <c r="H89" s="412"/>
      <c r="I89" s="105"/>
      <c r="J89" s="105"/>
      <c r="K89" s="105"/>
      <c r="L89" s="413"/>
      <c r="M89" s="413"/>
      <c r="N89" s="413"/>
    </row>
    <row r="90" spans="1:14" ht="38.1" customHeight="1">
      <c r="A90" s="348"/>
      <c r="B90" s="94"/>
      <c r="C90" s="454" t="s">
        <v>259</v>
      </c>
      <c r="D90" s="454"/>
      <c r="E90" s="454"/>
      <c r="F90" s="454" t="s">
        <v>260</v>
      </c>
      <c r="G90" s="455"/>
      <c r="H90" s="455"/>
      <c r="I90" s="105"/>
      <c r="J90" s="105"/>
      <c r="K90" s="105"/>
      <c r="L90" s="106"/>
      <c r="M90" s="105"/>
      <c r="N90" s="106"/>
    </row>
    <row r="91" spans="1:14" ht="18.95" customHeight="1">
      <c r="A91" s="348"/>
      <c r="B91" s="95" t="s">
        <v>261</v>
      </c>
      <c r="C91" s="262" t="s">
        <v>262</v>
      </c>
      <c r="D91" s="263" t="s">
        <v>263</v>
      </c>
      <c r="E91" s="264" t="s">
        <v>264</v>
      </c>
      <c r="F91" s="264" t="s">
        <v>265</v>
      </c>
      <c r="G91" s="263" t="s">
        <v>266</v>
      </c>
      <c r="H91" s="264" t="s">
        <v>267</v>
      </c>
      <c r="I91" s="105"/>
      <c r="J91" s="105"/>
      <c r="K91" s="105"/>
      <c r="L91" s="107"/>
      <c r="M91" s="107"/>
      <c r="N91" s="107"/>
    </row>
    <row r="92" spans="1:14" ht="16.350000000000001" customHeight="1">
      <c r="A92" s="348" t="s">
        <v>268</v>
      </c>
      <c r="B92" s="101" t="s">
        <v>269</v>
      </c>
      <c r="C92" s="97">
        <f>Taryfy!I62</f>
        <v>0</v>
      </c>
      <c r="D92" s="97">
        <f>Taryfy!I60</f>
        <v>0</v>
      </c>
      <c r="E92" s="97">
        <f>Taryfy!I61</f>
        <v>0</v>
      </c>
      <c r="F92" s="97">
        <f>Taryfy!I67</f>
        <v>0</v>
      </c>
      <c r="G92" s="97">
        <f>Taryfy!I65</f>
        <v>0</v>
      </c>
      <c r="H92" s="97">
        <f>Taryfy!I66</f>
        <v>0</v>
      </c>
      <c r="I92" s="105"/>
      <c r="J92" s="105"/>
      <c r="K92" s="105"/>
      <c r="L92" s="107"/>
      <c r="M92" s="107"/>
      <c r="N92" s="107"/>
    </row>
    <row r="93" spans="1:14" s="2" customFormat="1" ht="14.45" customHeight="1">
      <c r="A93" s="348" t="s">
        <v>270</v>
      </c>
      <c r="B93" s="101" t="s">
        <v>271</v>
      </c>
      <c r="C93" s="97">
        <f>Taryfy!I52</f>
        <v>0.10555555555555554</v>
      </c>
      <c r="D93" s="97">
        <f>Taryfy!K52</f>
        <v>0.48333333333333334</v>
      </c>
      <c r="E93" s="97">
        <f>Taryfy!M52</f>
        <v>0.65555555555555545</v>
      </c>
      <c r="F93" s="97">
        <f>Taryfy!O52</f>
        <v>0.11222222222222222</v>
      </c>
      <c r="G93" s="97">
        <f>Taryfy!Q52</f>
        <v>0.44333333333333336</v>
      </c>
      <c r="H93" s="97">
        <f>Taryfy!S52</f>
        <v>0.58888888888888891</v>
      </c>
      <c r="I93" s="266"/>
      <c r="J93" s="42"/>
      <c r="K93" s="42"/>
      <c r="L93" s="42"/>
      <c r="M93" s="42"/>
      <c r="N93" s="42"/>
    </row>
    <row r="94" spans="1:14" ht="18.95" customHeight="1">
      <c r="A94" s="449" t="s">
        <v>272</v>
      </c>
      <c r="B94" s="103" t="s">
        <v>273</v>
      </c>
      <c r="C94" s="301"/>
      <c r="D94" s="301"/>
      <c r="E94" s="301"/>
      <c r="F94" s="301"/>
      <c r="G94" s="301"/>
      <c r="H94" s="301"/>
      <c r="I94" s="266"/>
      <c r="J94" s="42"/>
      <c r="K94" s="42"/>
      <c r="L94" s="42"/>
      <c r="M94" s="42"/>
      <c r="N94" s="42"/>
    </row>
    <row r="95" spans="1:14" s="44" customFormat="1" ht="18.95" customHeight="1">
      <c r="A95" s="450"/>
      <c r="B95" s="98" t="s">
        <v>274</v>
      </c>
      <c r="C95" s="99">
        <f>Taryfy!D7</f>
        <v>0.40949999999999998</v>
      </c>
      <c r="D95" s="99">
        <f>Taryfy!E7</f>
        <v>0.84000000000000008</v>
      </c>
      <c r="E95" s="99">
        <f>Taryfy!F7</f>
        <v>0.84000000000000008</v>
      </c>
      <c r="F95" s="99">
        <f>Taryfy!G7</f>
        <v>0.40949999999999998</v>
      </c>
      <c r="G95" s="99">
        <f>Taryfy!H7</f>
        <v>0.87402000000000002</v>
      </c>
      <c r="H95" s="99">
        <f>Taryfy!I7</f>
        <v>0.87150000000000016</v>
      </c>
      <c r="I95" s="266"/>
      <c r="J95" s="42"/>
      <c r="K95" s="42"/>
      <c r="L95" s="42"/>
      <c r="M95" s="42"/>
      <c r="N95" s="42"/>
    </row>
    <row r="96" spans="1:14" s="44" customFormat="1" ht="18.95" customHeight="1">
      <c r="A96" s="450"/>
      <c r="B96" s="98" t="s">
        <v>275</v>
      </c>
      <c r="C96" s="99">
        <f>Taryfy!D13</f>
        <v>0.68667714629510312</v>
      </c>
      <c r="D96" s="99">
        <f>Taryfy!E13</f>
        <v>1.3860989928153438</v>
      </c>
      <c r="E96" s="99">
        <f>Taryfy!F13</f>
        <v>1.7064253231625583</v>
      </c>
      <c r="F96" s="99">
        <f>Taryfy!G13</f>
        <v>0.68667714629510312</v>
      </c>
      <c r="G96" s="99">
        <f>Taryfy!H13</f>
        <v>1.2497661525456256</v>
      </c>
      <c r="H96" s="99">
        <f>Taryfy!I13</f>
        <v>1.6124164803902641</v>
      </c>
      <c r="I96" s="266"/>
      <c r="J96" s="42"/>
      <c r="K96" s="42"/>
      <c r="L96" s="42"/>
      <c r="M96" s="42"/>
      <c r="N96" s="42"/>
    </row>
    <row r="97" spans="1:16" ht="18.95" customHeight="1">
      <c r="A97" s="450"/>
      <c r="B97" s="98" t="s">
        <v>276</v>
      </c>
      <c r="C97" s="265">
        <f t="shared" ref="C97:H97" si="2">C94*C95/(-1)</f>
        <v>0</v>
      </c>
      <c r="D97" s="265">
        <f t="shared" si="2"/>
        <v>0</v>
      </c>
      <c r="E97" s="265">
        <f t="shared" si="2"/>
        <v>0</v>
      </c>
      <c r="F97" s="265">
        <f t="shared" si="2"/>
        <v>0</v>
      </c>
      <c r="G97" s="265">
        <f t="shared" si="2"/>
        <v>0</v>
      </c>
      <c r="H97" s="265">
        <f t="shared" si="2"/>
        <v>0</v>
      </c>
      <c r="I97" s="266"/>
      <c r="J97" s="42"/>
      <c r="K97" s="42"/>
      <c r="L97" s="42"/>
      <c r="M97" s="42"/>
      <c r="N97" s="42"/>
      <c r="O97" s="44"/>
      <c r="P97" s="43"/>
    </row>
    <row r="98" spans="1:16" ht="18.95" customHeight="1">
      <c r="A98" s="451"/>
      <c r="B98" s="98" t="s">
        <v>277</v>
      </c>
      <c r="C98" s="265">
        <f>C94*C96/(-1)</f>
        <v>0</v>
      </c>
      <c r="D98" s="265">
        <f t="shared" ref="D98:H98" si="3">D94*D96/(-1)</f>
        <v>0</v>
      </c>
      <c r="E98" s="265">
        <f t="shared" si="3"/>
        <v>0</v>
      </c>
      <c r="F98" s="265">
        <f t="shared" si="3"/>
        <v>0</v>
      </c>
      <c r="G98" s="265">
        <f t="shared" si="3"/>
        <v>0</v>
      </c>
      <c r="H98" s="265">
        <f t="shared" si="3"/>
        <v>0</v>
      </c>
      <c r="I98" s="266"/>
      <c r="J98" s="42"/>
      <c r="K98" s="42"/>
      <c r="L98" s="42"/>
      <c r="M98" s="42"/>
      <c r="N98" s="42"/>
      <c r="O98" s="44"/>
      <c r="P98" s="44"/>
    </row>
    <row r="99" spans="1:16">
      <c r="A99" s="348" t="s">
        <v>278</v>
      </c>
      <c r="B99" s="103" t="s">
        <v>279</v>
      </c>
      <c r="C99" s="301"/>
      <c r="D99" s="301"/>
      <c r="E99" s="301"/>
      <c r="F99" s="301"/>
      <c r="G99" s="301"/>
      <c r="H99" s="301"/>
      <c r="I99" s="266"/>
      <c r="J99" s="42"/>
      <c r="K99" s="42"/>
      <c r="L99" s="42"/>
      <c r="M99" s="42"/>
      <c r="N99" s="42"/>
      <c r="O99" s="44"/>
      <c r="P99" s="44"/>
    </row>
    <row r="100" spans="1:16" ht="18.95" customHeight="1">
      <c r="A100" s="348" t="s">
        <v>280</v>
      </c>
      <c r="B100" s="103" t="s">
        <v>281</v>
      </c>
      <c r="C100" s="301"/>
      <c r="D100" s="301"/>
      <c r="E100" s="301"/>
      <c r="F100" s="301"/>
      <c r="G100" s="301"/>
      <c r="H100" s="301"/>
      <c r="I100" s="266"/>
      <c r="J100" s="42"/>
      <c r="K100" s="42"/>
      <c r="L100" s="42"/>
      <c r="M100" s="42"/>
      <c r="N100" s="42"/>
      <c r="O100" s="44"/>
      <c r="P100" s="44"/>
    </row>
    <row r="101" spans="1:16" ht="18.95" customHeight="1">
      <c r="A101" s="449" t="s">
        <v>282</v>
      </c>
      <c r="B101" s="103" t="s">
        <v>283</v>
      </c>
      <c r="C101" s="302"/>
      <c r="D101" s="302"/>
      <c r="E101" s="302"/>
      <c r="F101" s="302"/>
      <c r="G101" s="302"/>
      <c r="H101" s="302"/>
      <c r="I101" s="266"/>
      <c r="J101" s="42"/>
      <c r="K101" s="42"/>
      <c r="L101" s="42"/>
      <c r="M101" s="42"/>
      <c r="N101" s="42"/>
      <c r="O101" s="44"/>
      <c r="P101" s="44"/>
    </row>
    <row r="102" spans="1:16" s="44" customFormat="1" ht="18.95" customHeight="1">
      <c r="A102" s="450"/>
      <c r="B102" s="98" t="s">
        <v>284</v>
      </c>
      <c r="C102" s="99">
        <f>Taryfy!D8</f>
        <v>0.315</v>
      </c>
      <c r="D102" s="99">
        <f>Taryfy!E8</f>
        <v>0.52500000000000002</v>
      </c>
      <c r="E102" s="99">
        <f>Taryfy!F8</f>
        <v>0.52500000000000002</v>
      </c>
      <c r="F102" s="99">
        <f>Taryfy!G8</f>
        <v>0.315</v>
      </c>
      <c r="G102" s="99">
        <f>Taryfy!H8</f>
        <v>0.55902000000000007</v>
      </c>
      <c r="H102" s="99">
        <f>Taryfy!I8</f>
        <v>0.55650000000000011</v>
      </c>
      <c r="I102" s="266"/>
      <c r="J102" s="42"/>
      <c r="K102" s="42"/>
      <c r="L102" s="42"/>
      <c r="M102" s="42"/>
      <c r="N102" s="42"/>
    </row>
    <row r="103" spans="1:16" s="44" customFormat="1" ht="18.95" customHeight="1">
      <c r="A103" s="450"/>
      <c r="B103" s="98" t="s">
        <v>285</v>
      </c>
      <c r="C103" s="99">
        <f>Taryfy!D14</f>
        <v>0.48853059924324488</v>
      </c>
      <c r="D103" s="99">
        <f>Taryfy!E14</f>
        <v>0.72561050264248261</v>
      </c>
      <c r="E103" s="99">
        <f>Taryfy!F14</f>
        <v>1.045936832989697</v>
      </c>
      <c r="F103" s="99">
        <f>Taryfy!G14</f>
        <v>0.48853059924324488</v>
      </c>
      <c r="G103" s="99">
        <f>Taryfy!H14</f>
        <v>0.58927766237276424</v>
      </c>
      <c r="H103" s="99">
        <f>Taryfy!I14</f>
        <v>0.95192799021740271</v>
      </c>
      <c r="I103" s="266"/>
      <c r="J103" s="42"/>
      <c r="K103" s="42"/>
      <c r="L103" s="42"/>
      <c r="M103" s="42"/>
      <c r="N103" s="42"/>
    </row>
    <row r="104" spans="1:16" ht="16.5">
      <c r="A104" s="450"/>
      <c r="B104" s="98" t="s">
        <v>286</v>
      </c>
      <c r="C104" s="99">
        <f t="shared" ref="C104:H104" si="4">C102*C101</f>
        <v>0</v>
      </c>
      <c r="D104" s="99">
        <f t="shared" si="4"/>
        <v>0</v>
      </c>
      <c r="E104" s="99">
        <f t="shared" si="4"/>
        <v>0</v>
      </c>
      <c r="F104" s="99">
        <f t="shared" si="4"/>
        <v>0</v>
      </c>
      <c r="G104" s="99">
        <f t="shared" si="4"/>
        <v>0</v>
      </c>
      <c r="H104" s="99">
        <f t="shared" si="4"/>
        <v>0</v>
      </c>
      <c r="I104" s="266"/>
      <c r="J104" s="42"/>
      <c r="K104" s="42"/>
      <c r="L104" s="42"/>
      <c r="M104" s="42"/>
      <c r="N104" s="42"/>
      <c r="O104" s="44"/>
      <c r="P104" s="44"/>
    </row>
    <row r="105" spans="1:16" ht="16.5">
      <c r="A105" s="451"/>
      <c r="B105" s="98" t="s">
        <v>287</v>
      </c>
      <c r="C105" s="99">
        <f>C103*C101</f>
        <v>0</v>
      </c>
      <c r="D105" s="99">
        <f t="shared" ref="D105:H105" si="5">D103*D101</f>
        <v>0</v>
      </c>
      <c r="E105" s="99">
        <f t="shared" si="5"/>
        <v>0</v>
      </c>
      <c r="F105" s="99">
        <f t="shared" si="5"/>
        <v>0</v>
      </c>
      <c r="G105" s="99">
        <f t="shared" si="5"/>
        <v>0</v>
      </c>
      <c r="H105" s="99">
        <f t="shared" si="5"/>
        <v>0</v>
      </c>
      <c r="I105" s="105"/>
      <c r="J105" s="105"/>
      <c r="K105" s="105"/>
      <c r="L105" s="119"/>
      <c r="M105" s="119"/>
      <c r="N105" s="119"/>
      <c r="O105" s="44"/>
      <c r="P105" s="44"/>
    </row>
    <row r="106" spans="1:16">
      <c r="A106" s="348" t="s">
        <v>288</v>
      </c>
      <c r="B106" s="103" t="s">
        <v>289</v>
      </c>
      <c r="C106" s="303"/>
      <c r="D106" s="303"/>
      <c r="E106" s="303"/>
      <c r="F106" s="303"/>
      <c r="G106" s="303"/>
      <c r="H106" s="304"/>
      <c r="I106" s="105"/>
      <c r="J106" s="105"/>
      <c r="K106" s="105"/>
      <c r="L106" s="107"/>
      <c r="M106" s="107"/>
      <c r="N106" s="107"/>
      <c r="O106" s="44"/>
      <c r="P106" s="44"/>
    </row>
    <row r="107" spans="1:16" s="44" customFormat="1" ht="45" customHeight="1">
      <c r="A107" s="449" t="s">
        <v>290</v>
      </c>
      <c r="B107" s="100" t="s">
        <v>291</v>
      </c>
      <c r="C107" s="272">
        <f t="shared" ref="C107:H107" si="6">ROUND(C97+C104,2)</f>
        <v>0</v>
      </c>
      <c r="D107" s="272">
        <f t="shared" si="6"/>
        <v>0</v>
      </c>
      <c r="E107" s="272">
        <f t="shared" si="6"/>
        <v>0</v>
      </c>
      <c r="F107" s="272">
        <f t="shared" si="6"/>
        <v>0</v>
      </c>
      <c r="G107" s="272">
        <f t="shared" si="6"/>
        <v>0</v>
      </c>
      <c r="H107" s="97">
        <f t="shared" si="6"/>
        <v>0</v>
      </c>
      <c r="I107" s="105"/>
      <c r="J107" s="105"/>
      <c r="K107" s="105"/>
      <c r="L107" s="107"/>
      <c r="M107" s="107"/>
      <c r="N107" s="107"/>
    </row>
    <row r="108" spans="1:16" ht="45.6">
      <c r="A108" s="451"/>
      <c r="B108" s="96" t="s">
        <v>292</v>
      </c>
      <c r="C108" s="272">
        <f>ROUND(C98+C105,2)</f>
        <v>0</v>
      </c>
      <c r="D108" s="272">
        <f t="shared" ref="D108:H108" si="7">ROUND(D98+D105,2)</f>
        <v>0</v>
      </c>
      <c r="E108" s="272">
        <f t="shared" si="7"/>
        <v>0</v>
      </c>
      <c r="F108" s="272">
        <f t="shared" si="7"/>
        <v>0</v>
      </c>
      <c r="G108" s="272">
        <f t="shared" si="7"/>
        <v>0</v>
      </c>
      <c r="H108" s="97">
        <f t="shared" si="7"/>
        <v>0</v>
      </c>
      <c r="I108" s="108"/>
      <c r="J108" s="108"/>
      <c r="K108" s="108"/>
      <c r="L108" s="108"/>
      <c r="M108" s="108"/>
      <c r="N108" s="105"/>
      <c r="O108" s="44"/>
      <c r="P108" s="44"/>
    </row>
    <row r="109" spans="1:16" s="44" customFormat="1" ht="45.6">
      <c r="A109" s="449" t="s">
        <v>293</v>
      </c>
      <c r="B109" s="101" t="s">
        <v>294</v>
      </c>
      <c r="C109" s="440"/>
      <c r="D109" s="441"/>
      <c r="E109" s="441"/>
      <c r="F109" s="441"/>
      <c r="G109" s="442"/>
      <c r="H109" s="102">
        <f>180*(SUM(C107:E107))+180*(SUM(F107:H107))</f>
        <v>0</v>
      </c>
      <c r="I109" s="108"/>
      <c r="J109" s="108"/>
      <c r="K109" s="108"/>
      <c r="L109" s="108"/>
      <c r="M109" s="108"/>
      <c r="N109" s="105"/>
    </row>
    <row r="110" spans="1:16" ht="45.6">
      <c r="A110" s="451"/>
      <c r="B110" s="96" t="s">
        <v>295</v>
      </c>
      <c r="C110" s="443"/>
      <c r="D110" s="444"/>
      <c r="E110" s="444"/>
      <c r="F110" s="444"/>
      <c r="G110" s="445"/>
      <c r="H110" s="102">
        <f>180*(SUM(C108:E108))+180*(SUM(F108:H108))</f>
        <v>0</v>
      </c>
      <c r="I110" s="109"/>
      <c r="J110" s="109"/>
      <c r="K110" s="109"/>
      <c r="L110" s="109"/>
      <c r="M110" s="109"/>
      <c r="N110" s="105"/>
      <c r="O110" s="44"/>
      <c r="P110" s="44"/>
    </row>
    <row r="111" spans="1:16" s="44" customFormat="1">
      <c r="A111" s="348" t="s">
        <v>296</v>
      </c>
      <c r="B111" s="103" t="s">
        <v>297</v>
      </c>
      <c r="C111" s="446"/>
      <c r="D111" s="447"/>
      <c r="E111" s="447"/>
      <c r="F111" s="447"/>
      <c r="G111" s="448"/>
      <c r="H111" s="104">
        <f>'Zał. B2 Bilans energetyczny'!C10</f>
        <v>0</v>
      </c>
      <c r="I111" s="109"/>
      <c r="J111" s="109"/>
      <c r="K111" s="109"/>
      <c r="L111" s="109"/>
      <c r="M111" s="109"/>
      <c r="N111" s="105"/>
    </row>
    <row r="112" spans="1:16" s="44" customFormat="1" ht="27.6" customHeight="1">
      <c r="A112" s="348" t="s">
        <v>298</v>
      </c>
      <c r="B112" s="452" t="s">
        <v>299</v>
      </c>
      <c r="C112" s="452"/>
      <c r="D112" s="452"/>
      <c r="E112" s="452"/>
      <c r="F112" s="452"/>
      <c r="G112" s="453"/>
      <c r="H112" s="268" t="e">
        <f>ROUND(H110/H111,2)</f>
        <v>#DIV/0!</v>
      </c>
      <c r="I112" s="109"/>
      <c r="J112" s="109"/>
      <c r="L112" s="109"/>
      <c r="M112" s="109"/>
      <c r="N112" s="105"/>
    </row>
    <row r="113" spans="1:14" s="44" customFormat="1">
      <c r="A113" s="124"/>
      <c r="B113" s="270"/>
      <c r="C113" s="270"/>
      <c r="D113" s="270"/>
      <c r="E113" s="270"/>
      <c r="F113" s="270"/>
      <c r="G113" s="270"/>
      <c r="H113" s="271"/>
      <c r="I113" s="109"/>
      <c r="J113" s="109"/>
      <c r="L113" s="109"/>
      <c r="M113" s="109"/>
      <c r="N113" s="105"/>
    </row>
    <row r="114" spans="1:14" ht="23.45">
      <c r="A114" s="124"/>
      <c r="B114" s="270"/>
      <c r="C114" s="270"/>
      <c r="D114" s="270"/>
      <c r="E114" s="270"/>
      <c r="F114" s="270"/>
      <c r="G114" s="270"/>
      <c r="H114" s="271"/>
      <c r="I114" s="44"/>
      <c r="J114" s="60"/>
      <c r="K114" s="60"/>
      <c r="L114" s="60"/>
      <c r="M114" s="60"/>
      <c r="N114" s="105"/>
    </row>
    <row r="115" spans="1:14" ht="18.600000000000001">
      <c r="A115" s="437" t="s">
        <v>300</v>
      </c>
      <c r="B115" s="438"/>
      <c r="C115" s="438"/>
      <c r="D115" s="438"/>
      <c r="E115" s="438"/>
      <c r="F115" s="438"/>
      <c r="G115" s="439"/>
      <c r="H115" s="267" t="e">
        <f>ROUND(H109/H111,2)</f>
        <v>#DIV/0!</v>
      </c>
      <c r="I115" s="204" t="s">
        <v>301</v>
      </c>
      <c r="J115" s="44"/>
      <c r="K115" s="44"/>
      <c r="L115" s="44"/>
      <c r="M115" s="44"/>
      <c r="N115" s="44"/>
    </row>
  </sheetData>
  <protectedRanges>
    <protectedRange algorithmName="SHA-512" hashValue="ZvKcHIvzY96iBcJrD70UFLoqE+PBgYbWJgD3+yEhjWB4DazZVnKFDGJ/7UNFQxKhvIO6xBOS3ayCErfHHOiBfA==" saltValue="RvevpJNSq04BU9N84yJQDg==" spinCount="100000" sqref="L89:N92 B90:H93" name="Bilansowanie"/>
  </protectedRanges>
  <mergeCells count="45">
    <mergeCell ref="C43:D43"/>
    <mergeCell ref="C45:D45"/>
    <mergeCell ref="C44:D44"/>
    <mergeCell ref="A115:G115"/>
    <mergeCell ref="C109:G111"/>
    <mergeCell ref="A101:A105"/>
    <mergeCell ref="A109:A110"/>
    <mergeCell ref="A107:A108"/>
    <mergeCell ref="B112:G112"/>
    <mergeCell ref="A94:A98"/>
    <mergeCell ref="C85:H85"/>
    <mergeCell ref="C86:H86"/>
    <mergeCell ref="B88:H89"/>
    <mergeCell ref="C90:E90"/>
    <mergeCell ref="F90:H90"/>
    <mergeCell ref="C84:H84"/>
    <mergeCell ref="A12:G12"/>
    <mergeCell ref="A37:E37"/>
    <mergeCell ref="A1:G3"/>
    <mergeCell ref="A14:F14"/>
    <mergeCell ref="A34:G34"/>
    <mergeCell ref="C38:D38"/>
    <mergeCell ref="C42:D42"/>
    <mergeCell ref="C40:D40"/>
    <mergeCell ref="C41:D41"/>
    <mergeCell ref="C39:D39"/>
    <mergeCell ref="A47:G47"/>
    <mergeCell ref="A59:G59"/>
    <mergeCell ref="A61:E61"/>
    <mergeCell ref="A66:H66"/>
    <mergeCell ref="A80:N80"/>
    <mergeCell ref="A49:G49"/>
    <mergeCell ref="A78:H78"/>
    <mergeCell ref="B72:C72"/>
    <mergeCell ref="B73:C73"/>
    <mergeCell ref="A69:G69"/>
    <mergeCell ref="A71:E71"/>
    <mergeCell ref="A88:A89"/>
    <mergeCell ref="L89:N89"/>
    <mergeCell ref="B74:C74"/>
    <mergeCell ref="B75:C75"/>
    <mergeCell ref="B76:C76"/>
    <mergeCell ref="A81:B81"/>
    <mergeCell ref="C81:H81"/>
    <mergeCell ref="C83:H83"/>
  </mergeCells>
  <phoneticPr fontId="6" type="noConversion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Wartość nieprawidłowa" promptTitle="Wybierz typ budynku" prompt="Wybierz typ budynku" xr:uid="{00000000-0002-0000-0100-000000000000}">
          <x14:formula1>
            <xm:f>'Profil użytkownika'!$A$2:$A$4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="80" zoomScaleNormal="80" workbookViewId="0">
      <pane ySplit="3" topLeftCell="A4" activePane="bottomLeft" state="frozen"/>
      <selection pane="bottomLeft" activeCell="B22" sqref="A22:D22"/>
      <selection activeCell="H13" sqref="H13"/>
    </sheetView>
  </sheetViews>
  <sheetFormatPr defaultColWidth="8.7109375" defaultRowHeight="14.45"/>
  <cols>
    <col min="1" max="1" width="10" style="44" customWidth="1"/>
    <col min="2" max="2" width="57" style="44" customWidth="1"/>
    <col min="3" max="3" width="8.5703125" style="44" bestFit="1" customWidth="1"/>
    <col min="4" max="5" width="12.42578125" style="44" customWidth="1"/>
    <col min="6" max="6" width="18.42578125" style="44" customWidth="1"/>
    <col min="7" max="7" width="36.42578125" style="44" customWidth="1"/>
    <col min="8" max="16384" width="8.7109375" style="44"/>
  </cols>
  <sheetData>
    <row r="1" spans="1:8">
      <c r="A1" s="427" t="s">
        <v>302</v>
      </c>
      <c r="B1" s="428"/>
      <c r="C1" s="428"/>
      <c r="D1" s="428"/>
      <c r="E1" s="428"/>
      <c r="F1" s="428"/>
      <c r="G1" s="429"/>
    </row>
    <row r="2" spans="1:8">
      <c r="A2" s="430"/>
      <c r="B2" s="431"/>
      <c r="C2" s="431"/>
      <c r="D2" s="431"/>
      <c r="E2" s="431"/>
      <c r="F2" s="431"/>
      <c r="G2" s="432"/>
    </row>
    <row r="3" spans="1:8" ht="15" customHeight="1" thickBot="1">
      <c r="A3" s="433"/>
      <c r="B3" s="434"/>
      <c r="C3" s="434"/>
      <c r="D3" s="434"/>
      <c r="E3" s="434"/>
      <c r="F3" s="434"/>
      <c r="G3" s="435"/>
    </row>
    <row r="4" spans="1:8" ht="15" customHeight="1">
      <c r="A4" s="286" t="s">
        <v>1</v>
      </c>
      <c r="B4" s="329"/>
      <c r="C4" s="347"/>
      <c r="D4" s="347"/>
      <c r="E4" s="347"/>
      <c r="F4" s="347"/>
      <c r="G4" s="347"/>
    </row>
    <row r="5" spans="1:8" ht="15" customHeight="1">
      <c r="A5" s="325"/>
      <c r="B5" s="328" t="s">
        <v>2</v>
      </c>
      <c r="C5" s="347"/>
      <c r="D5" s="347"/>
      <c r="E5" s="347"/>
      <c r="F5" s="347"/>
      <c r="G5" s="347"/>
    </row>
    <row r="6" spans="1:8" ht="15" customHeight="1">
      <c r="A6" s="326"/>
      <c r="B6" s="327" t="s">
        <v>4</v>
      </c>
      <c r="C6" s="347"/>
      <c r="D6" s="347"/>
      <c r="E6" s="347"/>
      <c r="F6" s="347"/>
      <c r="G6" s="347"/>
    </row>
    <row r="7" spans="1:8" ht="15" customHeight="1" thickBot="1">
      <c r="A7" s="347"/>
      <c r="B7" s="347"/>
      <c r="C7" s="347"/>
      <c r="D7" s="347"/>
      <c r="E7" s="347"/>
      <c r="F7" s="347"/>
      <c r="G7" s="347"/>
    </row>
    <row r="8" spans="1:8" ht="15" customHeight="1" thickBot="1">
      <c r="A8" s="360" t="s">
        <v>303</v>
      </c>
      <c r="B8" s="358"/>
      <c r="C8" s="358"/>
      <c r="D8" s="358"/>
      <c r="E8" s="358"/>
      <c r="F8" s="358"/>
      <c r="G8" s="359"/>
    </row>
    <row r="9" spans="1:8" ht="15" customHeight="1">
      <c r="A9" s="280"/>
      <c r="B9" s="287"/>
      <c r="C9" s="287"/>
      <c r="D9" s="287"/>
      <c r="E9" s="287"/>
      <c r="F9" s="287"/>
      <c r="G9" s="287"/>
    </row>
    <row r="10" spans="1:8" ht="15" customHeight="1">
      <c r="A10" s="280"/>
      <c r="B10" s="287"/>
      <c r="C10" s="287"/>
      <c r="D10" s="287"/>
      <c r="E10" s="287"/>
      <c r="F10" s="287"/>
      <c r="G10" s="287"/>
    </row>
    <row r="11" spans="1:8" ht="16.5">
      <c r="A11" s="457" t="s">
        <v>304</v>
      </c>
      <c r="B11" s="457"/>
      <c r="C11" s="457"/>
      <c r="D11" s="457" t="s">
        <v>305</v>
      </c>
      <c r="E11" s="457"/>
      <c r="F11" s="457"/>
      <c r="G11" s="288"/>
    </row>
    <row r="12" spans="1:8">
      <c r="A12" s="288"/>
      <c r="B12" s="288"/>
      <c r="C12" s="288"/>
      <c r="D12" s="288"/>
      <c r="E12" s="288"/>
      <c r="F12" s="288"/>
      <c r="G12" s="85"/>
      <c r="H12" s="21"/>
    </row>
    <row r="13" spans="1:8" ht="15" customHeight="1">
      <c r="A13" s="456" t="s">
        <v>306</v>
      </c>
      <c r="B13" s="456"/>
      <c r="C13" s="456"/>
      <c r="D13" s="456"/>
      <c r="E13" s="456"/>
      <c r="F13" s="456"/>
      <c r="G13" s="124"/>
    </row>
    <row r="14" spans="1:8" ht="32.450000000000003" customHeight="1">
      <c r="A14" s="79" t="s">
        <v>102</v>
      </c>
      <c r="B14" s="387"/>
      <c r="C14" s="388"/>
      <c r="D14" s="141" t="s">
        <v>103</v>
      </c>
      <c r="E14" s="142"/>
      <c r="F14" s="80" t="s">
        <v>18</v>
      </c>
      <c r="G14" s="124"/>
    </row>
    <row r="15" spans="1:8" ht="32.450000000000003" customHeight="1">
      <c r="A15" s="14" t="s">
        <v>307</v>
      </c>
      <c r="B15" s="344" t="s">
        <v>308</v>
      </c>
      <c r="C15" s="343"/>
      <c r="D15" s="141"/>
      <c r="E15" s="142"/>
      <c r="F15" s="80" t="s">
        <v>167</v>
      </c>
      <c r="G15" s="124"/>
    </row>
    <row r="16" spans="1:8" ht="14.45" customHeight="1">
      <c r="A16" s="14" t="s">
        <v>104</v>
      </c>
      <c r="B16" s="389" t="s">
        <v>309</v>
      </c>
      <c r="C16" s="390"/>
      <c r="D16" s="9"/>
      <c r="E16" s="143">
        <v>4</v>
      </c>
      <c r="F16" s="81" t="s">
        <v>106</v>
      </c>
      <c r="G16" s="124"/>
    </row>
    <row r="17" spans="1:10" ht="16.5">
      <c r="A17" s="14" t="s">
        <v>107</v>
      </c>
      <c r="B17" s="391" t="s">
        <v>108</v>
      </c>
      <c r="C17" s="392"/>
      <c r="D17" s="9"/>
      <c r="E17" s="11">
        <v>100</v>
      </c>
      <c r="F17" s="81" t="s">
        <v>109</v>
      </c>
      <c r="G17" s="124"/>
    </row>
    <row r="18" spans="1:10">
      <c r="A18" s="14" t="s">
        <v>110</v>
      </c>
      <c r="B18" s="391" t="s">
        <v>111</v>
      </c>
      <c r="C18" s="392"/>
      <c r="D18" s="144">
        <f>'Zał. A2 Koszty całkowite'!D111</f>
        <v>0</v>
      </c>
      <c r="E18" s="11">
        <f>D18*E17</f>
        <v>0</v>
      </c>
      <c r="F18" s="81" t="s">
        <v>109</v>
      </c>
      <c r="G18" s="124"/>
    </row>
    <row r="19" spans="1:10">
      <c r="A19" s="14" t="s">
        <v>113</v>
      </c>
      <c r="B19" s="391" t="s">
        <v>114</v>
      </c>
      <c r="C19" s="392"/>
      <c r="D19" s="144">
        <f>'Zał. A2 Koszty całkowite'!D112</f>
        <v>0</v>
      </c>
      <c r="E19" s="11">
        <f>D19*E17</f>
        <v>0</v>
      </c>
      <c r="F19" s="81" t="s">
        <v>109</v>
      </c>
      <c r="G19" s="124"/>
    </row>
    <row r="20" spans="1:10">
      <c r="A20" s="15" t="s">
        <v>115</v>
      </c>
      <c r="B20" s="389" t="s">
        <v>116</v>
      </c>
      <c r="C20" s="390"/>
      <c r="D20" s="82"/>
      <c r="E20" s="11">
        <v>4.4400000000000004</v>
      </c>
      <c r="F20" s="81" t="s">
        <v>117</v>
      </c>
      <c r="G20" s="124"/>
    </row>
    <row r="21" spans="1:10" ht="15" thickBot="1">
      <c r="A21" s="15" t="s">
        <v>118</v>
      </c>
      <c r="B21" s="389" t="s">
        <v>119</v>
      </c>
      <c r="C21" s="390"/>
      <c r="D21" s="82"/>
      <c r="E21" s="11">
        <v>6.05</v>
      </c>
      <c r="F21" s="81" t="s">
        <v>117</v>
      </c>
      <c r="G21" s="124"/>
      <c r="J21" s="22"/>
    </row>
    <row r="22" spans="1:10" ht="18.75">
      <c r="A22" s="393" t="s">
        <v>120</v>
      </c>
      <c r="B22" s="394"/>
      <c r="C22" s="394"/>
      <c r="D22" s="395"/>
      <c r="E22" s="145">
        <f>(E17-E18-E19)*E16</f>
        <v>400</v>
      </c>
      <c r="F22" s="83"/>
      <c r="G22" s="124"/>
      <c r="J22" s="22"/>
    </row>
    <row r="23" spans="1:10" ht="18.75">
      <c r="A23" s="384" t="s">
        <v>310</v>
      </c>
      <c r="B23" s="385"/>
      <c r="C23" s="385"/>
      <c r="D23" s="386"/>
      <c r="E23" s="493">
        <f>'Zał. A2 Koszty całkowite'!E116</f>
        <v>0</v>
      </c>
      <c r="F23" s="84"/>
      <c r="G23" s="124"/>
    </row>
    <row r="24" spans="1:10" ht="14.45" customHeight="1">
      <c r="A24" s="146"/>
      <c r="B24" s="146"/>
      <c r="C24" s="146"/>
      <c r="D24" s="146"/>
      <c r="E24" s="147"/>
      <c r="F24" s="124"/>
      <c r="G24" s="124"/>
    </row>
    <row r="25" spans="1:10" ht="24" customHeight="1" thickBot="1">
      <c r="A25" s="458" t="s">
        <v>311</v>
      </c>
      <c r="B25" s="459"/>
      <c r="C25" s="459"/>
      <c r="D25" s="459"/>
      <c r="E25" s="148">
        <f>(E17-E18-E19)*E16/(E17*E16)*100</f>
        <v>100</v>
      </c>
      <c r="F25" s="149" t="s">
        <v>167</v>
      </c>
    </row>
    <row r="26" spans="1:10">
      <c r="B26" s="150"/>
      <c r="C26" s="150"/>
    </row>
    <row r="27" spans="1:10">
      <c r="B27" s="23"/>
      <c r="C27" s="23"/>
    </row>
    <row r="28" spans="1:10">
      <c r="B28" s="23"/>
      <c r="C28" s="23"/>
    </row>
  </sheetData>
  <sheetProtection formatCells="0" formatColumns="0" formatRows="0" insertColumns="0" insertRows="0" insertHyperlinks="0" deleteColumns="0" deleteRows="0" sort="0" autoFilter="0" pivotTables="0"/>
  <mergeCells count="15">
    <mergeCell ref="A22:D22"/>
    <mergeCell ref="A23:D23"/>
    <mergeCell ref="A25:D25"/>
    <mergeCell ref="B16:C16"/>
    <mergeCell ref="B17:C17"/>
    <mergeCell ref="B18:C18"/>
    <mergeCell ref="B19:C19"/>
    <mergeCell ref="B20:C20"/>
    <mergeCell ref="B21:C21"/>
    <mergeCell ref="B14:C14"/>
    <mergeCell ref="A1:G3"/>
    <mergeCell ref="A13:F13"/>
    <mergeCell ref="A11:C11"/>
    <mergeCell ref="D11:F11"/>
    <mergeCell ref="A8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3"/>
  <sheetViews>
    <sheetView zoomScale="80" zoomScaleNormal="80" workbookViewId="0">
      <pane ySplit="3" topLeftCell="A4" activePane="bottomLeft" state="frozen"/>
      <selection pane="bottomLeft" activeCell="I9" sqref="I9"/>
      <selection activeCell="H13" sqref="H13"/>
    </sheetView>
  </sheetViews>
  <sheetFormatPr defaultColWidth="8.7109375" defaultRowHeight="14.45"/>
  <cols>
    <col min="1" max="1" width="21.7109375" style="44" customWidth="1"/>
    <col min="2" max="2" width="57" style="44" customWidth="1"/>
    <col min="3" max="3" width="18.85546875" style="44" customWidth="1"/>
    <col min="4" max="5" width="12.42578125" style="44" customWidth="1"/>
    <col min="6" max="6" width="18.42578125" style="44" customWidth="1"/>
    <col min="7" max="7" width="36.42578125" style="44" customWidth="1"/>
    <col min="8" max="16384" width="8.7109375" style="44"/>
  </cols>
  <sheetData>
    <row r="1" spans="1:8">
      <c r="A1" s="427" t="s">
        <v>312</v>
      </c>
      <c r="B1" s="428"/>
      <c r="C1" s="428"/>
      <c r="D1" s="428"/>
      <c r="E1" s="428"/>
      <c r="F1" s="428"/>
      <c r="G1" s="429"/>
    </row>
    <row r="2" spans="1:8">
      <c r="A2" s="430"/>
      <c r="B2" s="431"/>
      <c r="C2" s="431"/>
      <c r="D2" s="431"/>
      <c r="E2" s="431"/>
      <c r="F2" s="431"/>
      <c r="G2" s="432"/>
    </row>
    <row r="3" spans="1:8" ht="15" customHeight="1">
      <c r="A3" s="430"/>
      <c r="B3" s="431"/>
      <c r="C3" s="431"/>
      <c r="D3" s="431"/>
      <c r="E3" s="431"/>
      <c r="F3" s="431"/>
      <c r="G3" s="432"/>
    </row>
    <row r="4" spans="1:8" ht="15" customHeight="1">
      <c r="A4" s="286" t="s">
        <v>1</v>
      </c>
      <c r="B4" s="329"/>
      <c r="C4" s="347"/>
      <c r="D4" s="347"/>
      <c r="E4" s="347"/>
      <c r="F4" s="347"/>
      <c r="G4" s="347"/>
    </row>
    <row r="5" spans="1:8" ht="15" customHeight="1">
      <c r="A5" s="325"/>
      <c r="B5" s="328" t="s">
        <v>2</v>
      </c>
      <c r="C5" s="347"/>
      <c r="D5" s="347"/>
      <c r="E5" s="347"/>
      <c r="F5" s="347"/>
      <c r="G5" s="347"/>
    </row>
    <row r="6" spans="1:8" ht="15" customHeight="1">
      <c r="A6" s="326"/>
      <c r="B6" s="327" t="s">
        <v>4</v>
      </c>
      <c r="C6" s="347"/>
      <c r="D6" s="347"/>
      <c r="E6" s="347"/>
      <c r="F6" s="347"/>
      <c r="G6" s="347"/>
      <c r="H6" s="330"/>
    </row>
    <row r="7" spans="1:8" ht="15" customHeight="1" thickBot="1">
      <c r="A7" s="347"/>
      <c r="B7" s="347"/>
      <c r="C7" s="347"/>
      <c r="D7" s="347"/>
      <c r="E7" s="347"/>
      <c r="F7" s="347"/>
      <c r="G7" s="347"/>
      <c r="H7" s="330"/>
    </row>
    <row r="8" spans="1:8" ht="15" thickBot="1">
      <c r="A8" s="360" t="s">
        <v>303</v>
      </c>
      <c r="B8" s="358"/>
      <c r="C8" s="358"/>
      <c r="D8" s="358"/>
      <c r="E8" s="358"/>
      <c r="F8" s="358"/>
      <c r="G8" s="359"/>
      <c r="H8" s="330"/>
    </row>
    <row r="9" spans="1:8">
      <c r="A9" s="280"/>
      <c r="B9" s="287"/>
      <c r="C9" s="287"/>
      <c r="D9" s="287"/>
      <c r="E9" s="287"/>
      <c r="F9" s="287"/>
      <c r="G9" s="287"/>
    </row>
    <row r="10" spans="1:8">
      <c r="A10" s="280"/>
      <c r="B10" s="287"/>
      <c r="C10" s="287"/>
      <c r="D10" s="287"/>
      <c r="E10" s="287"/>
      <c r="F10" s="287"/>
      <c r="G10" s="287"/>
    </row>
    <row r="11" spans="1:8">
      <c r="A11" s="280"/>
      <c r="B11" s="287"/>
      <c r="C11" s="287"/>
      <c r="D11" s="287"/>
      <c r="E11" s="287"/>
      <c r="F11" s="287"/>
      <c r="G11" s="287"/>
    </row>
    <row r="12" spans="1:8">
      <c r="A12" s="279"/>
      <c r="B12" s="288"/>
      <c r="C12" s="288"/>
      <c r="D12" s="288"/>
      <c r="E12" s="288"/>
      <c r="F12" s="288"/>
      <c r="G12" s="288"/>
    </row>
    <row r="13" spans="1:8">
      <c r="A13" s="379" t="s">
        <v>313</v>
      </c>
      <c r="B13" s="380"/>
      <c r="C13" s="381"/>
      <c r="D13" s="382" t="s">
        <v>314</v>
      </c>
      <c r="E13" s="380"/>
      <c r="F13" s="383"/>
      <c r="G13" s="85"/>
    </row>
    <row r="14" spans="1:8">
      <c r="A14" s="288"/>
      <c r="B14" s="288"/>
      <c r="C14" s="288"/>
      <c r="D14" s="464" t="s">
        <v>102</v>
      </c>
      <c r="E14" s="464"/>
      <c r="F14" s="464"/>
      <c r="G14" s="85"/>
    </row>
    <row r="15" spans="1:8">
      <c r="A15" s="282" t="s">
        <v>315</v>
      </c>
      <c r="B15" s="282"/>
      <c r="C15" s="283" t="s">
        <v>315</v>
      </c>
      <c r="D15" s="463" t="s">
        <v>316</v>
      </c>
      <c r="E15" s="463"/>
      <c r="F15" s="463"/>
      <c r="G15" s="85"/>
    </row>
    <row r="16" spans="1:8" ht="91.5" customHeight="1">
      <c r="A16" s="282" t="s">
        <v>317</v>
      </c>
      <c r="B16" s="282"/>
      <c r="C16" s="283" t="s">
        <v>317</v>
      </c>
      <c r="D16" s="463" t="s">
        <v>318</v>
      </c>
      <c r="E16" s="463"/>
      <c r="F16" s="463"/>
      <c r="G16" s="85"/>
    </row>
    <row r="17" spans="1:8" ht="77.45" customHeight="1">
      <c r="A17" s="282" t="s">
        <v>153</v>
      </c>
      <c r="B17" s="282"/>
      <c r="C17" s="283" t="s">
        <v>153</v>
      </c>
      <c r="D17" s="463" t="s">
        <v>257</v>
      </c>
      <c r="E17" s="463"/>
      <c r="F17" s="463"/>
      <c r="G17" s="85"/>
    </row>
    <row r="18" spans="1:8">
      <c r="A18" s="288"/>
      <c r="B18" s="288"/>
      <c r="C18" s="288"/>
      <c r="D18" s="288"/>
      <c r="E18" s="288"/>
      <c r="F18" s="288"/>
      <c r="G18" s="288"/>
    </row>
    <row r="19" spans="1:8" ht="15" thickBot="1">
      <c r="A19" s="462" t="s">
        <v>319</v>
      </c>
      <c r="B19" s="462"/>
      <c r="C19" s="462"/>
      <c r="D19" s="462"/>
      <c r="E19" s="462"/>
      <c r="F19" s="462"/>
      <c r="G19" s="288"/>
    </row>
    <row r="20" spans="1:8" ht="87">
      <c r="A20" s="151" t="s">
        <v>320</v>
      </c>
      <c r="B20" s="152" t="s">
        <v>16</v>
      </c>
      <c r="C20" s="152" t="s">
        <v>321</v>
      </c>
      <c r="D20" s="153" t="s">
        <v>322</v>
      </c>
      <c r="E20" s="153" t="s">
        <v>323</v>
      </c>
      <c r="F20" s="154" t="s">
        <v>324</v>
      </c>
      <c r="G20" s="85"/>
      <c r="H20" s="21"/>
    </row>
    <row r="21" spans="1:8" ht="15" customHeight="1">
      <c r="A21" s="155">
        <v>1</v>
      </c>
      <c r="B21" s="156">
        <v>2</v>
      </c>
      <c r="C21" s="156">
        <v>3</v>
      </c>
      <c r="D21" s="157">
        <v>4</v>
      </c>
      <c r="E21" s="157">
        <v>5</v>
      </c>
      <c r="F21" s="158">
        <v>6</v>
      </c>
      <c r="G21" s="85"/>
    </row>
    <row r="22" spans="1:8" ht="15" customHeight="1">
      <c r="A22" s="44">
        <v>1</v>
      </c>
      <c r="B22" s="5" t="s">
        <v>325</v>
      </c>
      <c r="C22" s="159"/>
      <c r="D22" s="159"/>
      <c r="E22" s="159"/>
      <c r="F22" s="160"/>
      <c r="G22" s="85"/>
    </row>
    <row r="23" spans="1:8" ht="15" customHeight="1">
      <c r="A23" s="161" t="s">
        <v>22</v>
      </c>
      <c r="B23" s="305"/>
      <c r="C23" s="305"/>
      <c r="D23" s="305"/>
      <c r="E23" s="305"/>
      <c r="F23" s="306"/>
      <c r="G23" s="85"/>
    </row>
    <row r="24" spans="1:8" ht="15" customHeight="1">
      <c r="A24" s="161" t="s">
        <v>24</v>
      </c>
      <c r="B24" s="305"/>
      <c r="C24" s="305"/>
      <c r="D24" s="305"/>
      <c r="E24" s="305"/>
      <c r="F24" s="306"/>
      <c r="G24" s="85"/>
    </row>
    <row r="25" spans="1:8" ht="14.45" customHeight="1">
      <c r="A25" s="161" t="s">
        <v>25</v>
      </c>
      <c r="B25" s="305"/>
      <c r="C25" s="305"/>
      <c r="D25" s="305"/>
      <c r="E25" s="305"/>
      <c r="F25" s="306"/>
      <c r="G25" s="85"/>
    </row>
    <row r="26" spans="1:8" ht="15" customHeight="1">
      <c r="A26" s="161" t="s">
        <v>26</v>
      </c>
      <c r="B26" s="305"/>
      <c r="C26" s="305"/>
      <c r="D26" s="305"/>
      <c r="E26" s="305"/>
      <c r="F26" s="306"/>
      <c r="G26" s="85"/>
    </row>
    <row r="27" spans="1:8" ht="14.45" customHeight="1" thickBot="1">
      <c r="A27" s="162" t="s">
        <v>27</v>
      </c>
      <c r="B27" s="307"/>
      <c r="C27" s="307"/>
      <c r="D27" s="307"/>
      <c r="E27" s="307"/>
      <c r="F27" s="308"/>
      <c r="G27" s="85"/>
    </row>
    <row r="28" spans="1:8">
      <c r="A28" s="44">
        <v>2</v>
      </c>
      <c r="B28" s="163" t="s">
        <v>326</v>
      </c>
      <c r="C28" s="164"/>
      <c r="D28" s="164"/>
      <c r="E28" s="164"/>
      <c r="F28" s="165"/>
      <c r="G28" s="85"/>
    </row>
    <row r="29" spans="1:8">
      <c r="A29" s="166" t="s">
        <v>54</v>
      </c>
      <c r="B29" s="180"/>
      <c r="C29" s="180"/>
      <c r="D29" s="309"/>
      <c r="E29" s="180"/>
      <c r="F29" s="310"/>
      <c r="G29" s="85"/>
    </row>
    <row r="30" spans="1:8">
      <c r="A30" s="166" t="s">
        <v>55</v>
      </c>
      <c r="B30" s="180"/>
      <c r="C30" s="180"/>
      <c r="D30" s="309"/>
      <c r="E30" s="180"/>
      <c r="F30" s="310"/>
      <c r="G30" s="85"/>
    </row>
    <row r="31" spans="1:8">
      <c r="A31" s="166" t="s">
        <v>56</v>
      </c>
      <c r="B31" s="180"/>
      <c r="C31" s="180"/>
      <c r="D31" s="309"/>
      <c r="E31" s="180"/>
      <c r="F31" s="310"/>
      <c r="G31" s="85"/>
    </row>
    <row r="32" spans="1:8">
      <c r="A32" s="166" t="s">
        <v>57</v>
      </c>
      <c r="B32" s="180"/>
      <c r="C32" s="180"/>
      <c r="D32" s="309"/>
      <c r="E32" s="180"/>
      <c r="F32" s="310"/>
      <c r="G32" s="85"/>
    </row>
    <row r="33" spans="1:13" ht="15" thickBot="1">
      <c r="A33" s="162" t="s">
        <v>58</v>
      </c>
      <c r="B33" s="307"/>
      <c r="C33" s="307"/>
      <c r="D33" s="307"/>
      <c r="E33" s="307"/>
      <c r="F33" s="308"/>
      <c r="G33" s="85"/>
    </row>
    <row r="34" spans="1:13">
      <c r="A34" s="44">
        <v>3</v>
      </c>
      <c r="B34" s="164" t="s">
        <v>327</v>
      </c>
      <c r="C34" s="164"/>
      <c r="D34" s="164"/>
      <c r="E34" s="164"/>
      <c r="F34" s="165"/>
      <c r="G34" s="85"/>
      <c r="J34" s="22"/>
    </row>
    <row r="35" spans="1:13">
      <c r="A35" s="166" t="s">
        <v>67</v>
      </c>
      <c r="B35" s="180"/>
      <c r="C35" s="180"/>
      <c r="D35" s="180"/>
      <c r="E35" s="180"/>
      <c r="F35" s="310"/>
      <c r="G35" s="85"/>
      <c r="J35" s="22"/>
    </row>
    <row r="36" spans="1:13">
      <c r="A36" s="166" t="s">
        <v>68</v>
      </c>
      <c r="B36" s="180"/>
      <c r="C36" s="180"/>
      <c r="D36" s="180"/>
      <c r="E36" s="180"/>
      <c r="F36" s="310"/>
      <c r="G36" s="85"/>
      <c r="J36" s="22"/>
    </row>
    <row r="37" spans="1:13">
      <c r="A37" s="166" t="s">
        <v>69</v>
      </c>
      <c r="B37" s="180"/>
      <c r="C37" s="180"/>
      <c r="D37" s="180"/>
      <c r="E37" s="180"/>
      <c r="F37" s="310"/>
      <c r="G37" s="85"/>
      <c r="J37" s="22"/>
    </row>
    <row r="38" spans="1:13">
      <c r="A38" s="166" t="s">
        <v>70</v>
      </c>
      <c r="B38" s="180"/>
      <c r="C38" s="180"/>
      <c r="D38" s="180"/>
      <c r="E38" s="180"/>
      <c r="F38" s="310"/>
      <c r="G38" s="85"/>
      <c r="J38" s="22"/>
    </row>
    <row r="39" spans="1:13" ht="15" thickBot="1">
      <c r="A39" s="162" t="s">
        <v>71</v>
      </c>
      <c r="B39" s="307"/>
      <c r="C39" s="307"/>
      <c r="D39" s="307"/>
      <c r="E39" s="307"/>
      <c r="F39" s="308"/>
      <c r="G39" s="85"/>
    </row>
    <row r="40" spans="1:13">
      <c r="A40" s="6">
        <v>4</v>
      </c>
      <c r="B40" s="164" t="s">
        <v>328</v>
      </c>
      <c r="C40" s="164"/>
      <c r="D40" s="164"/>
      <c r="E40" s="164"/>
      <c r="F40" s="165"/>
      <c r="G40" s="85"/>
    </row>
    <row r="41" spans="1:13">
      <c r="A41" s="166" t="s">
        <v>76</v>
      </c>
      <c r="B41" s="309"/>
      <c r="C41" s="309"/>
      <c r="D41" s="309"/>
      <c r="E41" s="309"/>
      <c r="F41" s="311"/>
      <c r="G41" s="85"/>
    </row>
    <row r="42" spans="1:13">
      <c r="A42" s="166" t="s">
        <v>77</v>
      </c>
      <c r="B42" s="309"/>
      <c r="C42" s="309"/>
      <c r="D42" s="309"/>
      <c r="E42" s="309"/>
      <c r="F42" s="311"/>
      <c r="G42" s="85"/>
    </row>
    <row r="43" spans="1:13">
      <c r="A43" s="166" t="s">
        <v>78</v>
      </c>
      <c r="B43" s="309"/>
      <c r="C43" s="309"/>
      <c r="D43" s="309"/>
      <c r="E43" s="309"/>
      <c r="F43" s="311"/>
      <c r="G43" s="85"/>
    </row>
    <row r="44" spans="1:13">
      <c r="A44" s="166" t="s">
        <v>79</v>
      </c>
      <c r="B44" s="180"/>
      <c r="C44" s="180"/>
      <c r="D44" s="180"/>
      <c r="E44" s="180"/>
      <c r="F44" s="310"/>
      <c r="G44" s="85"/>
    </row>
    <row r="45" spans="1:13" ht="24" customHeight="1" thickBot="1">
      <c r="A45" s="166" t="s">
        <v>80</v>
      </c>
      <c r="B45" s="307"/>
      <c r="C45" s="307"/>
      <c r="D45" s="307"/>
      <c r="E45" s="307"/>
      <c r="F45" s="308"/>
      <c r="G45" s="85"/>
      <c r="H45" s="55"/>
      <c r="I45" s="55"/>
      <c r="J45" s="55"/>
      <c r="K45" s="55"/>
      <c r="L45" s="55"/>
      <c r="M45" s="56"/>
    </row>
    <row r="46" spans="1:13">
      <c r="A46" s="6">
        <v>5</v>
      </c>
      <c r="B46" s="164" t="s">
        <v>329</v>
      </c>
      <c r="C46" s="164"/>
      <c r="D46" s="164"/>
      <c r="E46" s="164"/>
      <c r="F46" s="165"/>
      <c r="G46" s="85"/>
    </row>
    <row r="47" spans="1:13">
      <c r="A47" s="166" t="s">
        <v>84</v>
      </c>
      <c r="B47" s="180"/>
      <c r="C47" s="180"/>
      <c r="D47" s="180"/>
      <c r="E47" s="180"/>
      <c r="F47" s="310"/>
      <c r="G47" s="85"/>
    </row>
    <row r="48" spans="1:13">
      <c r="A48" s="166" t="s">
        <v>85</v>
      </c>
      <c r="B48" s="180"/>
      <c r="C48" s="180"/>
      <c r="D48" s="180"/>
      <c r="E48" s="180"/>
      <c r="F48" s="310"/>
      <c r="G48" s="85"/>
    </row>
    <row r="49" spans="1:7">
      <c r="A49" s="166" t="s">
        <v>86</v>
      </c>
      <c r="B49" s="180"/>
      <c r="C49" s="180"/>
      <c r="D49" s="180"/>
      <c r="E49" s="180"/>
      <c r="F49" s="310"/>
      <c r="G49" s="85"/>
    </row>
    <row r="50" spans="1:7">
      <c r="A50" s="166" t="s">
        <v>87</v>
      </c>
      <c r="B50" s="180"/>
      <c r="C50" s="180"/>
      <c r="D50" s="180"/>
      <c r="E50" s="180"/>
      <c r="F50" s="310"/>
      <c r="G50" s="85"/>
    </row>
    <row r="51" spans="1:7">
      <c r="A51" s="166" t="s">
        <v>88</v>
      </c>
      <c r="B51" s="180"/>
      <c r="C51" s="180"/>
      <c r="D51" s="180"/>
      <c r="E51" s="180"/>
      <c r="F51" s="310"/>
      <c r="G51" s="85"/>
    </row>
    <row r="52" spans="1:7">
      <c r="A52" s="6">
        <v>6</v>
      </c>
      <c r="B52" s="164" t="s">
        <v>330</v>
      </c>
      <c r="C52" s="164"/>
      <c r="D52" s="164"/>
      <c r="E52" s="164"/>
      <c r="F52" s="165"/>
      <c r="G52" s="85"/>
    </row>
    <row r="53" spans="1:7">
      <c r="A53" s="167" t="s">
        <v>331</v>
      </c>
      <c r="B53" s="309"/>
      <c r="C53" s="309"/>
      <c r="D53" s="309"/>
      <c r="E53" s="309"/>
      <c r="F53" s="311"/>
      <c r="G53" s="85"/>
    </row>
    <row r="54" spans="1:7">
      <c r="A54" s="167" t="s">
        <v>332</v>
      </c>
      <c r="B54" s="309"/>
      <c r="C54" s="309"/>
      <c r="D54" s="309"/>
      <c r="E54" s="309"/>
      <c r="F54" s="311"/>
      <c r="G54" s="85"/>
    </row>
    <row r="55" spans="1:7">
      <c r="A55" s="167" t="s">
        <v>333</v>
      </c>
      <c r="B55" s="309"/>
      <c r="C55" s="309"/>
      <c r="D55" s="309"/>
      <c r="E55" s="309"/>
      <c r="F55" s="311"/>
      <c r="G55" s="85"/>
    </row>
    <row r="56" spans="1:7">
      <c r="A56" s="167" t="s">
        <v>334</v>
      </c>
      <c r="B56" s="309"/>
      <c r="C56" s="309"/>
      <c r="D56" s="309"/>
      <c r="E56" s="309"/>
      <c r="F56" s="311"/>
      <c r="G56" s="85"/>
    </row>
    <row r="57" spans="1:7">
      <c r="A57" s="167" t="s">
        <v>335</v>
      </c>
      <c r="B57" s="309"/>
      <c r="C57" s="309"/>
      <c r="D57" s="309"/>
      <c r="E57" s="309"/>
      <c r="F57" s="311"/>
      <c r="G57" s="85"/>
    </row>
    <row r="58" spans="1:7" ht="29.1" customHeight="1">
      <c r="A58" s="168">
        <v>7</v>
      </c>
      <c r="B58" s="168" t="s">
        <v>336</v>
      </c>
      <c r="C58" s="164"/>
      <c r="D58" s="164"/>
      <c r="E58" s="164"/>
      <c r="F58" s="165"/>
      <c r="G58" s="85"/>
    </row>
    <row r="59" spans="1:7">
      <c r="A59" s="166" t="s">
        <v>337</v>
      </c>
      <c r="B59" s="180"/>
      <c r="C59" s="180"/>
      <c r="D59" s="180"/>
      <c r="E59" s="180"/>
      <c r="F59" s="310"/>
      <c r="G59" s="85"/>
    </row>
    <row r="60" spans="1:7">
      <c r="A60" s="166" t="s">
        <v>338</v>
      </c>
      <c r="B60" s="180"/>
      <c r="C60" s="180"/>
      <c r="D60" s="180"/>
      <c r="E60" s="180"/>
      <c r="F60" s="310"/>
      <c r="G60" s="85"/>
    </row>
    <row r="61" spans="1:7">
      <c r="A61" s="166" t="s">
        <v>339</v>
      </c>
      <c r="B61" s="180"/>
      <c r="C61" s="180"/>
      <c r="D61" s="180"/>
      <c r="E61" s="180"/>
      <c r="F61" s="310"/>
      <c r="G61" s="85"/>
    </row>
    <row r="62" spans="1:7">
      <c r="A62" s="166" t="s">
        <v>340</v>
      </c>
      <c r="B62" s="180"/>
      <c r="C62" s="180"/>
      <c r="D62" s="180"/>
      <c r="E62" s="180"/>
      <c r="F62" s="310"/>
      <c r="G62" s="85"/>
    </row>
    <row r="63" spans="1:7">
      <c r="A63" s="166" t="s">
        <v>341</v>
      </c>
      <c r="B63" s="180"/>
      <c r="C63" s="180"/>
      <c r="D63" s="180"/>
      <c r="E63" s="180"/>
      <c r="F63" s="310"/>
      <c r="G63" s="85"/>
    </row>
    <row r="64" spans="1:7" ht="15" thickBot="1">
      <c r="A64" s="274"/>
      <c r="B64" s="275" t="s">
        <v>342</v>
      </c>
      <c r="C64" s="275"/>
      <c r="D64" s="275"/>
      <c r="E64" s="275"/>
      <c r="F64" s="276">
        <f>SUM(F22:F63)</f>
        <v>0</v>
      </c>
      <c r="G64" s="85"/>
    </row>
    <row r="65" spans="1:7" ht="18.95" thickBot="1">
      <c r="A65" s="223"/>
      <c r="B65" s="278" t="s">
        <v>343</v>
      </c>
      <c r="C65" s="278"/>
      <c r="D65" s="278"/>
      <c r="E65" s="278"/>
      <c r="F65" s="277">
        <f>'Zał. A2 Koszty całkowite'!C15</f>
        <v>0</v>
      </c>
      <c r="G65" s="113"/>
    </row>
    <row r="66" spans="1:7" ht="57.95">
      <c r="A66" s="223"/>
      <c r="B66" s="278" t="s">
        <v>344</v>
      </c>
      <c r="C66" s="223"/>
      <c r="D66" s="223"/>
      <c r="E66" s="223"/>
      <c r="F66" s="223"/>
      <c r="G66" s="85"/>
    </row>
    <row r="67" spans="1:7">
      <c r="A67" s="223"/>
      <c r="B67" s="278"/>
      <c r="C67" s="223"/>
      <c r="D67" s="223"/>
      <c r="E67" s="223"/>
      <c r="F67" s="223"/>
      <c r="G67" s="85"/>
    </row>
    <row r="68" spans="1:7" ht="15" thickBot="1">
      <c r="A68" s="85"/>
      <c r="B68" s="85"/>
      <c r="C68" s="85"/>
      <c r="D68" s="85"/>
      <c r="E68" s="85"/>
      <c r="F68" s="85"/>
      <c r="G68" s="85"/>
    </row>
    <row r="69" spans="1:7" ht="24" customHeight="1" thickBot="1">
      <c r="A69" s="410" t="s">
        <v>345</v>
      </c>
      <c r="B69" s="460"/>
      <c r="C69" s="460"/>
      <c r="D69" s="411"/>
      <c r="E69" s="169" t="e">
        <f>F64/F65</f>
        <v>#DIV/0!</v>
      </c>
      <c r="F69" s="170" t="s">
        <v>346</v>
      </c>
    </row>
    <row r="70" spans="1:7">
      <c r="A70" s="3"/>
      <c r="B70" s="171"/>
      <c r="C70" s="171"/>
      <c r="D70" s="3"/>
      <c r="E70" s="3"/>
      <c r="F70" s="3"/>
      <c r="G70" s="3"/>
    </row>
    <row r="71" spans="1:7">
      <c r="A71" s="3"/>
      <c r="B71" s="461"/>
      <c r="C71" s="461"/>
      <c r="D71" s="3"/>
      <c r="E71" s="3"/>
      <c r="F71" s="3"/>
      <c r="G71" s="3"/>
    </row>
    <row r="72" spans="1:7">
      <c r="A72" s="3"/>
      <c r="B72" s="172"/>
      <c r="C72" s="172"/>
      <c r="D72" s="3"/>
      <c r="E72" s="3"/>
      <c r="F72" s="3"/>
      <c r="G72" s="3"/>
    </row>
    <row r="73" spans="1:7">
      <c r="B73" s="23"/>
      <c r="C73" s="23"/>
    </row>
  </sheetData>
  <mergeCells count="11">
    <mergeCell ref="A69:D69"/>
    <mergeCell ref="B71:C71"/>
    <mergeCell ref="A1:G3"/>
    <mergeCell ref="A8:G8"/>
    <mergeCell ref="A19:F19"/>
    <mergeCell ref="A13:C13"/>
    <mergeCell ref="D13:F13"/>
    <mergeCell ref="D15:F15"/>
    <mergeCell ref="D16:F16"/>
    <mergeCell ref="D17:F17"/>
    <mergeCell ref="D14:F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2"/>
  <sheetViews>
    <sheetView zoomScale="60" zoomScaleNormal="60" workbookViewId="0">
      <selection activeCell="I16" sqref="I16"/>
    </sheetView>
  </sheetViews>
  <sheetFormatPr defaultColWidth="8.85546875" defaultRowHeight="14.45"/>
  <cols>
    <col min="1" max="1" width="14" style="3" customWidth="1"/>
    <col min="2" max="2" width="61.42578125" style="4" customWidth="1"/>
    <col min="3" max="3" width="19.85546875" style="4" customWidth="1"/>
    <col min="4" max="4" width="22.140625" style="4" customWidth="1"/>
    <col min="5" max="5" width="20.42578125" style="4" customWidth="1"/>
    <col min="6" max="6" width="20.42578125" style="4" bestFit="1" customWidth="1"/>
    <col min="7" max="7" width="20.42578125" style="4" customWidth="1"/>
    <col min="8" max="8" width="23" style="4" customWidth="1"/>
    <col min="9" max="9" width="11.42578125" style="3" customWidth="1"/>
    <col min="10" max="10" width="16.42578125" style="3" customWidth="1"/>
    <col min="11" max="11" width="11.42578125" style="3" customWidth="1"/>
    <col min="12" max="12" width="16.42578125" style="3" customWidth="1"/>
    <col min="13" max="13" width="26.42578125" style="3" customWidth="1"/>
    <col min="14" max="14" width="16.42578125" style="3" customWidth="1"/>
    <col min="15" max="15" width="11.5703125" style="3" customWidth="1"/>
    <col min="16" max="16" width="17.42578125" style="3" customWidth="1"/>
    <col min="17" max="23" width="11.5703125" style="3" customWidth="1"/>
    <col min="24" max="16384" width="8.85546875" style="3"/>
  </cols>
  <sheetData>
    <row r="1" spans="1:24">
      <c r="A1" s="427" t="s">
        <v>347</v>
      </c>
      <c r="B1" s="428"/>
      <c r="C1" s="428"/>
      <c r="D1" s="428"/>
      <c r="E1" s="428"/>
      <c r="F1" s="428"/>
      <c r="G1" s="429"/>
    </row>
    <row r="2" spans="1:24">
      <c r="A2" s="430"/>
      <c r="B2" s="431"/>
      <c r="C2" s="431"/>
      <c r="D2" s="431"/>
      <c r="E2" s="431"/>
      <c r="F2" s="431"/>
      <c r="G2" s="432"/>
    </row>
    <row r="3" spans="1:24" ht="15" thickBot="1">
      <c r="A3" s="433"/>
      <c r="B3" s="434"/>
      <c r="C3" s="434"/>
      <c r="D3" s="434"/>
      <c r="E3" s="434"/>
      <c r="F3" s="434"/>
      <c r="G3" s="435"/>
    </row>
    <row r="4" spans="1:24" ht="18.600000000000001">
      <c r="A4" s="286" t="s">
        <v>1</v>
      </c>
      <c r="B4" s="329"/>
      <c r="C4" s="347"/>
      <c r="D4" s="347"/>
      <c r="E4" s="347"/>
      <c r="F4" s="347"/>
      <c r="G4" s="347"/>
    </row>
    <row r="5" spans="1:24" ht="18.600000000000001">
      <c r="A5" s="325"/>
      <c r="B5" s="328" t="s">
        <v>2</v>
      </c>
      <c r="C5" s="347"/>
      <c r="D5" s="347"/>
      <c r="E5" s="347"/>
      <c r="F5" s="347"/>
      <c r="G5" s="347"/>
    </row>
    <row r="6" spans="1:24" ht="18.600000000000001">
      <c r="A6" s="326"/>
      <c r="B6" s="327" t="s">
        <v>4</v>
      </c>
      <c r="C6" s="347"/>
      <c r="D6" s="347"/>
      <c r="E6" s="347"/>
      <c r="F6" s="347"/>
      <c r="G6" s="347"/>
    </row>
    <row r="7" spans="1:24" ht="15" thickBot="1">
      <c r="A7" s="85"/>
      <c r="B7" s="86"/>
      <c r="C7" s="86"/>
      <c r="D7" s="86"/>
      <c r="E7" s="86"/>
      <c r="F7" s="86"/>
      <c r="G7" s="86"/>
    </row>
    <row r="8" spans="1:24" s="4" customFormat="1" ht="15" thickBot="1">
      <c r="A8" s="360" t="s">
        <v>303</v>
      </c>
      <c r="B8" s="358"/>
      <c r="C8" s="358"/>
      <c r="D8" s="358"/>
      <c r="E8" s="358"/>
      <c r="F8" s="358"/>
      <c r="G8" s="35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4" customFormat="1">
      <c r="A9" s="287"/>
      <c r="B9" s="287"/>
      <c r="C9" s="287"/>
      <c r="D9" s="287"/>
      <c r="E9" s="287"/>
      <c r="F9" s="287"/>
      <c r="G9" s="28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4" customFormat="1">
      <c r="A10" s="287"/>
      <c r="B10" s="287"/>
      <c r="C10" s="287"/>
      <c r="D10" s="287"/>
      <c r="E10" s="287"/>
      <c r="F10" s="287"/>
      <c r="G10" s="28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4" customFormat="1">
      <c r="A11" s="287"/>
      <c r="B11" s="287"/>
      <c r="C11" s="287"/>
      <c r="D11" s="287"/>
      <c r="E11" s="287"/>
      <c r="F11" s="287"/>
      <c r="G11" s="28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>
      <c r="A12" s="85"/>
      <c r="B12" s="86"/>
      <c r="C12" s="86"/>
      <c r="D12" s="86"/>
      <c r="E12" s="86"/>
      <c r="F12" s="86"/>
      <c r="G12" s="86"/>
    </row>
    <row r="13" spans="1:24" ht="18.600000000000001">
      <c r="A13" s="379" t="s">
        <v>348</v>
      </c>
      <c r="B13" s="380"/>
      <c r="C13" s="381"/>
      <c r="D13" s="382" t="s">
        <v>349</v>
      </c>
      <c r="E13" s="380"/>
      <c r="F13" s="383"/>
      <c r="G13" s="178"/>
    </row>
    <row r="14" spans="1:24" ht="18.600000000000001">
      <c r="A14" s="288"/>
      <c r="B14" s="288"/>
      <c r="C14" s="288"/>
      <c r="D14" s="464" t="s">
        <v>102</v>
      </c>
      <c r="E14" s="464"/>
      <c r="F14" s="464"/>
      <c r="G14" s="178"/>
    </row>
    <row r="15" spans="1:24" ht="18.600000000000001">
      <c r="A15" s="288"/>
      <c r="B15" s="288"/>
      <c r="C15" s="284" t="s">
        <v>350</v>
      </c>
      <c r="D15" s="472" t="s">
        <v>351</v>
      </c>
      <c r="E15" s="472"/>
      <c r="F15" s="472"/>
      <c r="G15" s="178"/>
    </row>
    <row r="16" spans="1:24" ht="89.1" customHeight="1">
      <c r="A16" s="288"/>
      <c r="B16" s="288"/>
      <c r="C16" s="284" t="s">
        <v>352</v>
      </c>
      <c r="D16" s="470" t="s">
        <v>353</v>
      </c>
      <c r="E16" s="470"/>
      <c r="F16" s="470"/>
      <c r="G16" s="178"/>
    </row>
    <row r="17" spans="1:24" ht="41.1" customHeight="1">
      <c r="A17" s="288"/>
      <c r="B17" s="288"/>
      <c r="C17" s="284" t="s">
        <v>354</v>
      </c>
      <c r="D17" s="470" t="s">
        <v>355</v>
      </c>
      <c r="E17" s="470"/>
      <c r="F17" s="470"/>
      <c r="G17" s="178"/>
    </row>
    <row r="18" spans="1:24">
      <c r="A18" s="85"/>
      <c r="B18" s="86"/>
      <c r="C18" s="86"/>
      <c r="D18" s="471"/>
      <c r="E18" s="471"/>
      <c r="F18" s="471"/>
      <c r="G18" s="86"/>
    </row>
    <row r="19" spans="1:24" s="4" customFormat="1" ht="45" customHeight="1" thickBot="1">
      <c r="A19" s="466" t="s">
        <v>356</v>
      </c>
      <c r="B19" s="466"/>
      <c r="C19" s="466"/>
      <c r="D19" s="466"/>
      <c r="E19" s="466"/>
      <c r="F19" s="466"/>
      <c r="G19" s="8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4" customFormat="1" ht="43.5">
      <c r="A20" s="173" t="s">
        <v>15</v>
      </c>
      <c r="B20" s="153" t="s">
        <v>16</v>
      </c>
      <c r="C20" s="153" t="s">
        <v>17</v>
      </c>
      <c r="D20" s="153" t="s">
        <v>18</v>
      </c>
      <c r="E20" s="174" t="s">
        <v>19</v>
      </c>
      <c r="F20" s="174" t="s">
        <v>20</v>
      </c>
      <c r="G20" s="175" t="s">
        <v>357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4" customFormat="1">
      <c r="A21" s="176" t="s">
        <v>126</v>
      </c>
      <c r="B21" s="180" t="s">
        <v>358</v>
      </c>
      <c r="C21" s="181">
        <v>100</v>
      </c>
      <c r="D21" s="181" t="s">
        <v>359</v>
      </c>
      <c r="E21" s="181">
        <v>100</v>
      </c>
      <c r="F21" s="78">
        <f>C21*E21</f>
        <v>10000</v>
      </c>
      <c r="G21" s="181">
        <v>2500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4" customFormat="1">
      <c r="A22" s="176" t="s">
        <v>185</v>
      </c>
      <c r="B22" s="180"/>
      <c r="C22" s="181"/>
      <c r="D22" s="181"/>
      <c r="E22" s="181"/>
      <c r="F22" s="78">
        <f t="shared" ref="F22:F42" si="0">C22*E22</f>
        <v>0</v>
      </c>
      <c r="G22" s="18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4" customFormat="1">
      <c r="A23" s="176" t="s">
        <v>187</v>
      </c>
      <c r="B23" s="180"/>
      <c r="C23" s="181"/>
      <c r="D23" s="181"/>
      <c r="E23" s="181"/>
      <c r="F23" s="78">
        <f t="shared" si="0"/>
        <v>0</v>
      </c>
      <c r="G23" s="18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4" customFormat="1">
      <c r="A24" s="176" t="s">
        <v>189</v>
      </c>
      <c r="B24" s="180"/>
      <c r="C24" s="181"/>
      <c r="D24" s="181"/>
      <c r="E24" s="181"/>
      <c r="F24" s="78">
        <f t="shared" si="0"/>
        <v>0</v>
      </c>
      <c r="G24" s="18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s="4" customFormat="1">
      <c r="A25" s="176" t="s">
        <v>191</v>
      </c>
      <c r="B25" s="180"/>
      <c r="C25" s="181"/>
      <c r="D25" s="181"/>
      <c r="E25" s="181"/>
      <c r="F25" s="78">
        <f t="shared" si="0"/>
        <v>0</v>
      </c>
      <c r="G25" s="18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4" customFormat="1">
      <c r="A26" s="176" t="s">
        <v>193</v>
      </c>
      <c r="B26" s="180"/>
      <c r="C26" s="181"/>
      <c r="D26" s="181"/>
      <c r="E26" s="181"/>
      <c r="F26" s="78">
        <f t="shared" si="0"/>
        <v>0</v>
      </c>
      <c r="G26" s="18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s="4" customFormat="1">
      <c r="A27" s="176" t="s">
        <v>195</v>
      </c>
      <c r="B27" s="180"/>
      <c r="C27" s="181"/>
      <c r="D27" s="181"/>
      <c r="E27" s="181"/>
      <c r="F27" s="78">
        <f t="shared" si="0"/>
        <v>0</v>
      </c>
      <c r="G27" s="18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4" customFormat="1">
      <c r="A28" s="176" t="s">
        <v>197</v>
      </c>
      <c r="B28" s="180"/>
      <c r="C28" s="181"/>
      <c r="D28" s="181"/>
      <c r="E28" s="181"/>
      <c r="F28" s="78">
        <f t="shared" si="0"/>
        <v>0</v>
      </c>
      <c r="G28" s="18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4" customFormat="1">
      <c r="A29" s="176" t="s">
        <v>199</v>
      </c>
      <c r="B29" s="180"/>
      <c r="C29" s="181"/>
      <c r="D29" s="181"/>
      <c r="E29" s="181"/>
      <c r="F29" s="78">
        <f t="shared" si="0"/>
        <v>0</v>
      </c>
      <c r="G29" s="18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4" customFormat="1">
      <c r="A30" s="176" t="s">
        <v>201</v>
      </c>
      <c r="B30" s="180"/>
      <c r="C30" s="181"/>
      <c r="D30" s="181"/>
      <c r="E30" s="181"/>
      <c r="F30" s="78">
        <f t="shared" si="0"/>
        <v>0</v>
      </c>
      <c r="G30" s="18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4" customFormat="1">
      <c r="A31" s="176" t="s">
        <v>203</v>
      </c>
      <c r="B31" s="180"/>
      <c r="C31" s="181"/>
      <c r="D31" s="181"/>
      <c r="E31" s="181"/>
      <c r="F31" s="78">
        <f t="shared" si="0"/>
        <v>0</v>
      </c>
      <c r="G31" s="18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4" customFormat="1">
      <c r="A32" s="176" t="s">
        <v>205</v>
      </c>
      <c r="B32" s="180"/>
      <c r="C32" s="181"/>
      <c r="D32" s="181"/>
      <c r="E32" s="181"/>
      <c r="F32" s="78">
        <f t="shared" si="0"/>
        <v>0</v>
      </c>
      <c r="G32" s="18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4" customFormat="1">
      <c r="A33" s="176" t="s">
        <v>207</v>
      </c>
      <c r="B33" s="180"/>
      <c r="C33" s="181"/>
      <c r="D33" s="181"/>
      <c r="E33" s="181"/>
      <c r="F33" s="78">
        <f t="shared" si="0"/>
        <v>0</v>
      </c>
      <c r="G33" s="18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s="4" customFormat="1">
      <c r="A34" s="176" t="s">
        <v>209</v>
      </c>
      <c r="B34" s="180"/>
      <c r="C34" s="181"/>
      <c r="D34" s="181"/>
      <c r="E34" s="181"/>
      <c r="F34" s="78">
        <f t="shared" si="0"/>
        <v>0</v>
      </c>
      <c r="G34" s="18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4" customFormat="1">
      <c r="A35" s="176" t="s">
        <v>211</v>
      </c>
      <c r="B35" s="180"/>
      <c r="C35" s="181"/>
      <c r="D35" s="181"/>
      <c r="E35" s="181"/>
      <c r="F35" s="78">
        <f t="shared" si="0"/>
        <v>0</v>
      </c>
      <c r="G35" s="18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4" customFormat="1">
      <c r="A36" s="176" t="s">
        <v>360</v>
      </c>
      <c r="B36" s="180"/>
      <c r="C36" s="181"/>
      <c r="D36" s="181"/>
      <c r="E36" s="181"/>
      <c r="F36" s="78">
        <f t="shared" si="0"/>
        <v>0</v>
      </c>
      <c r="G36" s="18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4" customFormat="1">
      <c r="A37" s="176" t="s">
        <v>361</v>
      </c>
      <c r="B37" s="180"/>
      <c r="C37" s="181"/>
      <c r="D37" s="181"/>
      <c r="E37" s="181"/>
      <c r="F37" s="78">
        <f t="shared" si="0"/>
        <v>0</v>
      </c>
      <c r="G37" s="18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4" customFormat="1">
      <c r="A38" s="176" t="s">
        <v>362</v>
      </c>
      <c r="B38" s="180"/>
      <c r="C38" s="181"/>
      <c r="D38" s="181"/>
      <c r="E38" s="181"/>
      <c r="F38" s="78">
        <f t="shared" si="0"/>
        <v>0</v>
      </c>
      <c r="G38" s="18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4" customFormat="1">
      <c r="A39" s="176" t="s">
        <v>363</v>
      </c>
      <c r="B39" s="180"/>
      <c r="C39" s="181"/>
      <c r="D39" s="181"/>
      <c r="E39" s="181"/>
      <c r="F39" s="78">
        <f t="shared" si="0"/>
        <v>0</v>
      </c>
      <c r="G39" s="18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4" customFormat="1">
      <c r="A40" s="176" t="s">
        <v>364</v>
      </c>
      <c r="B40" s="180"/>
      <c r="C40" s="181"/>
      <c r="D40" s="181"/>
      <c r="E40" s="181"/>
      <c r="F40" s="78">
        <f t="shared" si="0"/>
        <v>0</v>
      </c>
      <c r="G40" s="18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s="4" customFormat="1">
      <c r="A41" s="176" t="s">
        <v>365</v>
      </c>
      <c r="B41" s="180"/>
      <c r="C41" s="181"/>
      <c r="D41" s="181"/>
      <c r="E41" s="181"/>
      <c r="F41" s="78">
        <f t="shared" si="0"/>
        <v>0</v>
      </c>
      <c r="G41" s="18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>
      <c r="A42" s="176" t="s">
        <v>366</v>
      </c>
      <c r="B42" s="180"/>
      <c r="C42" s="181"/>
      <c r="D42" s="181"/>
      <c r="E42" s="181"/>
      <c r="F42" s="78">
        <f t="shared" si="0"/>
        <v>0</v>
      </c>
      <c r="G42" s="181"/>
    </row>
    <row r="43" spans="1:24" ht="71.099999999999994" customHeight="1">
      <c r="A43" s="467" t="s">
        <v>367</v>
      </c>
      <c r="B43" s="468"/>
      <c r="C43" s="468"/>
      <c r="D43" s="468"/>
      <c r="E43" s="468"/>
      <c r="F43" s="469"/>
      <c r="G43" s="28">
        <f>SUM(G21:G42)</f>
        <v>2500</v>
      </c>
    </row>
    <row r="44" spans="1:24" ht="32.1" customHeight="1">
      <c r="A44" s="465" t="s">
        <v>368</v>
      </c>
      <c r="B44" s="465"/>
      <c r="C44" s="465"/>
      <c r="D44" s="465"/>
      <c r="E44" s="465"/>
      <c r="F44" s="465"/>
      <c r="G44" s="28">
        <f>'Zał. A2 Koszty całkowite'!F50</f>
        <v>0</v>
      </c>
    </row>
    <row r="45" spans="1:24" ht="18.600000000000001">
      <c r="A45" s="177"/>
      <c r="B45" s="177"/>
      <c r="C45" s="177"/>
      <c r="D45" s="177"/>
      <c r="E45" s="177"/>
      <c r="F45" s="177"/>
      <c r="G45" s="178"/>
    </row>
    <row r="46" spans="1:24" s="46" customFormat="1" ht="15" thickBot="1">
      <c r="A46" s="3"/>
      <c r="B46" s="4"/>
      <c r="C46" s="4"/>
      <c r="D46" s="4"/>
      <c r="E46" s="4"/>
      <c r="F46" s="4"/>
      <c r="G46" s="4"/>
      <c r="H46" s="8"/>
    </row>
    <row r="47" spans="1:24" s="46" customFormat="1" ht="18.95" thickBot="1">
      <c r="A47" s="458" t="s">
        <v>369</v>
      </c>
      <c r="B47" s="459"/>
      <c r="C47" s="459"/>
      <c r="D47" s="459"/>
      <c r="E47" s="179" t="e">
        <f>ROUND(G43/G44,2)</f>
        <v>#DIV/0!</v>
      </c>
      <c r="F47" s="170" t="s">
        <v>167</v>
      </c>
      <c r="G47" s="4"/>
      <c r="H47" s="8"/>
    </row>
    <row r="48" spans="1:24" s="46" customFormat="1">
      <c r="A48" s="3"/>
      <c r="B48" s="4"/>
      <c r="C48" s="4"/>
      <c r="D48" s="4"/>
      <c r="E48" s="4"/>
      <c r="F48" s="4"/>
      <c r="G48" s="4"/>
      <c r="H48" s="8"/>
    </row>
    <row r="49" spans="1:7">
      <c r="A49" s="46"/>
      <c r="B49" s="8"/>
      <c r="C49" s="8"/>
      <c r="D49" s="8"/>
      <c r="E49" s="8"/>
      <c r="F49" s="8"/>
      <c r="G49" s="8"/>
    </row>
    <row r="50" spans="1:7">
      <c r="A50" s="46"/>
      <c r="B50" s="8"/>
      <c r="C50" s="8"/>
      <c r="D50" s="8"/>
      <c r="E50" s="8"/>
      <c r="F50" s="8"/>
      <c r="G50" s="8"/>
    </row>
    <row r="51" spans="1:7">
      <c r="A51" s="46"/>
      <c r="B51" s="8"/>
      <c r="C51" s="8"/>
      <c r="D51" s="8"/>
      <c r="E51" s="8"/>
      <c r="F51" s="8"/>
      <c r="G51" s="8"/>
    </row>
    <row r="52" spans="1:7">
      <c r="A52" s="46"/>
      <c r="B52" s="8"/>
      <c r="C52" s="8"/>
      <c r="D52" s="8"/>
      <c r="E52" s="8"/>
      <c r="F52" s="8"/>
      <c r="G52" s="8"/>
    </row>
  </sheetData>
  <sheetProtection formatCells="0" formatColumns="0" formatRows="0" insertColumns="0" insertRows="0" insertHyperlinks="0" deleteColumns="0" deleteRows="0" sort="0" autoFilter="0" pivotTables="0"/>
  <mergeCells count="13">
    <mergeCell ref="A47:D47"/>
    <mergeCell ref="A1:G3"/>
    <mergeCell ref="A8:G8"/>
    <mergeCell ref="A44:F44"/>
    <mergeCell ref="A19:F19"/>
    <mergeCell ref="A43:F43"/>
    <mergeCell ref="A13:C13"/>
    <mergeCell ref="D13:F13"/>
    <mergeCell ref="D16:F16"/>
    <mergeCell ref="D17:F17"/>
    <mergeCell ref="D18:F18"/>
    <mergeCell ref="D15:F15"/>
    <mergeCell ref="D14:F14"/>
  </mergeCells>
  <pageMargins left="0.70866141732283472" right="0.70866141732283472" top="0.74803149606299213" bottom="0.74803149606299213" header="0.31496062992125984" footer="0.31496062992125984"/>
  <pageSetup paperSize="8" scale="80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85"/>
  <sheetViews>
    <sheetView zoomScale="70" zoomScaleNormal="70" workbookViewId="0">
      <pane xSplit="1" ySplit="1" topLeftCell="BG2" activePane="bottomRight" state="frozen"/>
      <selection pane="bottomRight" activeCell="BG2" sqref="BG2:BH4"/>
      <selection pane="bottomLeft" activeCell="A2" sqref="A2"/>
      <selection pane="topRight" activeCell="B1" sqref="B1"/>
    </sheetView>
  </sheetViews>
  <sheetFormatPr defaultColWidth="8.85546875" defaultRowHeight="14.45"/>
  <cols>
    <col min="1" max="1" width="13.85546875" bestFit="1" customWidth="1"/>
    <col min="2" max="2" width="35.42578125" bestFit="1" customWidth="1"/>
    <col min="3" max="3" width="10.85546875" bestFit="1" customWidth="1"/>
    <col min="4" max="4" width="10.85546875" style="44" customWidth="1"/>
    <col min="5" max="5" width="8.85546875" bestFit="1" customWidth="1"/>
    <col min="6" max="6" width="27.140625" bestFit="1" customWidth="1"/>
    <col min="7" max="7" width="27.140625" style="44" customWidth="1"/>
    <col min="8" max="8" width="11.140625" bestFit="1" customWidth="1"/>
    <col min="9" max="9" width="11.85546875" bestFit="1" customWidth="1"/>
    <col min="10" max="10" width="11.85546875" style="44" customWidth="1"/>
    <col min="11" max="11" width="10.42578125" bestFit="1" customWidth="1"/>
    <col min="12" max="12" width="16.140625" bestFit="1" customWidth="1"/>
    <col min="13" max="13" width="16.140625" style="44" customWidth="1"/>
    <col min="14" max="14" width="10.85546875" bestFit="1" customWidth="1"/>
    <col min="15" max="15" width="16.140625" bestFit="1" customWidth="1"/>
    <col min="16" max="16" width="16.140625" style="44" customWidth="1"/>
    <col min="17" max="17" width="7.42578125" bestFit="1" customWidth="1"/>
    <col min="18" max="18" width="16.140625" bestFit="1" customWidth="1"/>
    <col min="19" max="19" width="16.140625" style="44" customWidth="1"/>
    <col min="20" max="20" width="8.42578125" bestFit="1" customWidth="1"/>
    <col min="21" max="21" width="16.140625" bestFit="1" customWidth="1"/>
    <col min="22" max="22" width="16.140625" style="44" customWidth="1"/>
    <col min="23" max="23" width="11.42578125" bestFit="1" customWidth="1"/>
    <col min="24" max="24" width="16.140625" bestFit="1" customWidth="1"/>
    <col min="25" max="25" width="16.140625" style="44" customWidth="1"/>
    <col min="26" max="26" width="11.42578125" bestFit="1" customWidth="1"/>
    <col min="27" max="27" width="16.140625" bestFit="1" customWidth="1"/>
    <col min="28" max="28" width="16.140625" style="44" customWidth="1"/>
    <col min="29" max="29" width="11.42578125" bestFit="1" customWidth="1"/>
    <col min="30" max="30" width="17.140625" bestFit="1" customWidth="1"/>
    <col min="31" max="31" width="17.140625" style="44" customWidth="1"/>
    <col min="32" max="32" width="10.85546875" bestFit="1" customWidth="1"/>
    <col min="33" max="33" width="17.140625" bestFit="1" customWidth="1"/>
    <col min="34" max="34" width="17.140625" style="44" customWidth="1"/>
    <col min="35" max="35" width="9.42578125" bestFit="1" customWidth="1"/>
    <col min="36" max="36" width="17.140625" bestFit="1" customWidth="1"/>
    <col min="37" max="37" width="17.140625" style="44" customWidth="1"/>
    <col min="38" max="38" width="8.140625" bestFit="1" customWidth="1"/>
    <col min="39" max="39" width="17.140625" bestFit="1" customWidth="1"/>
    <col min="40" max="40" width="17.140625" style="44" customWidth="1"/>
    <col min="41" max="41" width="38.42578125" bestFit="1" customWidth="1"/>
    <col min="42" max="42" width="17.140625" bestFit="1" customWidth="1"/>
    <col min="43" max="43" width="17.140625" style="44" customWidth="1"/>
    <col min="44" max="44" width="13.42578125" bestFit="1" customWidth="1"/>
    <col min="45" max="45" width="17.140625" bestFit="1" customWidth="1"/>
    <col min="46" max="46" width="17.140625" style="44" customWidth="1"/>
    <col min="47" max="47" width="12.42578125" bestFit="1" customWidth="1"/>
    <col min="48" max="48" width="17.140625" bestFit="1" customWidth="1"/>
    <col min="49" max="49" width="17.140625" style="44" customWidth="1"/>
    <col min="50" max="50" width="15" bestFit="1" customWidth="1"/>
    <col min="51" max="51" width="21" bestFit="1" customWidth="1"/>
    <col min="52" max="52" width="16.42578125" bestFit="1" customWidth="1"/>
    <col min="53" max="53" width="19.85546875" bestFit="1" customWidth="1"/>
    <col min="54" max="54" width="22.140625" bestFit="1" customWidth="1"/>
    <col min="55" max="55" width="20.5703125" bestFit="1" customWidth="1"/>
    <col min="56" max="56" width="16.42578125" bestFit="1" customWidth="1"/>
    <col min="57" max="58" width="15.42578125" bestFit="1" customWidth="1"/>
    <col min="59" max="59" width="17.85546875" bestFit="1" customWidth="1"/>
    <col min="60" max="60" width="19.85546875" bestFit="1" customWidth="1"/>
    <col min="61" max="61" width="19.42578125" bestFit="1" customWidth="1"/>
    <col min="62" max="62" width="16.42578125" customWidth="1"/>
    <col min="63" max="64" width="16.42578125" style="44" customWidth="1"/>
    <col min="65" max="65" width="17.140625" customWidth="1"/>
    <col min="66" max="67" width="17.140625" style="44" customWidth="1"/>
    <col min="68" max="68" width="15.85546875" customWidth="1"/>
    <col min="69" max="70" width="15.85546875" style="44" customWidth="1"/>
    <col min="71" max="71" width="19.42578125" customWidth="1"/>
    <col min="72" max="73" width="15.85546875" style="44" customWidth="1"/>
    <col min="74" max="74" width="17.140625" customWidth="1"/>
    <col min="75" max="75" width="14.42578125" customWidth="1"/>
    <col min="76" max="76" width="14.42578125" style="44" customWidth="1"/>
    <col min="77" max="77" width="11.85546875" customWidth="1"/>
  </cols>
  <sheetData>
    <row r="1" spans="1:79" s="47" customFormat="1" ht="43.5">
      <c r="A1" s="318" t="s">
        <v>370</v>
      </c>
      <c r="B1" s="318" t="s">
        <v>184</v>
      </c>
      <c r="C1" s="318" t="s">
        <v>371</v>
      </c>
      <c r="D1" s="318" t="s">
        <v>372</v>
      </c>
      <c r="E1" s="318" t="s">
        <v>186</v>
      </c>
      <c r="F1" s="318" t="s">
        <v>373</v>
      </c>
      <c r="G1" s="318" t="s">
        <v>374</v>
      </c>
      <c r="H1" s="318" t="s">
        <v>188</v>
      </c>
      <c r="I1" s="318" t="s">
        <v>375</v>
      </c>
      <c r="J1" s="318" t="s">
        <v>376</v>
      </c>
      <c r="K1" s="318" t="s">
        <v>190</v>
      </c>
      <c r="L1" s="318" t="s">
        <v>377</v>
      </c>
      <c r="M1" s="318" t="s">
        <v>378</v>
      </c>
      <c r="N1" s="318" t="s">
        <v>192</v>
      </c>
      <c r="O1" s="318" t="s">
        <v>379</v>
      </c>
      <c r="P1" s="318" t="s">
        <v>380</v>
      </c>
      <c r="Q1" s="318" t="s">
        <v>194</v>
      </c>
      <c r="R1" s="318" t="s">
        <v>381</v>
      </c>
      <c r="S1" s="318" t="s">
        <v>382</v>
      </c>
      <c r="T1" s="318" t="s">
        <v>196</v>
      </c>
      <c r="U1" s="318" t="s">
        <v>383</v>
      </c>
      <c r="V1" s="318" t="s">
        <v>384</v>
      </c>
      <c r="W1" s="318" t="s">
        <v>198</v>
      </c>
      <c r="X1" s="318" t="s">
        <v>385</v>
      </c>
      <c r="Y1" s="318" t="s">
        <v>386</v>
      </c>
      <c r="Z1" s="318" t="s">
        <v>206</v>
      </c>
      <c r="AA1" s="318" t="s">
        <v>387</v>
      </c>
      <c r="AB1" s="318" t="s">
        <v>388</v>
      </c>
      <c r="AC1" s="318" t="s">
        <v>208</v>
      </c>
      <c r="AD1" s="318" t="s">
        <v>389</v>
      </c>
      <c r="AE1" s="318" t="s">
        <v>390</v>
      </c>
      <c r="AF1" s="318" t="s">
        <v>210</v>
      </c>
      <c r="AG1" s="318" t="s">
        <v>391</v>
      </c>
      <c r="AH1" s="318" t="s">
        <v>392</v>
      </c>
      <c r="AI1" s="318" t="s">
        <v>212</v>
      </c>
      <c r="AJ1" s="318" t="s">
        <v>393</v>
      </c>
      <c r="AK1" s="318" t="s">
        <v>394</v>
      </c>
      <c r="AL1" s="318" t="s">
        <v>200</v>
      </c>
      <c r="AM1" s="318" t="s">
        <v>395</v>
      </c>
      <c r="AN1" s="318" t="s">
        <v>396</v>
      </c>
      <c r="AO1" s="318" t="s">
        <v>202</v>
      </c>
      <c r="AP1" s="318" t="s">
        <v>397</v>
      </c>
      <c r="AQ1" s="318" t="s">
        <v>398</v>
      </c>
      <c r="AR1" s="318" t="s">
        <v>399</v>
      </c>
      <c r="AS1" s="318" t="s">
        <v>400</v>
      </c>
      <c r="AT1" s="318" t="s">
        <v>401</v>
      </c>
      <c r="AU1" s="318" t="s">
        <v>204</v>
      </c>
      <c r="AV1" s="318" t="s">
        <v>402</v>
      </c>
      <c r="AW1" s="318" t="s">
        <v>403</v>
      </c>
      <c r="AX1" s="318" t="s">
        <v>404</v>
      </c>
      <c r="AY1" s="318" t="s">
        <v>405</v>
      </c>
      <c r="AZ1" s="318" t="s">
        <v>406</v>
      </c>
      <c r="BA1" s="318" t="s">
        <v>9</v>
      </c>
      <c r="BB1" s="318" t="s">
        <v>407</v>
      </c>
      <c r="BC1" s="318" t="s">
        <v>408</v>
      </c>
      <c r="BD1" s="318" t="s">
        <v>409</v>
      </c>
      <c r="BE1" s="318" t="s">
        <v>410</v>
      </c>
      <c r="BF1" s="318" t="s">
        <v>411</v>
      </c>
      <c r="BG1" s="318" t="s">
        <v>412</v>
      </c>
      <c r="BH1" s="318" t="s">
        <v>413</v>
      </c>
      <c r="BI1" s="318" t="s">
        <v>414</v>
      </c>
      <c r="BJ1" s="319" t="s">
        <v>415</v>
      </c>
      <c r="BK1" s="319" t="s">
        <v>416</v>
      </c>
      <c r="BL1" s="319" t="s">
        <v>417</v>
      </c>
      <c r="BM1" s="319" t="s">
        <v>418</v>
      </c>
      <c r="BN1" s="319" t="s">
        <v>419</v>
      </c>
      <c r="BO1" s="319" t="s">
        <v>420</v>
      </c>
      <c r="BP1" s="319" t="s">
        <v>421</v>
      </c>
      <c r="BQ1" s="319" t="s">
        <v>422</v>
      </c>
      <c r="BR1" s="319" t="s">
        <v>423</v>
      </c>
      <c r="BS1" s="319" t="s">
        <v>424</v>
      </c>
      <c r="BT1" s="319" t="s">
        <v>425</v>
      </c>
      <c r="BU1" s="319" t="s">
        <v>426</v>
      </c>
      <c r="BV1" s="319" t="s">
        <v>427</v>
      </c>
      <c r="BW1" s="319" t="s">
        <v>428</v>
      </c>
      <c r="BX1" s="319" t="s">
        <v>429</v>
      </c>
      <c r="BY1" s="319" t="s">
        <v>430</v>
      </c>
      <c r="BZ1" s="319" t="s">
        <v>431</v>
      </c>
      <c r="CA1" s="318" t="s">
        <v>432</v>
      </c>
    </row>
    <row r="2" spans="1:79" s="7" customFormat="1">
      <c r="A2" s="320" t="s">
        <v>7</v>
      </c>
      <c r="B2" s="321">
        <v>1</v>
      </c>
      <c r="C2" s="321">
        <v>180</v>
      </c>
      <c r="D2" s="321">
        <v>180</v>
      </c>
      <c r="E2" s="321">
        <v>1</v>
      </c>
      <c r="F2" s="321">
        <v>30</v>
      </c>
      <c r="G2" s="321">
        <v>30</v>
      </c>
      <c r="H2" s="321">
        <v>1</v>
      </c>
      <c r="I2" s="321">
        <v>20</v>
      </c>
      <c r="J2" s="321">
        <v>20</v>
      </c>
      <c r="K2" s="320">
        <v>1</v>
      </c>
      <c r="L2" s="320">
        <v>4300</v>
      </c>
      <c r="M2" s="320">
        <v>4300</v>
      </c>
      <c r="N2" s="320">
        <v>1</v>
      </c>
      <c r="O2" s="320">
        <v>120</v>
      </c>
      <c r="P2" s="320">
        <v>120</v>
      </c>
      <c r="Q2" s="320">
        <v>1</v>
      </c>
      <c r="R2" s="320">
        <v>180</v>
      </c>
      <c r="S2" s="320">
        <v>180</v>
      </c>
      <c r="T2" s="320">
        <v>1</v>
      </c>
      <c r="U2" s="320">
        <v>100</v>
      </c>
      <c r="V2" s="320">
        <v>100</v>
      </c>
      <c r="W2" s="320">
        <v>1</v>
      </c>
      <c r="X2" s="320">
        <v>180</v>
      </c>
      <c r="Y2" s="320">
        <v>180</v>
      </c>
      <c r="Z2" s="320">
        <v>1</v>
      </c>
      <c r="AA2" s="320">
        <v>60</v>
      </c>
      <c r="AB2" s="320">
        <v>60</v>
      </c>
      <c r="AC2" s="320">
        <v>1</v>
      </c>
      <c r="AD2" s="320">
        <v>1000</v>
      </c>
      <c r="AE2" s="320">
        <v>700</v>
      </c>
      <c r="AF2" s="320">
        <v>1</v>
      </c>
      <c r="AG2" s="320">
        <v>1000</v>
      </c>
      <c r="AH2" s="320">
        <v>700</v>
      </c>
      <c r="AI2" s="320">
        <v>1</v>
      </c>
      <c r="AJ2" s="320">
        <v>30</v>
      </c>
      <c r="AK2" s="320">
        <v>30</v>
      </c>
      <c r="AL2" s="320">
        <v>0</v>
      </c>
      <c r="AM2" s="320">
        <v>0</v>
      </c>
      <c r="AN2" s="320">
        <v>0</v>
      </c>
      <c r="AO2" s="320">
        <v>1</v>
      </c>
      <c r="AP2" s="320">
        <v>180</v>
      </c>
      <c r="AQ2" s="320">
        <v>200</v>
      </c>
      <c r="AR2" s="320">
        <v>1</v>
      </c>
      <c r="AS2" s="320">
        <v>730</v>
      </c>
      <c r="AT2" s="320">
        <v>730</v>
      </c>
      <c r="AU2" s="320">
        <v>0</v>
      </c>
      <c r="AV2" s="320">
        <v>0</v>
      </c>
      <c r="AW2" s="320">
        <v>0</v>
      </c>
      <c r="AX2" s="320">
        <v>3500</v>
      </c>
      <c r="AY2" s="320">
        <v>500</v>
      </c>
      <c r="AZ2" s="320">
        <v>1</v>
      </c>
      <c r="BA2" s="320">
        <v>4</v>
      </c>
      <c r="BB2" s="320">
        <v>130</v>
      </c>
      <c r="BC2" s="320">
        <v>15</v>
      </c>
      <c r="BD2" s="320">
        <v>0</v>
      </c>
      <c r="BE2" s="320">
        <f>AGD[[#This Row],[Liczba mieszkańców]]*100</f>
        <v>400</v>
      </c>
      <c r="BF2" s="320">
        <f>AGD[[#This Row],[warunek woda]]</f>
        <v>400</v>
      </c>
      <c r="BG2" s="320">
        <v>500</v>
      </c>
      <c r="BH2" s="320">
        <v>1000</v>
      </c>
      <c r="BI2" s="320">
        <v>30</v>
      </c>
      <c r="BJ2" s="322">
        <v>1</v>
      </c>
      <c r="BK2" s="322">
        <f>2*365</f>
        <v>730</v>
      </c>
      <c r="BL2" s="322">
        <f>2*365</f>
        <v>730</v>
      </c>
      <c r="BM2" s="322">
        <v>1</v>
      </c>
      <c r="BN2" s="322">
        <f>2*365</f>
        <v>730</v>
      </c>
      <c r="BO2" s="322">
        <v>365</v>
      </c>
      <c r="BP2" s="322">
        <v>1</v>
      </c>
      <c r="BQ2" s="322">
        <f>4*365</f>
        <v>1460</v>
      </c>
      <c r="BR2" s="322">
        <v>0</v>
      </c>
      <c r="BS2" s="322">
        <v>1</v>
      </c>
      <c r="BT2" s="322">
        <f>4*365</f>
        <v>1460</v>
      </c>
      <c r="BU2" s="322">
        <f>4*365</f>
        <v>1460</v>
      </c>
      <c r="BV2" s="322">
        <f>AGD[[#This Row],[Punkty świetlne ogół]]</f>
        <v>15</v>
      </c>
      <c r="BW2" s="322">
        <v>900</v>
      </c>
      <c r="BX2" s="322">
        <v>255</v>
      </c>
      <c r="BY2" s="322">
        <v>0</v>
      </c>
      <c r="BZ2" s="322">
        <v>0</v>
      </c>
      <c r="CA2" s="322">
        <f>AGD[[#This Row],[Czas używania zimą22]]*0.7</f>
        <v>0</v>
      </c>
    </row>
    <row r="3" spans="1:79" s="7" customFormat="1">
      <c r="A3" s="320" t="s">
        <v>433</v>
      </c>
      <c r="B3" s="321">
        <v>27</v>
      </c>
      <c r="C3" s="321">
        <v>180</v>
      </c>
      <c r="D3" s="321">
        <v>180</v>
      </c>
      <c r="E3" s="321">
        <v>27</v>
      </c>
      <c r="F3" s="321">
        <v>30</v>
      </c>
      <c r="G3" s="321">
        <v>30</v>
      </c>
      <c r="H3" s="321">
        <v>27</v>
      </c>
      <c r="I3" s="321">
        <v>20</v>
      </c>
      <c r="J3" s="321">
        <v>20</v>
      </c>
      <c r="K3" s="320">
        <v>27</v>
      </c>
      <c r="L3" s="320">
        <v>4300</v>
      </c>
      <c r="M3" s="320">
        <v>4300</v>
      </c>
      <c r="N3" s="320">
        <v>27</v>
      </c>
      <c r="O3" s="320">
        <v>120</v>
      </c>
      <c r="P3" s="320">
        <v>120</v>
      </c>
      <c r="Q3" s="320">
        <v>27</v>
      </c>
      <c r="R3" s="320">
        <v>180</v>
      </c>
      <c r="S3" s="320">
        <v>180</v>
      </c>
      <c r="T3" s="320">
        <v>27</v>
      </c>
      <c r="U3" s="320">
        <v>100</v>
      </c>
      <c r="V3" s="320">
        <v>100</v>
      </c>
      <c r="W3" s="320">
        <v>27</v>
      </c>
      <c r="X3" s="320">
        <v>180</v>
      </c>
      <c r="Y3" s="320">
        <v>180</v>
      </c>
      <c r="Z3" s="320">
        <v>27</v>
      </c>
      <c r="AA3" s="320">
        <v>60</v>
      </c>
      <c r="AB3" s="320">
        <v>60</v>
      </c>
      <c r="AC3" s="320">
        <v>27</v>
      </c>
      <c r="AD3" s="320">
        <v>1000</v>
      </c>
      <c r="AE3" s="320">
        <v>700</v>
      </c>
      <c r="AF3" s="320">
        <v>27</v>
      </c>
      <c r="AG3" s="320">
        <v>1000</v>
      </c>
      <c r="AH3" s="320">
        <v>700</v>
      </c>
      <c r="AI3" s="320">
        <v>27</v>
      </c>
      <c r="AJ3" s="320">
        <v>30</v>
      </c>
      <c r="AK3" s="320">
        <v>30</v>
      </c>
      <c r="AL3" s="320">
        <v>1</v>
      </c>
      <c r="AM3" s="320">
        <v>120</v>
      </c>
      <c r="AN3" s="320">
        <v>120</v>
      </c>
      <c r="AO3" s="320">
        <v>4</v>
      </c>
      <c r="AP3" s="320">
        <v>180</v>
      </c>
      <c r="AQ3" s="320">
        <v>200</v>
      </c>
      <c r="AR3" s="320">
        <v>1</v>
      </c>
      <c r="AS3" s="320">
        <v>730</v>
      </c>
      <c r="AT3" s="320">
        <v>730</v>
      </c>
      <c r="AU3" s="320">
        <v>1</v>
      </c>
      <c r="AV3" s="320">
        <v>4300</v>
      </c>
      <c r="AW3" s="320">
        <v>4300</v>
      </c>
      <c r="AX3" s="320">
        <v>87000</v>
      </c>
      <c r="AY3" s="320">
        <v>3000</v>
      </c>
      <c r="AZ3" s="320">
        <v>27</v>
      </c>
      <c r="BA3" s="320">
        <f>45+48</f>
        <v>93</v>
      </c>
      <c r="BB3" s="320">
        <v>1675</v>
      </c>
      <c r="BC3" s="320">
        <v>8</v>
      </c>
      <c r="BD3" s="320">
        <v>28</v>
      </c>
      <c r="BE3" s="320">
        <f>AGD[[#This Row],[Liczba mieszkańców]]*100</f>
        <v>9300</v>
      </c>
      <c r="BF3" s="320">
        <f>AGD[[#This Row],[warunek woda]]</f>
        <v>9300</v>
      </c>
      <c r="BG3" s="320">
        <v>10000</v>
      </c>
      <c r="BH3" s="320">
        <v>20000</v>
      </c>
      <c r="BI3" s="320">
        <v>30</v>
      </c>
      <c r="BJ3" s="322">
        <v>1</v>
      </c>
      <c r="BK3" s="322">
        <f t="shared" ref="BK3:BN4" si="0">4*365</f>
        <v>1460</v>
      </c>
      <c r="BL3" s="322">
        <f t="shared" si="0"/>
        <v>1460</v>
      </c>
      <c r="BM3" s="322">
        <v>1</v>
      </c>
      <c r="BN3" s="322">
        <f t="shared" si="0"/>
        <v>1460</v>
      </c>
      <c r="BO3" s="322">
        <v>730</v>
      </c>
      <c r="BP3" s="322">
        <v>1</v>
      </c>
      <c r="BQ3" s="322">
        <f t="shared" ref="BQ3:BQ4" si="1">4*365</f>
        <v>1460</v>
      </c>
      <c r="BR3" s="322">
        <v>0</v>
      </c>
      <c r="BS3" s="322">
        <v>1</v>
      </c>
      <c r="BT3" s="322">
        <f t="shared" ref="BT3:BU4" si="2">4*365</f>
        <v>1460</v>
      </c>
      <c r="BU3" s="322">
        <f t="shared" si="2"/>
        <v>1460</v>
      </c>
      <c r="BV3" s="322">
        <f>AGD[[#This Row],[Punkty świetlne ogół]]</f>
        <v>8</v>
      </c>
      <c r="BW3" s="322">
        <v>900</v>
      </c>
      <c r="BX3" s="322">
        <v>255</v>
      </c>
      <c r="BY3" s="322">
        <v>28</v>
      </c>
      <c r="BZ3" s="322">
        <f t="shared" ref="BZ3:BZ4" si="3">3*365</f>
        <v>1095</v>
      </c>
      <c r="CA3" s="322">
        <v>766</v>
      </c>
    </row>
    <row r="4" spans="1:79" s="7" customFormat="1">
      <c r="A4" s="320" t="s">
        <v>434</v>
      </c>
      <c r="B4" s="321">
        <v>28</v>
      </c>
      <c r="C4" s="321">
        <v>180</v>
      </c>
      <c r="D4" s="321">
        <v>180</v>
      </c>
      <c r="E4" s="321">
        <v>28</v>
      </c>
      <c r="F4" s="321">
        <v>30</v>
      </c>
      <c r="G4" s="321">
        <v>30</v>
      </c>
      <c r="H4" s="321">
        <v>28</v>
      </c>
      <c r="I4" s="321">
        <v>10</v>
      </c>
      <c r="J4" s="321">
        <v>10</v>
      </c>
      <c r="K4" s="320">
        <v>28</v>
      </c>
      <c r="L4" s="320">
        <v>4300</v>
      </c>
      <c r="M4" s="320">
        <v>4300</v>
      </c>
      <c r="N4" s="320">
        <v>28</v>
      </c>
      <c r="O4" s="320">
        <v>60</v>
      </c>
      <c r="P4" s="320">
        <v>60</v>
      </c>
      <c r="Q4" s="320">
        <v>28</v>
      </c>
      <c r="R4" s="320">
        <v>180</v>
      </c>
      <c r="S4" s="320">
        <v>180</v>
      </c>
      <c r="T4" s="320">
        <v>28</v>
      </c>
      <c r="U4" s="320">
        <v>40</v>
      </c>
      <c r="V4" s="320">
        <v>40</v>
      </c>
      <c r="W4" s="320">
        <v>28</v>
      </c>
      <c r="X4" s="320">
        <v>183</v>
      </c>
      <c r="Y4" s="320">
        <v>183</v>
      </c>
      <c r="Z4" s="320">
        <v>28</v>
      </c>
      <c r="AA4" s="320">
        <v>30</v>
      </c>
      <c r="AB4" s="320">
        <v>30</v>
      </c>
      <c r="AC4" s="320">
        <v>12</v>
      </c>
      <c r="AD4" s="320">
        <v>500</v>
      </c>
      <c r="AE4" s="320">
        <v>500</v>
      </c>
      <c r="AF4" s="320">
        <v>28</v>
      </c>
      <c r="AG4" s="320">
        <v>500</v>
      </c>
      <c r="AH4" s="320">
        <v>500</v>
      </c>
      <c r="AI4" s="320">
        <v>28</v>
      </c>
      <c r="AJ4" s="320">
        <v>15</v>
      </c>
      <c r="AK4" s="320">
        <v>15</v>
      </c>
      <c r="AL4" s="320">
        <v>1</v>
      </c>
      <c r="AM4" s="320">
        <v>60</v>
      </c>
      <c r="AN4" s="320">
        <v>60</v>
      </c>
      <c r="AO4" s="320">
        <v>4</v>
      </c>
      <c r="AP4" s="320">
        <v>90</v>
      </c>
      <c r="AQ4" s="320">
        <v>120</v>
      </c>
      <c r="AR4" s="320">
        <v>1</v>
      </c>
      <c r="AS4" s="320">
        <v>730</v>
      </c>
      <c r="AT4" s="320">
        <v>730</v>
      </c>
      <c r="AU4" s="320">
        <v>1</v>
      </c>
      <c r="AV4" s="320">
        <v>4300</v>
      </c>
      <c r="AW4" s="320">
        <v>4300</v>
      </c>
      <c r="AX4" s="320">
        <v>47000</v>
      </c>
      <c r="AY4" s="320">
        <v>3000</v>
      </c>
      <c r="AZ4" s="320">
        <v>28</v>
      </c>
      <c r="BA4" s="320">
        <v>38</v>
      </c>
      <c r="BB4" s="320">
        <v>1650</v>
      </c>
      <c r="BC4" s="320">
        <v>8</v>
      </c>
      <c r="BD4" s="320">
        <v>14</v>
      </c>
      <c r="BE4" s="320">
        <f>AGD[[#This Row],[Liczba mieszkańców]]*100</f>
        <v>3800</v>
      </c>
      <c r="BF4" s="320">
        <f>AGD[[#This Row],[warunek woda]]</f>
        <v>3800</v>
      </c>
      <c r="BG4" s="320">
        <v>10000</v>
      </c>
      <c r="BH4" s="320">
        <v>20000</v>
      </c>
      <c r="BI4" s="320">
        <v>30</v>
      </c>
      <c r="BJ4" s="322">
        <v>1</v>
      </c>
      <c r="BK4" s="322">
        <f t="shared" si="0"/>
        <v>1460</v>
      </c>
      <c r="BL4" s="322">
        <f t="shared" si="0"/>
        <v>1460</v>
      </c>
      <c r="BM4" s="322">
        <v>1</v>
      </c>
      <c r="BN4" s="322">
        <f t="shared" si="0"/>
        <v>1460</v>
      </c>
      <c r="BO4" s="322">
        <v>730</v>
      </c>
      <c r="BP4" s="322">
        <v>1</v>
      </c>
      <c r="BQ4" s="322">
        <f t="shared" si="1"/>
        <v>1460</v>
      </c>
      <c r="BR4" s="322">
        <v>0</v>
      </c>
      <c r="BS4" s="322">
        <v>1</v>
      </c>
      <c r="BT4" s="322">
        <f t="shared" si="2"/>
        <v>1460</v>
      </c>
      <c r="BU4" s="322">
        <f t="shared" si="2"/>
        <v>1460</v>
      </c>
      <c r="BV4" s="322">
        <f>AGD[[#This Row],[Punkty świetlne ogół]]</f>
        <v>8</v>
      </c>
      <c r="BW4" s="322">
        <v>900</v>
      </c>
      <c r="BX4" s="322">
        <v>255</v>
      </c>
      <c r="BY4" s="322">
        <v>14</v>
      </c>
      <c r="BZ4" s="322">
        <f t="shared" si="3"/>
        <v>1095</v>
      </c>
      <c r="CA4" s="322">
        <v>766</v>
      </c>
    </row>
    <row r="7" spans="1:79" ht="29.1">
      <c r="A7" s="8" t="s">
        <v>435</v>
      </c>
      <c r="B7" s="16"/>
      <c r="C7" s="44" t="s">
        <v>153</v>
      </c>
      <c r="E7" s="44"/>
      <c r="F7" s="44"/>
      <c r="H7" s="473" t="s">
        <v>436</v>
      </c>
      <c r="I7" s="474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4"/>
      <c r="AC7" s="44"/>
      <c r="AD7" s="44"/>
      <c r="AF7" s="44"/>
      <c r="AG7" s="44"/>
      <c r="AI7" s="44"/>
      <c r="AJ7" s="44"/>
      <c r="AL7" s="44"/>
      <c r="AM7" s="44"/>
      <c r="AO7" s="44"/>
      <c r="AP7" s="44"/>
      <c r="AR7" s="44"/>
      <c r="AS7" s="44"/>
      <c r="AU7" s="44"/>
      <c r="AV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M7" s="44"/>
      <c r="BP7" s="44"/>
      <c r="BS7" s="44"/>
      <c r="BV7" s="44"/>
      <c r="BW7" s="44"/>
      <c r="BY7" s="44"/>
      <c r="BZ7" s="44"/>
      <c r="CA7" s="44"/>
    </row>
    <row r="8" spans="1:79">
      <c r="A8" s="17">
        <v>2</v>
      </c>
      <c r="B8" s="18" t="s">
        <v>184</v>
      </c>
      <c r="C8" s="44" t="s">
        <v>150</v>
      </c>
      <c r="E8" s="44"/>
      <c r="F8" s="4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4"/>
      <c r="AC8" s="44"/>
      <c r="AD8" s="44"/>
      <c r="AF8" s="44"/>
      <c r="AG8" s="44"/>
      <c r="AI8" s="44"/>
      <c r="AJ8" s="44"/>
      <c r="AL8" s="44"/>
      <c r="AM8" s="44"/>
      <c r="AO8" s="44"/>
      <c r="AP8" s="44"/>
      <c r="AR8" s="44"/>
      <c r="AS8" s="44"/>
      <c r="AU8" s="44"/>
      <c r="AV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M8" s="44"/>
      <c r="BP8" s="44"/>
      <c r="BS8" s="44"/>
      <c r="BV8" s="44"/>
      <c r="BW8" s="44"/>
      <c r="BY8" s="44"/>
      <c r="BZ8" s="44"/>
      <c r="CA8" s="44"/>
    </row>
    <row r="9" spans="1:79">
      <c r="A9" s="17">
        <v>3</v>
      </c>
      <c r="B9" s="18" t="s">
        <v>371</v>
      </c>
      <c r="C9" s="44" t="s">
        <v>437</v>
      </c>
      <c r="E9" s="44"/>
      <c r="F9" s="44"/>
      <c r="H9" s="474"/>
      <c r="I9" s="474"/>
      <c r="J9" s="474"/>
      <c r="K9" s="474"/>
      <c r="L9" s="474"/>
      <c r="M9" s="474"/>
      <c r="N9" s="474"/>
      <c r="O9" s="474"/>
      <c r="P9" s="474"/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4"/>
      <c r="AC9" s="44"/>
      <c r="AD9" s="44"/>
      <c r="AF9" s="44"/>
      <c r="AG9" s="44"/>
      <c r="AI9" s="44"/>
      <c r="AJ9" s="44"/>
      <c r="AL9" s="44"/>
      <c r="AM9" s="44"/>
      <c r="AO9" s="44"/>
      <c r="AP9" s="44"/>
      <c r="AR9" s="44"/>
      <c r="AS9" s="44"/>
      <c r="AU9" s="44"/>
      <c r="AV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M9" s="44"/>
      <c r="BP9" s="44"/>
      <c r="BS9" s="44"/>
      <c r="BV9" s="44"/>
      <c r="BW9" s="44"/>
      <c r="BY9" s="44"/>
      <c r="BZ9" s="44"/>
      <c r="CA9" s="44"/>
    </row>
    <row r="10" spans="1:79" s="44" customFormat="1">
      <c r="A10" s="17">
        <v>4</v>
      </c>
      <c r="B10" s="18" t="s">
        <v>438</v>
      </c>
      <c r="C10" s="44" t="s">
        <v>165</v>
      </c>
      <c r="H10" s="474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4"/>
      <c r="W10" s="474"/>
      <c r="X10" s="474"/>
      <c r="Y10" s="474"/>
      <c r="Z10" s="474"/>
    </row>
    <row r="11" spans="1:79">
      <c r="A11" s="17">
        <v>5</v>
      </c>
      <c r="B11" s="18" t="s">
        <v>186</v>
      </c>
      <c r="C11" s="44" t="s">
        <v>439</v>
      </c>
      <c r="E11" s="44"/>
      <c r="F11" s="4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4"/>
      <c r="AC11" s="44"/>
      <c r="AD11" s="44"/>
      <c r="AF11" s="44"/>
      <c r="AG11" s="44"/>
      <c r="AI11" s="44"/>
      <c r="AJ11" s="44"/>
      <c r="AL11" s="44"/>
      <c r="AM11" s="44"/>
      <c r="AO11" s="44"/>
      <c r="AP11" s="44"/>
      <c r="AR11" s="44"/>
      <c r="AS11" s="44"/>
      <c r="AU11" s="44"/>
      <c r="AV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M11" s="44"/>
      <c r="BP11" s="44"/>
      <c r="BS11" s="44"/>
      <c r="BV11" s="44"/>
      <c r="BW11" s="44"/>
      <c r="BY11" s="44"/>
      <c r="BZ11" s="44"/>
      <c r="CA11" s="44"/>
    </row>
    <row r="12" spans="1:79">
      <c r="A12" s="17">
        <v>6</v>
      </c>
      <c r="B12" s="18" t="s">
        <v>371</v>
      </c>
      <c r="C12" s="44" t="s">
        <v>440</v>
      </c>
      <c r="E12" s="44"/>
      <c r="F12" s="44"/>
      <c r="H12" s="474"/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4"/>
      <c r="AC12" s="44"/>
      <c r="AD12" s="44"/>
      <c r="AF12" s="44"/>
      <c r="AG12" s="44"/>
      <c r="AI12" s="44"/>
      <c r="AJ12" s="44"/>
      <c r="AL12" s="44"/>
      <c r="AM12" s="44"/>
      <c r="AO12" s="44"/>
      <c r="AP12" s="44"/>
      <c r="AR12" s="44"/>
      <c r="AS12" s="44"/>
      <c r="AU12" s="44"/>
      <c r="AV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M12" s="44"/>
      <c r="BP12" s="44"/>
      <c r="BS12" s="44"/>
      <c r="BV12" s="44"/>
      <c r="BW12" s="44"/>
      <c r="BY12" s="44"/>
      <c r="BZ12" s="44"/>
      <c r="CA12" s="44"/>
    </row>
    <row r="13" spans="1:79" s="44" customFormat="1">
      <c r="A13" s="17">
        <v>7</v>
      </c>
      <c r="B13" s="18" t="s">
        <v>438</v>
      </c>
      <c r="C13" s="44" t="s">
        <v>441</v>
      </c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</row>
    <row r="14" spans="1:79">
      <c r="A14" s="17">
        <v>8</v>
      </c>
      <c r="B14" s="18" t="s">
        <v>188</v>
      </c>
      <c r="C14" s="44" t="s">
        <v>442</v>
      </c>
      <c r="E14" s="44"/>
      <c r="F14" s="4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4"/>
      <c r="AC14" s="44"/>
      <c r="AD14" s="44"/>
      <c r="AF14" s="44"/>
      <c r="AG14" s="44"/>
      <c r="AI14" s="44"/>
      <c r="AJ14" s="44"/>
      <c r="AL14" s="44"/>
      <c r="AM14" s="44"/>
      <c r="AO14" s="44"/>
      <c r="AP14" s="44"/>
      <c r="AR14" s="44"/>
      <c r="AS14" s="44"/>
      <c r="AU14" s="44"/>
      <c r="AV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M14" s="44"/>
      <c r="BP14" s="44"/>
      <c r="BS14" s="44"/>
      <c r="BV14" s="44"/>
      <c r="BW14" s="44"/>
      <c r="BY14" s="44"/>
      <c r="BZ14" s="44"/>
      <c r="CA14" s="44"/>
    </row>
    <row r="15" spans="1:79">
      <c r="A15" s="17">
        <v>9</v>
      </c>
      <c r="B15" s="18" t="s">
        <v>371</v>
      </c>
      <c r="C15" s="44" t="s">
        <v>443</v>
      </c>
      <c r="E15" s="44"/>
      <c r="F15" s="4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4"/>
      <c r="AC15" s="44"/>
      <c r="AD15" s="44"/>
      <c r="AF15" s="44"/>
      <c r="AG15" s="44"/>
      <c r="AI15" s="44"/>
      <c r="AJ15" s="44"/>
      <c r="AL15" s="44"/>
      <c r="AM15" s="44"/>
      <c r="AO15" s="44"/>
      <c r="AP15" s="44"/>
      <c r="AR15" s="44"/>
      <c r="AS15" s="44"/>
      <c r="AU15" s="44"/>
      <c r="AV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M15" s="44"/>
      <c r="BP15" s="44"/>
      <c r="BS15" s="44"/>
      <c r="BV15" s="44"/>
      <c r="BW15" s="44"/>
      <c r="BY15" s="44"/>
      <c r="BZ15" s="44"/>
      <c r="CA15" s="44"/>
    </row>
    <row r="16" spans="1:79" s="44" customFormat="1">
      <c r="A16" s="17">
        <v>10</v>
      </c>
      <c r="B16" s="18" t="s">
        <v>438</v>
      </c>
      <c r="C16" s="44" t="s">
        <v>444</v>
      </c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4"/>
      <c r="Z16" s="474"/>
    </row>
    <row r="17" spans="1:64">
      <c r="A17" s="17">
        <v>11</v>
      </c>
      <c r="B17" s="18" t="s">
        <v>190</v>
      </c>
      <c r="C17" s="44" t="s">
        <v>445</v>
      </c>
      <c r="E17" s="44"/>
      <c r="F17" s="4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44"/>
      <c r="AC17" s="44"/>
      <c r="AD17" s="44"/>
      <c r="AF17" s="44"/>
      <c r="AG17" s="44"/>
      <c r="AI17" s="44"/>
      <c r="AJ17" s="44"/>
      <c r="AL17" s="44"/>
      <c r="AM17" s="44"/>
      <c r="AO17" s="44"/>
      <c r="AP17" s="44"/>
      <c r="AR17" s="44"/>
      <c r="AS17" s="44"/>
      <c r="AU17" s="44"/>
      <c r="AV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3"/>
      <c r="BK17" s="3"/>
      <c r="BL17" s="3"/>
    </row>
    <row r="18" spans="1:64">
      <c r="A18" s="17">
        <v>12</v>
      </c>
      <c r="B18" s="18" t="s">
        <v>371</v>
      </c>
      <c r="C18" s="44" t="s">
        <v>446</v>
      </c>
      <c r="E18" s="44"/>
      <c r="F18" s="4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4"/>
      <c r="AC18" s="44">
        <f>1460/4</f>
        <v>365</v>
      </c>
      <c r="AD18" s="44"/>
      <c r="AF18" s="44"/>
      <c r="AG18" s="44"/>
      <c r="AI18" s="44"/>
      <c r="AJ18" s="44"/>
      <c r="AL18" s="44"/>
      <c r="AM18" s="44"/>
      <c r="AO18" s="44"/>
      <c r="AP18" s="44"/>
      <c r="AR18" s="44"/>
      <c r="AS18" s="44"/>
      <c r="AU18" s="44"/>
      <c r="AV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3"/>
      <c r="BK18" s="3"/>
      <c r="BL18" s="3"/>
    </row>
    <row r="19" spans="1:64" s="44" customFormat="1">
      <c r="A19" s="17">
        <v>13</v>
      </c>
      <c r="B19" s="18" t="s">
        <v>438</v>
      </c>
      <c r="C19" s="44" t="s">
        <v>447</v>
      </c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BJ19" s="3"/>
      <c r="BK19" s="3"/>
      <c r="BL19" s="3"/>
    </row>
    <row r="20" spans="1:64">
      <c r="A20" s="17">
        <v>14</v>
      </c>
      <c r="B20" s="18" t="s">
        <v>192</v>
      </c>
      <c r="C20" s="44" t="s">
        <v>448</v>
      </c>
      <c r="E20" s="44"/>
      <c r="F20" s="44"/>
      <c r="H20" s="44"/>
      <c r="I20" s="44"/>
      <c r="K20" s="44"/>
      <c r="L20" s="44"/>
      <c r="N20" s="44"/>
      <c r="O20" s="44"/>
      <c r="Q20" s="44"/>
      <c r="R20" s="44"/>
      <c r="T20" s="44"/>
      <c r="U20" s="44"/>
      <c r="W20" s="44"/>
      <c r="X20" s="44"/>
      <c r="Z20" s="44"/>
      <c r="AA20" s="44"/>
      <c r="AC20" s="44"/>
      <c r="AD20" s="44"/>
      <c r="AF20" s="44"/>
      <c r="AG20" s="44"/>
      <c r="AI20" s="44"/>
      <c r="AJ20" s="44"/>
      <c r="AL20" s="44"/>
      <c r="AM20" s="44"/>
      <c r="AO20" s="44"/>
      <c r="AP20" s="44"/>
      <c r="AR20" s="44"/>
      <c r="AS20" s="44"/>
      <c r="AU20" s="44"/>
      <c r="AV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3"/>
      <c r="BK20" s="3"/>
      <c r="BL20" s="3"/>
    </row>
    <row r="21" spans="1:64">
      <c r="A21" s="17">
        <v>15</v>
      </c>
      <c r="B21" s="18" t="s">
        <v>371</v>
      </c>
      <c r="C21" s="44" t="s">
        <v>449</v>
      </c>
      <c r="E21" s="44"/>
      <c r="F21" s="24" t="s">
        <v>23</v>
      </c>
      <c r="G21" s="24"/>
      <c r="H21" s="44"/>
      <c r="I21" s="44"/>
      <c r="K21" s="44"/>
      <c r="L21" s="44"/>
      <c r="N21" s="44"/>
      <c r="O21" s="44"/>
      <c r="Q21" s="44"/>
      <c r="R21" s="44"/>
      <c r="T21" s="44"/>
      <c r="U21" s="44"/>
      <c r="W21" s="44"/>
      <c r="X21" s="44"/>
      <c r="Z21" s="44"/>
      <c r="AA21" s="44"/>
      <c r="AC21" s="44"/>
      <c r="AD21" s="44"/>
      <c r="AF21" s="44"/>
      <c r="AG21" s="44"/>
      <c r="AI21" s="44"/>
      <c r="AJ21" s="44"/>
      <c r="AL21" s="44"/>
      <c r="AM21" s="44"/>
      <c r="AO21" s="44"/>
      <c r="AP21" s="44"/>
      <c r="AR21" s="44"/>
      <c r="AS21" s="44"/>
      <c r="AU21" s="44"/>
      <c r="AV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3"/>
      <c r="BK21" s="3"/>
      <c r="BL21" s="3"/>
    </row>
    <row r="22" spans="1:64" s="44" customFormat="1">
      <c r="A22" s="17">
        <v>16</v>
      </c>
      <c r="B22" s="18" t="s">
        <v>438</v>
      </c>
      <c r="C22" s="44" t="s">
        <v>220</v>
      </c>
      <c r="F22" s="44" t="s">
        <v>450</v>
      </c>
      <c r="G22" s="24"/>
      <c r="BJ22" s="3"/>
      <c r="BK22" s="3"/>
      <c r="BL22" s="3"/>
    </row>
    <row r="23" spans="1:64">
      <c r="A23" s="17">
        <v>17</v>
      </c>
      <c r="B23" s="18" t="s">
        <v>194</v>
      </c>
      <c r="C23" s="44" t="s">
        <v>451</v>
      </c>
      <c r="E23" s="44"/>
      <c r="F23" s="44"/>
      <c r="H23" s="44"/>
      <c r="I23" s="44"/>
      <c r="K23" s="44"/>
      <c r="L23" s="44"/>
      <c r="N23" s="44"/>
      <c r="O23" s="44"/>
      <c r="Q23" s="44"/>
      <c r="R23" s="44"/>
      <c r="T23" s="44"/>
      <c r="U23" s="44"/>
      <c r="W23" s="44"/>
      <c r="X23" s="44"/>
      <c r="Z23" s="44"/>
      <c r="AA23" s="44"/>
      <c r="AC23" s="44"/>
      <c r="AD23" s="44"/>
      <c r="AF23" s="44"/>
      <c r="AG23" s="44"/>
      <c r="AI23" s="44"/>
      <c r="AJ23" s="44"/>
      <c r="AL23" s="44"/>
      <c r="AM23" s="44"/>
      <c r="AO23" s="44"/>
      <c r="AP23" s="44"/>
      <c r="AR23" s="44"/>
      <c r="AS23" s="44"/>
      <c r="AU23" s="44"/>
      <c r="AV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</row>
    <row r="24" spans="1:64">
      <c r="A24" s="17">
        <v>18</v>
      </c>
      <c r="B24" s="18" t="s">
        <v>371</v>
      </c>
      <c r="C24" s="44" t="s">
        <v>350</v>
      </c>
      <c r="E24" s="44"/>
      <c r="F24" s="44"/>
      <c r="H24" s="44"/>
      <c r="I24" s="44"/>
      <c r="K24" s="44"/>
      <c r="L24" s="44"/>
      <c r="N24" s="44"/>
      <c r="O24" s="44"/>
      <c r="Q24" s="44"/>
      <c r="R24" s="44"/>
      <c r="T24" s="44"/>
      <c r="U24" s="44"/>
      <c r="W24" s="44"/>
      <c r="X24" s="44"/>
      <c r="Z24" s="44"/>
      <c r="AA24" s="44"/>
      <c r="AC24" s="44"/>
      <c r="AD24" s="44"/>
      <c r="AF24" s="44"/>
      <c r="AG24" s="44"/>
      <c r="AI24" s="44"/>
      <c r="AJ24" s="44"/>
      <c r="AL24" s="44"/>
      <c r="AM24" s="44"/>
      <c r="AO24" s="44"/>
      <c r="AP24" s="44"/>
      <c r="AR24" s="44"/>
      <c r="AS24" s="44"/>
      <c r="AU24" s="44"/>
      <c r="AV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</row>
    <row r="25" spans="1:64" s="44" customFormat="1">
      <c r="A25" s="17">
        <v>19</v>
      </c>
      <c r="B25" s="18" t="s">
        <v>438</v>
      </c>
      <c r="C25" s="44" t="s">
        <v>452</v>
      </c>
    </row>
    <row r="26" spans="1:64">
      <c r="A26" s="17">
        <v>20</v>
      </c>
      <c r="B26" s="18" t="s">
        <v>196</v>
      </c>
      <c r="C26" s="44" t="s">
        <v>453</v>
      </c>
      <c r="E26" s="44"/>
      <c r="F26" s="44" t="s">
        <v>454</v>
      </c>
      <c r="H26" s="44"/>
      <c r="I26" s="44"/>
      <c r="K26" s="44"/>
      <c r="L26" s="44"/>
      <c r="N26" s="44"/>
      <c r="O26" s="44"/>
      <c r="Q26" s="44"/>
      <c r="R26" s="44"/>
      <c r="T26" s="44"/>
      <c r="U26" s="44"/>
      <c r="W26" s="44"/>
      <c r="X26" s="44"/>
      <c r="Z26" s="44"/>
      <c r="AA26" s="44"/>
      <c r="AC26" s="44"/>
      <c r="AD26" s="44"/>
      <c r="AF26" s="44"/>
      <c r="AG26" s="44"/>
      <c r="AI26" s="44"/>
      <c r="AJ26" s="44"/>
      <c r="AL26" s="44"/>
      <c r="AM26" s="44"/>
      <c r="AO26" s="44"/>
      <c r="AP26" s="44"/>
      <c r="AR26" s="44"/>
      <c r="AS26" s="44"/>
      <c r="AU26" s="44"/>
      <c r="AV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</row>
    <row r="27" spans="1:64" s="44" customFormat="1">
      <c r="A27" s="17">
        <v>21</v>
      </c>
      <c r="B27" s="18" t="s">
        <v>371</v>
      </c>
      <c r="C27" s="44" t="s">
        <v>455</v>
      </c>
    </row>
    <row r="28" spans="1:64">
      <c r="A28" s="17">
        <v>22</v>
      </c>
      <c r="B28" s="18" t="s">
        <v>438</v>
      </c>
      <c r="C28" s="44" t="s">
        <v>280</v>
      </c>
      <c r="E28" s="44"/>
      <c r="F28" s="44" t="s">
        <v>456</v>
      </c>
      <c r="H28" s="44"/>
      <c r="I28" s="44"/>
      <c r="K28" s="44"/>
      <c r="L28" s="44"/>
      <c r="N28" s="44"/>
      <c r="O28" s="44"/>
      <c r="Q28" s="44"/>
      <c r="R28" s="44"/>
      <c r="T28" s="44"/>
      <c r="U28" s="44"/>
      <c r="W28" s="44"/>
      <c r="X28" s="44"/>
      <c r="Z28" s="44"/>
      <c r="AA28" s="44"/>
      <c r="AC28" s="44"/>
      <c r="AD28" s="44"/>
      <c r="AF28" s="44"/>
      <c r="AG28" s="44"/>
      <c r="AI28" s="44"/>
      <c r="AJ28" s="44"/>
      <c r="AL28" s="44"/>
      <c r="AM28" s="44"/>
      <c r="AO28" s="44"/>
      <c r="AP28" s="44"/>
      <c r="AR28" s="44"/>
      <c r="AS28" s="44"/>
      <c r="AU28" s="44"/>
      <c r="AV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</row>
    <row r="29" spans="1:64">
      <c r="A29" s="17">
        <v>23</v>
      </c>
      <c r="B29" s="18" t="s">
        <v>198</v>
      </c>
      <c r="C29" s="44" t="s">
        <v>457</v>
      </c>
      <c r="E29" s="44"/>
      <c r="F29" s="44"/>
      <c r="H29" s="44"/>
      <c r="I29" s="44"/>
      <c r="K29" s="44"/>
      <c r="L29" s="44"/>
      <c r="N29" s="44"/>
      <c r="O29" s="44"/>
      <c r="Q29" s="44"/>
      <c r="R29" s="44"/>
      <c r="T29" s="44"/>
      <c r="U29" s="44"/>
      <c r="W29" s="44"/>
      <c r="X29" s="44"/>
      <c r="Z29" s="44"/>
      <c r="AA29" s="44"/>
      <c r="AC29" s="44"/>
      <c r="AD29" s="44"/>
      <c r="AF29" s="44"/>
      <c r="AG29" s="44"/>
      <c r="AI29" s="44"/>
      <c r="AJ29" s="44"/>
      <c r="AL29" s="44"/>
      <c r="AM29" s="44"/>
      <c r="AO29" s="44"/>
      <c r="AP29" s="44"/>
      <c r="AR29" s="44"/>
      <c r="AS29" s="44"/>
      <c r="AU29" s="44"/>
      <c r="AV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64" s="44" customFormat="1">
      <c r="A30" s="17">
        <v>24</v>
      </c>
      <c r="B30" s="18" t="s">
        <v>371</v>
      </c>
      <c r="C30" s="44" t="s">
        <v>296</v>
      </c>
    </row>
    <row r="31" spans="1:64">
      <c r="A31" s="17">
        <v>25</v>
      </c>
      <c r="B31" s="18" t="s">
        <v>438</v>
      </c>
      <c r="C31" s="44" t="s">
        <v>458</v>
      </c>
      <c r="E31" s="44"/>
      <c r="F31" s="44"/>
      <c r="H31" s="44"/>
      <c r="I31" s="44"/>
      <c r="K31" s="44"/>
      <c r="L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  <c r="AL31" s="44"/>
      <c r="AM31" s="44"/>
      <c r="AO31" s="44"/>
      <c r="AP31" s="44"/>
      <c r="AR31" s="44"/>
      <c r="AS31" s="44"/>
      <c r="AU31" s="44"/>
      <c r="AV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2" spans="1:64">
      <c r="A32" s="17">
        <v>26</v>
      </c>
      <c r="B32" s="18" t="s">
        <v>206</v>
      </c>
      <c r="C32" s="44" t="s">
        <v>459</v>
      </c>
      <c r="E32" s="44"/>
      <c r="F32" s="44"/>
      <c r="H32" s="44"/>
      <c r="I32" s="44"/>
      <c r="K32" s="44"/>
      <c r="L32" s="44"/>
      <c r="N32" s="44"/>
      <c r="O32" s="44"/>
      <c r="Q32" s="44"/>
      <c r="R32" s="44"/>
      <c r="T32" s="44"/>
      <c r="U32" s="44"/>
      <c r="W32" s="44"/>
      <c r="X32" s="44"/>
      <c r="Z32" s="44"/>
      <c r="AA32" s="44"/>
      <c r="AC32" s="44"/>
      <c r="AD32" s="44"/>
      <c r="AF32" s="44"/>
      <c r="AG32" s="44"/>
      <c r="AI32" s="44"/>
      <c r="AJ32" s="44"/>
      <c r="AL32" s="44"/>
      <c r="AM32" s="44"/>
      <c r="AO32" s="44"/>
      <c r="AP32" s="44"/>
      <c r="AR32" s="44"/>
      <c r="AS32" s="44"/>
      <c r="AU32" s="44"/>
      <c r="AV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</row>
    <row r="33" spans="1:3" s="44" customFormat="1">
      <c r="A33" s="17">
        <v>27</v>
      </c>
      <c r="B33" s="18" t="s">
        <v>371</v>
      </c>
      <c r="C33" s="44" t="s">
        <v>460</v>
      </c>
    </row>
    <row r="34" spans="1:3">
      <c r="A34" s="17">
        <v>28</v>
      </c>
      <c r="B34" s="18" t="s">
        <v>438</v>
      </c>
      <c r="C34" s="44" t="s">
        <v>461</v>
      </c>
    </row>
    <row r="35" spans="1:3">
      <c r="A35" s="17">
        <v>29</v>
      </c>
      <c r="B35" s="18" t="s">
        <v>208</v>
      </c>
      <c r="C35" s="44" t="s">
        <v>462</v>
      </c>
    </row>
    <row r="36" spans="1:3" s="44" customFormat="1">
      <c r="A36" s="17">
        <v>30</v>
      </c>
      <c r="B36" s="18" t="s">
        <v>371</v>
      </c>
      <c r="C36" s="44" t="s">
        <v>463</v>
      </c>
    </row>
    <row r="37" spans="1:3">
      <c r="A37" s="17">
        <v>31</v>
      </c>
      <c r="B37" s="18" t="s">
        <v>438</v>
      </c>
      <c r="C37" s="44" t="s">
        <v>464</v>
      </c>
    </row>
    <row r="38" spans="1:3">
      <c r="A38" s="17">
        <v>32</v>
      </c>
      <c r="B38" s="18" t="s">
        <v>210</v>
      </c>
      <c r="C38" s="44" t="s">
        <v>465</v>
      </c>
    </row>
    <row r="39" spans="1:3" s="44" customFormat="1">
      <c r="A39" s="17">
        <v>33</v>
      </c>
      <c r="B39" s="18" t="s">
        <v>371</v>
      </c>
      <c r="C39" s="44" t="s">
        <v>466</v>
      </c>
    </row>
    <row r="40" spans="1:3">
      <c r="A40" s="17">
        <v>34</v>
      </c>
      <c r="B40" s="18" t="s">
        <v>438</v>
      </c>
      <c r="C40" s="44" t="s">
        <v>467</v>
      </c>
    </row>
    <row r="41" spans="1:3" s="31" customFormat="1">
      <c r="A41" s="17">
        <v>35</v>
      </c>
      <c r="B41" s="30" t="s">
        <v>212</v>
      </c>
      <c r="C41" s="31" t="s">
        <v>468</v>
      </c>
    </row>
    <row r="42" spans="1:3" s="31" customFormat="1">
      <c r="A42" s="17">
        <v>36</v>
      </c>
      <c r="B42" s="30" t="s">
        <v>371</v>
      </c>
      <c r="C42" s="31" t="s">
        <v>469</v>
      </c>
    </row>
    <row r="43" spans="1:3" s="31" customFormat="1">
      <c r="A43" s="17">
        <v>37</v>
      </c>
      <c r="B43" s="30" t="s">
        <v>438</v>
      </c>
      <c r="C43" s="31" t="s">
        <v>470</v>
      </c>
    </row>
    <row r="44" spans="1:3" s="31" customFormat="1">
      <c r="A44" s="17">
        <v>38</v>
      </c>
      <c r="B44" s="30" t="s">
        <v>200</v>
      </c>
      <c r="C44" s="31" t="s">
        <v>471</v>
      </c>
    </row>
    <row r="45" spans="1:3" s="31" customFormat="1">
      <c r="A45" s="17">
        <v>39</v>
      </c>
      <c r="B45" s="30" t="s">
        <v>371</v>
      </c>
      <c r="C45" s="31" t="s">
        <v>472</v>
      </c>
    </row>
    <row r="46" spans="1:3" s="31" customFormat="1">
      <c r="A46" s="17">
        <v>40</v>
      </c>
      <c r="B46" s="30" t="s">
        <v>438</v>
      </c>
      <c r="C46" s="31" t="s">
        <v>473</v>
      </c>
    </row>
    <row r="47" spans="1:3" s="31" customFormat="1">
      <c r="A47" s="17">
        <v>41</v>
      </c>
      <c r="B47" s="30" t="s">
        <v>474</v>
      </c>
      <c r="C47" s="31" t="s">
        <v>475</v>
      </c>
    </row>
    <row r="48" spans="1:3" s="31" customFormat="1">
      <c r="A48" s="17">
        <v>42</v>
      </c>
      <c r="B48" s="30" t="s">
        <v>371</v>
      </c>
      <c r="C48" s="31" t="s">
        <v>476</v>
      </c>
    </row>
    <row r="49" spans="1:3" s="31" customFormat="1">
      <c r="A49" s="17">
        <v>43</v>
      </c>
      <c r="B49" s="30" t="s">
        <v>438</v>
      </c>
      <c r="C49" s="31" t="s">
        <v>477</v>
      </c>
    </row>
    <row r="50" spans="1:3" s="31" customFormat="1">
      <c r="A50" s="17">
        <v>44</v>
      </c>
      <c r="B50" s="30" t="s">
        <v>399</v>
      </c>
      <c r="C50" s="31" t="s">
        <v>478</v>
      </c>
    </row>
    <row r="51" spans="1:3" s="31" customFormat="1">
      <c r="A51" s="17">
        <v>45</v>
      </c>
      <c r="B51" s="30" t="s">
        <v>371</v>
      </c>
      <c r="C51" s="31" t="s">
        <v>479</v>
      </c>
    </row>
    <row r="52" spans="1:3" s="31" customFormat="1">
      <c r="A52" s="17">
        <v>46</v>
      </c>
      <c r="B52" s="30" t="s">
        <v>438</v>
      </c>
      <c r="C52" s="31" t="s">
        <v>480</v>
      </c>
    </row>
    <row r="53" spans="1:3" s="31" customFormat="1">
      <c r="A53" s="17">
        <v>47</v>
      </c>
      <c r="B53" s="30" t="s">
        <v>204</v>
      </c>
      <c r="C53" s="31" t="s">
        <v>481</v>
      </c>
    </row>
    <row r="54" spans="1:3" s="31" customFormat="1">
      <c r="A54" s="17">
        <v>48</v>
      </c>
      <c r="B54" s="30" t="s">
        <v>371</v>
      </c>
      <c r="C54" s="31" t="s">
        <v>482</v>
      </c>
    </row>
    <row r="55" spans="1:3" s="31" customFormat="1">
      <c r="A55" s="17">
        <v>49</v>
      </c>
      <c r="B55" s="30" t="s">
        <v>438</v>
      </c>
      <c r="C55" s="31" t="s">
        <v>483</v>
      </c>
    </row>
    <row r="56" spans="1:3">
      <c r="A56" s="17">
        <v>50</v>
      </c>
      <c r="B56" s="18" t="s">
        <v>404</v>
      </c>
      <c r="C56" s="44" t="s">
        <v>484</v>
      </c>
    </row>
    <row r="57" spans="1:3">
      <c r="A57" s="17">
        <v>51</v>
      </c>
      <c r="B57" s="18" t="s">
        <v>405</v>
      </c>
      <c r="C57" s="44" t="s">
        <v>485</v>
      </c>
    </row>
    <row r="58" spans="1:3">
      <c r="A58" s="17">
        <v>52</v>
      </c>
      <c r="B58" s="18" t="s">
        <v>406</v>
      </c>
      <c r="C58" s="44" t="s">
        <v>486</v>
      </c>
    </row>
    <row r="59" spans="1:3">
      <c r="A59" s="17">
        <v>53</v>
      </c>
      <c r="B59" s="18" t="s">
        <v>9</v>
      </c>
      <c r="C59" s="44" t="s">
        <v>487</v>
      </c>
    </row>
    <row r="60" spans="1:3">
      <c r="A60" s="17">
        <v>54</v>
      </c>
      <c r="B60" s="18" t="s">
        <v>407</v>
      </c>
      <c r="C60" s="44" t="s">
        <v>488</v>
      </c>
    </row>
    <row r="61" spans="1:3">
      <c r="A61" s="17">
        <v>55</v>
      </c>
      <c r="B61" s="18" t="s">
        <v>408</v>
      </c>
      <c r="C61" s="44" t="s">
        <v>489</v>
      </c>
    </row>
    <row r="62" spans="1:3">
      <c r="A62" s="17">
        <v>56</v>
      </c>
      <c r="B62" s="18" t="s">
        <v>409</v>
      </c>
      <c r="C62" s="44" t="s">
        <v>490</v>
      </c>
    </row>
    <row r="63" spans="1:3">
      <c r="A63" s="17">
        <v>57</v>
      </c>
      <c r="B63" s="18" t="s">
        <v>410</v>
      </c>
      <c r="C63" s="44" t="s">
        <v>491</v>
      </c>
    </row>
    <row r="64" spans="1:3">
      <c r="A64" s="17">
        <v>58</v>
      </c>
      <c r="B64" s="18" t="s">
        <v>411</v>
      </c>
      <c r="C64" s="44" t="s">
        <v>492</v>
      </c>
    </row>
    <row r="65" spans="1:3">
      <c r="A65" s="17">
        <v>59</v>
      </c>
      <c r="B65" s="18" t="s">
        <v>493</v>
      </c>
      <c r="C65" s="44" t="s">
        <v>494</v>
      </c>
    </row>
    <row r="66" spans="1:3">
      <c r="A66" s="17">
        <v>60</v>
      </c>
      <c r="B66" s="18" t="s">
        <v>495</v>
      </c>
      <c r="C66" s="44" t="s">
        <v>496</v>
      </c>
    </row>
    <row r="67" spans="1:3">
      <c r="A67" s="17">
        <v>61</v>
      </c>
      <c r="B67" s="18" t="s">
        <v>414</v>
      </c>
      <c r="C67" s="44" t="s">
        <v>497</v>
      </c>
    </row>
    <row r="68" spans="1:3">
      <c r="A68" s="17">
        <v>62</v>
      </c>
      <c r="B68" s="18" t="s">
        <v>415</v>
      </c>
      <c r="C68" s="44" t="s">
        <v>498</v>
      </c>
    </row>
    <row r="69" spans="1:3" s="44" customFormat="1">
      <c r="A69" s="17">
        <v>63</v>
      </c>
      <c r="B69" s="18" t="s">
        <v>416</v>
      </c>
      <c r="C69" s="44" t="s">
        <v>499</v>
      </c>
    </row>
    <row r="70" spans="1:3">
      <c r="A70" s="17">
        <v>64</v>
      </c>
      <c r="B70" s="18" t="s">
        <v>500</v>
      </c>
      <c r="C70" s="44" t="s">
        <v>501</v>
      </c>
    </row>
    <row r="71" spans="1:3">
      <c r="A71" s="17">
        <v>65</v>
      </c>
      <c r="B71" s="18" t="s">
        <v>418</v>
      </c>
      <c r="C71" s="44" t="s">
        <v>502</v>
      </c>
    </row>
    <row r="72" spans="1:3" s="44" customFormat="1">
      <c r="A72" s="17">
        <v>66</v>
      </c>
      <c r="B72" s="18" t="s">
        <v>419</v>
      </c>
      <c r="C72" s="44" t="s">
        <v>503</v>
      </c>
    </row>
    <row r="73" spans="1:3">
      <c r="A73" s="17">
        <v>67</v>
      </c>
      <c r="B73" s="18" t="s">
        <v>504</v>
      </c>
      <c r="C73" s="44" t="s">
        <v>505</v>
      </c>
    </row>
    <row r="74" spans="1:3">
      <c r="A74" s="17">
        <v>68</v>
      </c>
      <c r="B74" s="18" t="s">
        <v>421</v>
      </c>
      <c r="C74" s="44" t="s">
        <v>506</v>
      </c>
    </row>
    <row r="75" spans="1:3" s="44" customFormat="1">
      <c r="A75" s="17">
        <v>69</v>
      </c>
      <c r="B75" s="18" t="s">
        <v>422</v>
      </c>
      <c r="C75" s="44" t="s">
        <v>507</v>
      </c>
    </row>
    <row r="76" spans="1:3">
      <c r="A76" s="17">
        <v>70</v>
      </c>
      <c r="B76" s="18" t="s">
        <v>508</v>
      </c>
      <c r="C76" s="44" t="s">
        <v>509</v>
      </c>
    </row>
    <row r="77" spans="1:3">
      <c r="A77" s="17">
        <v>71</v>
      </c>
      <c r="B77" s="18" t="s">
        <v>424</v>
      </c>
      <c r="C77" s="44" t="s">
        <v>510</v>
      </c>
    </row>
    <row r="78" spans="1:3" s="44" customFormat="1">
      <c r="A78" s="17">
        <v>72</v>
      </c>
      <c r="B78" s="18" t="s">
        <v>425</v>
      </c>
      <c r="C78" s="44" t="s">
        <v>511</v>
      </c>
    </row>
    <row r="79" spans="1:3">
      <c r="A79" s="17">
        <v>73</v>
      </c>
      <c r="B79" s="18" t="s">
        <v>512</v>
      </c>
      <c r="C79" s="44" t="s">
        <v>513</v>
      </c>
    </row>
    <row r="80" spans="1:3">
      <c r="A80" s="17">
        <v>74</v>
      </c>
      <c r="B80" s="18" t="s">
        <v>427</v>
      </c>
      <c r="C80" s="44" t="s">
        <v>514</v>
      </c>
    </row>
    <row r="81" spans="1:3" s="44" customFormat="1">
      <c r="A81" s="17">
        <v>75</v>
      </c>
      <c r="B81" s="18" t="s">
        <v>428</v>
      </c>
      <c r="C81" s="44" t="s">
        <v>515</v>
      </c>
    </row>
    <row r="82" spans="1:3">
      <c r="A82" s="17">
        <v>76</v>
      </c>
      <c r="B82" s="18" t="s">
        <v>516</v>
      </c>
      <c r="C82" s="44" t="s">
        <v>517</v>
      </c>
    </row>
    <row r="83" spans="1:3">
      <c r="A83" s="17">
        <v>77</v>
      </c>
      <c r="B83" s="18" t="s">
        <v>430</v>
      </c>
      <c r="C83" s="44" t="s">
        <v>518</v>
      </c>
    </row>
    <row r="84" spans="1:3">
      <c r="A84" s="17">
        <v>78</v>
      </c>
      <c r="B84" s="18" t="s">
        <v>519</v>
      </c>
      <c r="C84" s="44" t="s">
        <v>520</v>
      </c>
    </row>
    <row r="85" spans="1:3">
      <c r="A85" s="17">
        <v>79</v>
      </c>
      <c r="B85" s="18" t="s">
        <v>521</v>
      </c>
      <c r="C85" s="44" t="s">
        <v>522</v>
      </c>
    </row>
  </sheetData>
  <sheetProtection algorithmName="SHA-512" hashValue="d2LuZmE2Waiy9DCCtEeipBbthFIonqdOMklDyPA24lq1K7fj973Uhq/d1iutv7J4QSrcKIxdfDFRI5v+/xrpqg==" saltValue="SKthX4JKleFXhPH+EU91aw==" spinCount="100000" sheet="1" formatCells="0" formatColumns="0" formatRows="0" insertColumns="0" insertRows="0" insertHyperlinks="0" deleteColumns="0" deleteRows="0" sort="0" autoFilter="0" pivotTables="0"/>
  <mergeCells count="1">
    <mergeCell ref="H7:Z18"/>
  </mergeCells>
  <phoneticPr fontId="6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110"/>
  <sheetViews>
    <sheetView topLeftCell="J1" zoomScale="55" zoomScaleNormal="55" zoomScaleSheetLayoutView="70" workbookViewId="0">
      <selection activeCell="N3" sqref="N3"/>
    </sheetView>
  </sheetViews>
  <sheetFormatPr defaultColWidth="8.85546875" defaultRowHeight="14.45"/>
  <cols>
    <col min="1" max="1" width="16.140625" customWidth="1"/>
    <col min="2" max="2" width="14.5703125" customWidth="1"/>
    <col min="3" max="3" width="30.140625" customWidth="1"/>
    <col min="4" max="4" width="27.5703125" customWidth="1"/>
    <col min="5" max="5" width="14.42578125" bestFit="1" customWidth="1"/>
    <col min="6" max="6" width="18.42578125" style="32" bestFit="1" customWidth="1"/>
    <col min="7" max="7" width="13.140625" customWidth="1"/>
    <col min="8" max="8" width="12.42578125" customWidth="1"/>
    <col min="9" max="9" width="35.140625" customWidth="1"/>
    <col min="10" max="10" width="32.85546875" bestFit="1" customWidth="1"/>
    <col min="11" max="11" width="19.42578125" style="44" customWidth="1"/>
    <col min="12" max="12" width="21.140625" customWidth="1"/>
    <col min="13" max="13" width="57.7109375" customWidth="1"/>
    <col min="14" max="14" width="25.85546875" customWidth="1"/>
    <col min="15" max="19" width="19.42578125" customWidth="1"/>
    <col min="20" max="33" width="8.5703125" customWidth="1"/>
    <col min="34" max="34" width="12.42578125" customWidth="1"/>
    <col min="35" max="36" width="8.5703125" customWidth="1"/>
    <col min="37" max="37" width="18.5703125" customWidth="1"/>
    <col min="44" max="44" width="16.140625" customWidth="1"/>
    <col min="46" max="46" width="12.42578125" customWidth="1"/>
    <col min="47" max="47" width="14" customWidth="1"/>
    <col min="48" max="55" width="12.42578125" bestFit="1" customWidth="1"/>
    <col min="61" max="61" width="12.42578125" bestFit="1" customWidth="1"/>
    <col min="62" max="62" width="10.85546875" bestFit="1" customWidth="1"/>
  </cols>
  <sheetData>
    <row r="1" spans="1:63" s="44" customFormat="1" ht="23.45">
      <c r="D1" s="70" t="s">
        <v>523</v>
      </c>
      <c r="F1" s="32"/>
      <c r="M1" s="70"/>
    </row>
    <row r="2" spans="1:63" s="44" customFormat="1">
      <c r="F2" s="32"/>
      <c r="M2" s="2"/>
    </row>
    <row r="3" spans="1:63" ht="63.95" customHeight="1">
      <c r="A3" s="44"/>
      <c r="B3" s="44"/>
      <c r="C3" s="27"/>
      <c r="D3" s="481">
        <v>2024</v>
      </c>
      <c r="E3" s="481"/>
      <c r="F3" s="481"/>
      <c r="G3" s="481"/>
      <c r="H3" s="481"/>
      <c r="I3" s="481"/>
      <c r="J3" s="339" t="s">
        <v>524</v>
      </c>
      <c r="K3" s="340" t="s">
        <v>525</v>
      </c>
      <c r="L3" s="340" t="s">
        <v>526</v>
      </c>
      <c r="M3" s="336" t="s">
        <v>527</v>
      </c>
      <c r="N3" s="337">
        <v>2023</v>
      </c>
      <c r="O3" s="337">
        <f>N3+1</f>
        <v>2024</v>
      </c>
      <c r="P3" s="337">
        <f t="shared" ref="P3:S3" si="0">O3+1</f>
        <v>2025</v>
      </c>
      <c r="Q3" s="337">
        <f t="shared" si="0"/>
        <v>2026</v>
      </c>
      <c r="R3" s="337">
        <f t="shared" si="0"/>
        <v>2027</v>
      </c>
      <c r="S3" s="337">
        <f t="shared" si="0"/>
        <v>2028</v>
      </c>
      <c r="T3" s="337">
        <f>S3+1</f>
        <v>2029</v>
      </c>
      <c r="U3" s="337">
        <f t="shared" ref="U3:AG3" si="1">T3+1</f>
        <v>2030</v>
      </c>
      <c r="V3" s="337">
        <f t="shared" si="1"/>
        <v>2031</v>
      </c>
      <c r="W3" s="337">
        <f t="shared" si="1"/>
        <v>2032</v>
      </c>
      <c r="X3" s="337">
        <f t="shared" si="1"/>
        <v>2033</v>
      </c>
      <c r="Y3" s="337">
        <f t="shared" si="1"/>
        <v>2034</v>
      </c>
      <c r="Z3" s="337">
        <f t="shared" si="1"/>
        <v>2035</v>
      </c>
      <c r="AA3" s="337">
        <f t="shared" si="1"/>
        <v>2036</v>
      </c>
      <c r="AB3" s="337">
        <f t="shared" si="1"/>
        <v>2037</v>
      </c>
      <c r="AC3" s="337">
        <f t="shared" si="1"/>
        <v>2038</v>
      </c>
      <c r="AD3" s="337">
        <f t="shared" si="1"/>
        <v>2039</v>
      </c>
      <c r="AE3" s="337">
        <f t="shared" si="1"/>
        <v>2040</v>
      </c>
      <c r="AF3" s="337">
        <f t="shared" si="1"/>
        <v>2041</v>
      </c>
      <c r="AG3" s="337">
        <f t="shared" si="1"/>
        <v>2042</v>
      </c>
      <c r="AH3" s="337">
        <f>AG3+1</f>
        <v>2043</v>
      </c>
      <c r="AI3" s="337">
        <f t="shared" ref="AI3:AQ3" si="2">AH3+1</f>
        <v>2044</v>
      </c>
      <c r="AJ3" s="337">
        <f t="shared" si="2"/>
        <v>2045</v>
      </c>
      <c r="AK3" s="337">
        <f t="shared" si="2"/>
        <v>2046</v>
      </c>
      <c r="AL3" s="337">
        <f t="shared" si="2"/>
        <v>2047</v>
      </c>
      <c r="AM3" s="337">
        <f t="shared" si="2"/>
        <v>2048</v>
      </c>
      <c r="AN3" s="337">
        <f t="shared" si="2"/>
        <v>2049</v>
      </c>
      <c r="AO3" s="337">
        <f t="shared" si="2"/>
        <v>2050</v>
      </c>
      <c r="AP3" s="337">
        <f t="shared" si="2"/>
        <v>2051</v>
      </c>
      <c r="AQ3" s="337">
        <f t="shared" si="2"/>
        <v>2052</v>
      </c>
      <c r="AR3" s="337">
        <v>2053</v>
      </c>
      <c r="AS3" s="338" t="s">
        <v>528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35"/>
      <c r="BK3" s="44"/>
    </row>
    <row r="4" spans="1:63" ht="31.5" customHeight="1">
      <c r="A4" s="44"/>
      <c r="B4" s="44"/>
      <c r="C4" s="27"/>
      <c r="D4" s="481"/>
      <c r="E4" s="481"/>
      <c r="F4" s="481"/>
      <c r="G4" s="481"/>
      <c r="H4" s="481"/>
      <c r="I4" s="481"/>
      <c r="J4" s="131" t="s">
        <v>529</v>
      </c>
      <c r="K4" s="269">
        <f>O4</f>
        <v>0.55902000000000007</v>
      </c>
      <c r="L4" s="132">
        <f>AS4</f>
        <v>0.58927766237276424</v>
      </c>
      <c r="M4" s="332" t="s">
        <v>530</v>
      </c>
      <c r="N4" s="333">
        <f>0.4*1.1*1.1*1.1</f>
        <v>0.5324000000000001</v>
      </c>
      <c r="O4" s="333">
        <f t="shared" ref="O4:O15" si="3">N4*1.05</f>
        <v>0.55902000000000007</v>
      </c>
      <c r="P4" s="333">
        <f t="shared" ref="P4:AE15" si="4">O4*1.05</f>
        <v>0.58697100000000013</v>
      </c>
      <c r="Q4" s="333">
        <f t="shared" ref="Q4:U4" si="5">P4*1.02</f>
        <v>0.59871042000000019</v>
      </c>
      <c r="R4" s="333">
        <f t="shared" si="5"/>
        <v>0.61068462840000015</v>
      </c>
      <c r="S4" s="333">
        <f t="shared" si="5"/>
        <v>0.62289832096800013</v>
      </c>
      <c r="T4" s="333">
        <f t="shared" si="5"/>
        <v>0.63535628738736016</v>
      </c>
      <c r="U4" s="333">
        <f t="shared" si="5"/>
        <v>0.6480634131351074</v>
      </c>
      <c r="V4" s="333">
        <f>U4*1.02</f>
        <v>0.66102468139780957</v>
      </c>
      <c r="W4" s="333">
        <f>V4</f>
        <v>0.66102468139780957</v>
      </c>
      <c r="X4" s="333">
        <f>W4*0.99</f>
        <v>0.65441443458383142</v>
      </c>
      <c r="Y4" s="333">
        <f t="shared" ref="Y4:AH5" si="6">X4*0.99</f>
        <v>0.64787029023799314</v>
      </c>
      <c r="Z4" s="333">
        <f t="shared" si="6"/>
        <v>0.64139158733561319</v>
      </c>
      <c r="AA4" s="333">
        <f t="shared" si="6"/>
        <v>0.63497767146225703</v>
      </c>
      <c r="AB4" s="333">
        <f t="shared" si="6"/>
        <v>0.62862789474763447</v>
      </c>
      <c r="AC4" s="333">
        <f t="shared" si="6"/>
        <v>0.62234161580015812</v>
      </c>
      <c r="AD4" s="333">
        <f t="shared" si="6"/>
        <v>0.61611819964215653</v>
      </c>
      <c r="AE4" s="333">
        <f t="shared" si="6"/>
        <v>0.60995701764573496</v>
      </c>
      <c r="AF4" s="333">
        <f t="shared" si="6"/>
        <v>0.60385744746927761</v>
      </c>
      <c r="AG4" s="333">
        <f t="shared" si="6"/>
        <v>0.5978188729945848</v>
      </c>
      <c r="AH4" s="333">
        <f>AG4*0.98</f>
        <v>0.58586249553469305</v>
      </c>
      <c r="AI4" s="333">
        <f t="shared" ref="AI4:AP4" si="7">AH4*0.98</f>
        <v>0.57414524562399916</v>
      </c>
      <c r="AJ4" s="333">
        <f t="shared" si="7"/>
        <v>0.56266234071151922</v>
      </c>
      <c r="AK4" s="333">
        <f t="shared" si="7"/>
        <v>0.55140909389728887</v>
      </c>
      <c r="AL4" s="333">
        <f t="shared" si="7"/>
        <v>0.54038091201934313</v>
      </c>
      <c r="AM4" s="333">
        <f t="shared" si="7"/>
        <v>0.52957329377895623</v>
      </c>
      <c r="AN4" s="333">
        <f t="shared" si="7"/>
        <v>0.5189818279033771</v>
      </c>
      <c r="AO4" s="333">
        <f t="shared" si="7"/>
        <v>0.5086021913453096</v>
      </c>
      <c r="AP4" s="333">
        <f t="shared" si="7"/>
        <v>0.49843014751840342</v>
      </c>
      <c r="AQ4" s="333">
        <f>AP4*0.98</f>
        <v>0.48846154456803537</v>
      </c>
      <c r="AR4" s="333">
        <f>AQ4*0.98</f>
        <v>0.47869231367667464</v>
      </c>
      <c r="AS4" s="334">
        <f>SUM(O4:AR4)/30</f>
        <v>0.58927766237276424</v>
      </c>
      <c r="AT4" s="44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478"/>
      <c r="BK4" s="41"/>
    </row>
    <row r="5" spans="1:63">
      <c r="A5" s="44"/>
      <c r="B5" s="44"/>
      <c r="C5" s="49"/>
      <c r="D5" s="482" t="s">
        <v>531</v>
      </c>
      <c r="E5" s="483"/>
      <c r="F5" s="483"/>
      <c r="G5" s="482" t="s">
        <v>532</v>
      </c>
      <c r="H5" s="483"/>
      <c r="I5" s="483"/>
      <c r="J5" s="131" t="s">
        <v>533</v>
      </c>
      <c r="K5" s="269">
        <f t="shared" ref="K5:K15" si="8">O5</f>
        <v>0.52500000000000002</v>
      </c>
      <c r="L5" s="132">
        <f t="shared" ref="L5:L15" si="9">AS5</f>
        <v>0.72561050264248261</v>
      </c>
      <c r="M5" s="332" t="s">
        <v>534</v>
      </c>
      <c r="N5" s="333">
        <v>0.5</v>
      </c>
      <c r="O5" s="333">
        <f t="shared" si="3"/>
        <v>0.52500000000000002</v>
      </c>
      <c r="P5" s="333">
        <f t="shared" si="4"/>
        <v>0.55125000000000002</v>
      </c>
      <c r="Q5" s="333">
        <f t="shared" si="4"/>
        <v>0.57881250000000006</v>
      </c>
      <c r="R5" s="333">
        <f t="shared" si="4"/>
        <v>0.60775312500000012</v>
      </c>
      <c r="S5" s="333">
        <f t="shared" si="4"/>
        <v>0.63814078125000018</v>
      </c>
      <c r="T5" s="333">
        <f>S5*1.03</f>
        <v>0.65728500468750017</v>
      </c>
      <c r="U5" s="333">
        <f t="shared" ref="U5:AH6" si="10">T5*1.03</f>
        <v>0.67700355482812524</v>
      </c>
      <c r="V5" s="333">
        <f t="shared" si="10"/>
        <v>0.69731366147296903</v>
      </c>
      <c r="W5" s="333">
        <f t="shared" si="10"/>
        <v>0.71823307131715808</v>
      </c>
      <c r="X5" s="333">
        <f t="shared" si="10"/>
        <v>0.7397800634566728</v>
      </c>
      <c r="Y5" s="333">
        <f t="shared" si="10"/>
        <v>0.76197346536037303</v>
      </c>
      <c r="Z5" s="333">
        <f t="shared" si="10"/>
        <v>0.78483266932118423</v>
      </c>
      <c r="AA5" s="333">
        <f>Z5*1.01</f>
        <v>0.79268099601439612</v>
      </c>
      <c r="AB5" s="333">
        <f t="shared" ref="AB5:AD5" si="11">AA5*1.01</f>
        <v>0.80060780597454007</v>
      </c>
      <c r="AC5" s="333">
        <f t="shared" si="11"/>
        <v>0.80861388403428547</v>
      </c>
      <c r="AD5" s="333">
        <f t="shared" si="11"/>
        <v>0.81670002287462828</v>
      </c>
      <c r="AE5" s="333">
        <f t="shared" si="6"/>
        <v>0.808533022645882</v>
      </c>
      <c r="AF5" s="333">
        <f t="shared" si="6"/>
        <v>0.80044769241942315</v>
      </c>
      <c r="AG5" s="333">
        <f t="shared" si="6"/>
        <v>0.79244321549522889</v>
      </c>
      <c r="AH5" s="333">
        <f t="shared" si="6"/>
        <v>0.78451878334027658</v>
      </c>
      <c r="AI5" s="333">
        <f>AH5*0.99</f>
        <v>0.77667359550687376</v>
      </c>
      <c r="AJ5" s="333">
        <f t="shared" ref="AJ5:AR5" si="12">AI5*0.99</f>
        <v>0.76890685955180504</v>
      </c>
      <c r="AK5" s="333">
        <f t="shared" si="12"/>
        <v>0.76121779095628694</v>
      </c>
      <c r="AL5" s="333">
        <f t="shared" si="12"/>
        <v>0.75360561304672402</v>
      </c>
      <c r="AM5" s="333">
        <f t="shared" si="12"/>
        <v>0.74606955691625676</v>
      </c>
      <c r="AN5" s="333">
        <f t="shared" si="12"/>
        <v>0.73860886134709414</v>
      </c>
      <c r="AO5" s="333">
        <f t="shared" si="12"/>
        <v>0.73122277273362324</v>
      </c>
      <c r="AP5" s="333">
        <f t="shared" si="12"/>
        <v>0.72391054500628704</v>
      </c>
      <c r="AQ5" s="333">
        <f t="shared" si="12"/>
        <v>0.71667143955622414</v>
      </c>
      <c r="AR5" s="333">
        <f t="shared" si="12"/>
        <v>0.70950472516066188</v>
      </c>
      <c r="AS5" s="334">
        <f t="shared" ref="AS5:AS15" si="13">SUM(O5:AR5)/30</f>
        <v>0.72561050264248261</v>
      </c>
      <c r="AT5" s="44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478"/>
      <c r="BK5" s="41"/>
    </row>
    <row r="6" spans="1:63" ht="43.5">
      <c r="A6" s="44"/>
      <c r="B6" s="44"/>
      <c r="C6" s="49" t="s">
        <v>261</v>
      </c>
      <c r="D6" s="236" t="s">
        <v>535</v>
      </c>
      <c r="E6" s="353" t="s">
        <v>536</v>
      </c>
      <c r="F6" s="236" t="s">
        <v>537</v>
      </c>
      <c r="G6" s="236" t="s">
        <v>538</v>
      </c>
      <c r="H6" s="353" t="s">
        <v>539</v>
      </c>
      <c r="I6" s="236" t="s">
        <v>537</v>
      </c>
      <c r="J6" s="131" t="s">
        <v>540</v>
      </c>
      <c r="K6" s="269">
        <f t="shared" si="8"/>
        <v>0.55650000000000011</v>
      </c>
      <c r="L6" s="132">
        <f t="shared" si="9"/>
        <v>0.95192799021740271</v>
      </c>
      <c r="M6" s="332" t="s">
        <v>541</v>
      </c>
      <c r="N6" s="333">
        <v>0.53</v>
      </c>
      <c r="O6" s="333">
        <f t="shared" si="3"/>
        <v>0.55650000000000011</v>
      </c>
      <c r="P6" s="333">
        <f t="shared" si="4"/>
        <v>0.58432500000000009</v>
      </c>
      <c r="Q6" s="333">
        <f t="shared" si="4"/>
        <v>0.61354125000000015</v>
      </c>
      <c r="R6" s="333">
        <f t="shared" si="4"/>
        <v>0.64421831250000017</v>
      </c>
      <c r="S6" s="333">
        <f t="shared" si="4"/>
        <v>0.67642922812500017</v>
      </c>
      <c r="T6" s="333">
        <f t="shared" si="4"/>
        <v>0.71025068953125026</v>
      </c>
      <c r="U6" s="333">
        <f t="shared" si="4"/>
        <v>0.74576322400781281</v>
      </c>
      <c r="V6" s="333">
        <f t="shared" si="4"/>
        <v>0.7830513852082035</v>
      </c>
      <c r="W6" s="333">
        <f>V6*1.03</f>
        <v>0.80654292676444961</v>
      </c>
      <c r="X6" s="333">
        <f t="shared" si="10"/>
        <v>0.83073921456738309</v>
      </c>
      <c r="Y6" s="333">
        <f t="shared" si="10"/>
        <v>0.85566139100440464</v>
      </c>
      <c r="Z6" s="333">
        <f t="shared" si="10"/>
        <v>0.88133123273453684</v>
      </c>
      <c r="AA6" s="333">
        <f t="shared" si="10"/>
        <v>0.90777116971657301</v>
      </c>
      <c r="AB6" s="333">
        <f t="shared" si="10"/>
        <v>0.93500430480807017</v>
      </c>
      <c r="AC6" s="333">
        <f t="shared" si="10"/>
        <v>0.96305443395231227</v>
      </c>
      <c r="AD6" s="333">
        <f t="shared" si="10"/>
        <v>0.99194606697088161</v>
      </c>
      <c r="AE6" s="333">
        <f t="shared" si="10"/>
        <v>1.021704448980008</v>
      </c>
      <c r="AF6" s="333">
        <f t="shared" si="10"/>
        <v>1.0523555824494082</v>
      </c>
      <c r="AG6" s="333">
        <f t="shared" si="10"/>
        <v>1.0839262499228906</v>
      </c>
      <c r="AH6" s="333">
        <f t="shared" si="10"/>
        <v>1.1164440374205773</v>
      </c>
      <c r="AI6" s="333">
        <f>AH6*1.01</f>
        <v>1.127608477794783</v>
      </c>
      <c r="AJ6" s="333">
        <f t="shared" ref="AJ6:AR6" si="14">AI6*1.01</f>
        <v>1.1388845625727309</v>
      </c>
      <c r="AK6" s="333">
        <f t="shared" si="14"/>
        <v>1.1502734081984582</v>
      </c>
      <c r="AL6" s="333">
        <f t="shared" si="14"/>
        <v>1.1617761422804429</v>
      </c>
      <c r="AM6" s="333">
        <f t="shared" si="14"/>
        <v>1.1733939037032473</v>
      </c>
      <c r="AN6" s="333">
        <f t="shared" si="14"/>
        <v>1.1851278427402798</v>
      </c>
      <c r="AO6" s="333">
        <f t="shared" si="14"/>
        <v>1.1969791211676826</v>
      </c>
      <c r="AP6" s="333">
        <f t="shared" si="14"/>
        <v>1.2089489123793593</v>
      </c>
      <c r="AQ6" s="333">
        <f t="shared" si="14"/>
        <v>1.221038401503153</v>
      </c>
      <c r="AR6" s="333">
        <f t="shared" si="14"/>
        <v>1.2332487855181846</v>
      </c>
      <c r="AS6" s="334">
        <f t="shared" si="13"/>
        <v>0.95192799021740271</v>
      </c>
      <c r="AT6" s="44"/>
      <c r="AU6" s="355"/>
      <c r="AV6" s="355"/>
      <c r="AW6" s="355"/>
      <c r="AX6" s="355"/>
      <c r="AY6" s="355"/>
      <c r="AZ6" s="355"/>
      <c r="BA6" s="355"/>
      <c r="BB6" s="355"/>
      <c r="BC6" s="355"/>
      <c r="BD6" s="355"/>
      <c r="BE6" s="355"/>
      <c r="BF6" s="355"/>
      <c r="BG6" s="355"/>
      <c r="BH6" s="355"/>
      <c r="BI6" s="355"/>
      <c r="BJ6" s="478"/>
      <c r="BK6" s="41"/>
    </row>
    <row r="7" spans="1:63" ht="29.1">
      <c r="A7" s="130"/>
      <c r="B7" s="44"/>
      <c r="C7" s="49" t="s">
        <v>542</v>
      </c>
      <c r="D7" s="245">
        <f>K9+K15</f>
        <v>0.40949999999999998</v>
      </c>
      <c r="E7" s="245">
        <f>K5+K11</f>
        <v>0.84000000000000008</v>
      </c>
      <c r="F7" s="245">
        <f>K7+K13</f>
        <v>0.84000000000000008</v>
      </c>
      <c r="G7" s="245">
        <f>K8+K14</f>
        <v>0.40949999999999998</v>
      </c>
      <c r="H7" s="245">
        <f>K4+K10</f>
        <v>0.87402000000000002</v>
      </c>
      <c r="I7" s="245">
        <f>K6+K12</f>
        <v>0.87150000000000016</v>
      </c>
      <c r="J7" s="131" t="s">
        <v>543</v>
      </c>
      <c r="K7" s="269">
        <f t="shared" si="8"/>
        <v>0.52500000000000002</v>
      </c>
      <c r="L7" s="132">
        <f t="shared" si="9"/>
        <v>1.045936832989697</v>
      </c>
      <c r="M7" s="332" t="s">
        <v>544</v>
      </c>
      <c r="N7" s="333">
        <f>N5</f>
        <v>0.5</v>
      </c>
      <c r="O7" s="333">
        <f t="shared" si="3"/>
        <v>0.52500000000000002</v>
      </c>
      <c r="P7" s="333">
        <f t="shared" si="4"/>
        <v>0.55125000000000002</v>
      </c>
      <c r="Q7" s="333">
        <f t="shared" si="4"/>
        <v>0.57881250000000006</v>
      </c>
      <c r="R7" s="333">
        <f t="shared" si="4"/>
        <v>0.60775312500000012</v>
      </c>
      <c r="S7" s="333">
        <f t="shared" si="4"/>
        <v>0.63814078125000018</v>
      </c>
      <c r="T7" s="333">
        <f t="shared" si="4"/>
        <v>0.67004782031250021</v>
      </c>
      <c r="U7" s="333">
        <f t="shared" si="4"/>
        <v>0.70355021132812523</v>
      </c>
      <c r="V7" s="333">
        <f t="shared" si="4"/>
        <v>0.73872772189453151</v>
      </c>
      <c r="W7" s="333">
        <f t="shared" si="4"/>
        <v>0.77566410798925811</v>
      </c>
      <c r="X7" s="333">
        <f t="shared" si="4"/>
        <v>0.81444731338872101</v>
      </c>
      <c r="Y7" s="333">
        <f t="shared" si="4"/>
        <v>0.85516967905815711</v>
      </c>
      <c r="Z7" s="333">
        <f t="shared" si="4"/>
        <v>0.89792816301106504</v>
      </c>
      <c r="AA7" s="333">
        <f t="shared" si="4"/>
        <v>0.94282457116161833</v>
      </c>
      <c r="AB7" s="333">
        <f t="shared" si="4"/>
        <v>0.98996579971969934</v>
      </c>
      <c r="AC7" s="333">
        <f t="shared" si="4"/>
        <v>1.0394640897056844</v>
      </c>
      <c r="AD7" s="333">
        <f t="shared" si="4"/>
        <v>1.0914372941909687</v>
      </c>
      <c r="AE7" s="333">
        <f t="shared" si="4"/>
        <v>1.1460091589005172</v>
      </c>
      <c r="AF7" s="333">
        <f t="shared" ref="AF7:AH7" si="15">AE7*1.05</f>
        <v>1.2033096168455431</v>
      </c>
      <c r="AG7" s="333">
        <f t="shared" si="15"/>
        <v>1.2634750976878202</v>
      </c>
      <c r="AH7" s="333">
        <f t="shared" si="15"/>
        <v>1.3266488525722113</v>
      </c>
      <c r="AI7" s="333">
        <f t="shared" ref="AI7:AR9" si="16">AH7*1.01</f>
        <v>1.3399153410979334</v>
      </c>
      <c r="AJ7" s="333">
        <f t="shared" si="16"/>
        <v>1.3533144945089128</v>
      </c>
      <c r="AK7" s="333">
        <f t="shared" si="16"/>
        <v>1.3668476394540019</v>
      </c>
      <c r="AL7" s="333">
        <f t="shared" si="16"/>
        <v>1.3805161158485419</v>
      </c>
      <c r="AM7" s="333">
        <f t="shared" si="16"/>
        <v>1.3943212770070275</v>
      </c>
      <c r="AN7" s="333">
        <f t="shared" si="16"/>
        <v>1.4082644897770977</v>
      </c>
      <c r="AO7" s="333">
        <f t="shared" si="16"/>
        <v>1.4223471346748686</v>
      </c>
      <c r="AP7" s="333">
        <f t="shared" si="16"/>
        <v>1.4365706060216172</v>
      </c>
      <c r="AQ7" s="333">
        <f t="shared" si="16"/>
        <v>1.4509363120818335</v>
      </c>
      <c r="AR7" s="333">
        <f t="shared" si="16"/>
        <v>1.4654456752026519</v>
      </c>
      <c r="AS7" s="334">
        <f t="shared" si="13"/>
        <v>1.045936832989697</v>
      </c>
      <c r="AT7" s="44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134"/>
      <c r="BK7" s="41"/>
    </row>
    <row r="8" spans="1:63" ht="29.1">
      <c r="A8" s="45"/>
      <c r="B8" s="44"/>
      <c r="C8" s="49" t="s">
        <v>545</v>
      </c>
      <c r="D8" s="245">
        <f>K9</f>
        <v>0.315</v>
      </c>
      <c r="E8" s="245">
        <f>K5</f>
        <v>0.52500000000000002</v>
      </c>
      <c r="F8" s="245">
        <f>K7</f>
        <v>0.52500000000000002</v>
      </c>
      <c r="G8" s="245">
        <f>K8</f>
        <v>0.315</v>
      </c>
      <c r="H8" s="245">
        <f>K4</f>
        <v>0.55902000000000007</v>
      </c>
      <c r="I8" s="245">
        <f>K6</f>
        <v>0.55650000000000011</v>
      </c>
      <c r="J8" s="131" t="s">
        <v>546</v>
      </c>
      <c r="K8" s="269">
        <f t="shared" si="8"/>
        <v>0.315</v>
      </c>
      <c r="L8" s="132">
        <f t="shared" si="9"/>
        <v>0.48853059924324488</v>
      </c>
      <c r="M8" s="332" t="s">
        <v>547</v>
      </c>
      <c r="N8" s="333">
        <v>0.3</v>
      </c>
      <c r="O8" s="333">
        <f t="shared" si="3"/>
        <v>0.315</v>
      </c>
      <c r="P8" s="333">
        <f t="shared" si="4"/>
        <v>0.33075000000000004</v>
      </c>
      <c r="Q8" s="333">
        <f t="shared" si="4"/>
        <v>0.34728750000000008</v>
      </c>
      <c r="R8" s="333">
        <f t="shared" si="4"/>
        <v>0.36465187500000013</v>
      </c>
      <c r="S8" s="333">
        <f t="shared" si="4"/>
        <v>0.38288446875000015</v>
      </c>
      <c r="T8" s="333">
        <f t="shared" si="4"/>
        <v>0.4020286921875002</v>
      </c>
      <c r="U8" s="333">
        <f t="shared" si="4"/>
        <v>0.42213012679687523</v>
      </c>
      <c r="V8" s="333">
        <f t="shared" ref="V8:AH9" si="17">U8*1.02</f>
        <v>0.43057272933281276</v>
      </c>
      <c r="W8" s="333">
        <f t="shared" si="17"/>
        <v>0.43918418391946901</v>
      </c>
      <c r="X8" s="333">
        <f t="shared" si="17"/>
        <v>0.44796786759785839</v>
      </c>
      <c r="Y8" s="333">
        <f t="shared" si="17"/>
        <v>0.45692722494981558</v>
      </c>
      <c r="Z8" s="333">
        <f t="shared" si="17"/>
        <v>0.4660657694488119</v>
      </c>
      <c r="AA8" s="333">
        <f t="shared" si="17"/>
        <v>0.47538708483778813</v>
      </c>
      <c r="AB8" s="333">
        <f t="shared" si="17"/>
        <v>0.48489482653454391</v>
      </c>
      <c r="AC8" s="333">
        <f t="shared" si="17"/>
        <v>0.49459272306523477</v>
      </c>
      <c r="AD8" s="333">
        <f t="shared" si="17"/>
        <v>0.50448457752653952</v>
      </c>
      <c r="AE8" s="333">
        <f t="shared" si="17"/>
        <v>0.51457426907707038</v>
      </c>
      <c r="AF8" s="333">
        <f t="shared" si="17"/>
        <v>0.52486575445861183</v>
      </c>
      <c r="AG8" s="333">
        <f t="shared" si="17"/>
        <v>0.53536306954778412</v>
      </c>
      <c r="AH8" s="333">
        <f t="shared" si="17"/>
        <v>0.5460703309387398</v>
      </c>
      <c r="AI8" s="333">
        <f t="shared" si="16"/>
        <v>0.55153103424812722</v>
      </c>
      <c r="AJ8" s="333">
        <f t="shared" si="16"/>
        <v>0.55704634459060853</v>
      </c>
      <c r="AK8" s="333">
        <f t="shared" si="16"/>
        <v>0.56261680803651459</v>
      </c>
      <c r="AL8" s="333">
        <f t="shared" si="16"/>
        <v>0.56824297611687979</v>
      </c>
      <c r="AM8" s="333">
        <f t="shared" si="16"/>
        <v>0.57392540587804863</v>
      </c>
      <c r="AN8" s="333">
        <f t="shared" si="16"/>
        <v>0.57966465993682914</v>
      </c>
      <c r="AO8" s="333">
        <f t="shared" si="16"/>
        <v>0.58546130653619743</v>
      </c>
      <c r="AP8" s="333">
        <f t="shared" si="16"/>
        <v>0.59131591960155938</v>
      </c>
      <c r="AQ8" s="333">
        <f t="shared" si="16"/>
        <v>0.59722907879757503</v>
      </c>
      <c r="AR8" s="333">
        <f t="shared" si="16"/>
        <v>0.60320136958555082</v>
      </c>
      <c r="AS8" s="334">
        <f t="shared" si="13"/>
        <v>0.48853059924324488</v>
      </c>
      <c r="AT8" s="44"/>
      <c r="AU8" s="38"/>
      <c r="AV8" s="38"/>
      <c r="AW8" s="38"/>
      <c r="AX8" s="38"/>
      <c r="AY8" s="38"/>
      <c r="AZ8" s="38"/>
      <c r="BA8" s="38"/>
      <c r="BB8" s="41"/>
      <c r="BC8" s="38"/>
      <c r="BD8" s="38"/>
      <c r="BE8" s="38"/>
      <c r="BF8" s="38"/>
      <c r="BG8" s="38"/>
      <c r="BH8" s="38"/>
      <c r="BI8" s="38"/>
      <c r="BJ8" s="134"/>
      <c r="BK8" s="41"/>
    </row>
    <row r="9" spans="1:63">
      <c r="A9" s="44"/>
      <c r="B9" s="44"/>
      <c r="C9" s="27"/>
      <c r="D9" s="481" t="s">
        <v>548</v>
      </c>
      <c r="E9" s="481"/>
      <c r="F9" s="481"/>
      <c r="G9" s="481"/>
      <c r="H9" s="481"/>
      <c r="I9" s="481"/>
      <c r="J9" s="131" t="s">
        <v>549</v>
      </c>
      <c r="K9" s="269">
        <f t="shared" si="8"/>
        <v>0.315</v>
      </c>
      <c r="L9" s="132">
        <f t="shared" si="9"/>
        <v>0.48853059924324488</v>
      </c>
      <c r="M9" s="332" t="s">
        <v>550</v>
      </c>
      <c r="N9" s="333">
        <v>0.3</v>
      </c>
      <c r="O9" s="333">
        <f t="shared" si="3"/>
        <v>0.315</v>
      </c>
      <c r="P9" s="333">
        <f t="shared" si="4"/>
        <v>0.33075000000000004</v>
      </c>
      <c r="Q9" s="333">
        <f t="shared" si="4"/>
        <v>0.34728750000000008</v>
      </c>
      <c r="R9" s="333">
        <f t="shared" si="4"/>
        <v>0.36465187500000013</v>
      </c>
      <c r="S9" s="333">
        <f t="shared" si="4"/>
        <v>0.38288446875000015</v>
      </c>
      <c r="T9" s="333">
        <f t="shared" si="4"/>
        <v>0.4020286921875002</v>
      </c>
      <c r="U9" s="333">
        <f t="shared" si="4"/>
        <v>0.42213012679687523</v>
      </c>
      <c r="V9" s="333">
        <f t="shared" si="17"/>
        <v>0.43057272933281276</v>
      </c>
      <c r="W9" s="333">
        <f t="shared" si="17"/>
        <v>0.43918418391946901</v>
      </c>
      <c r="X9" s="333">
        <f t="shared" si="17"/>
        <v>0.44796786759785839</v>
      </c>
      <c r="Y9" s="333">
        <f t="shared" si="17"/>
        <v>0.45692722494981558</v>
      </c>
      <c r="Z9" s="333">
        <f t="shared" si="17"/>
        <v>0.4660657694488119</v>
      </c>
      <c r="AA9" s="333">
        <f t="shared" si="17"/>
        <v>0.47538708483778813</v>
      </c>
      <c r="AB9" s="333">
        <f t="shared" si="17"/>
        <v>0.48489482653454391</v>
      </c>
      <c r="AC9" s="333">
        <f t="shared" si="17"/>
        <v>0.49459272306523477</v>
      </c>
      <c r="AD9" s="333">
        <f t="shared" si="17"/>
        <v>0.50448457752653952</v>
      </c>
      <c r="AE9" s="333">
        <f t="shared" si="17"/>
        <v>0.51457426907707038</v>
      </c>
      <c r="AF9" s="333">
        <f t="shared" si="17"/>
        <v>0.52486575445861183</v>
      </c>
      <c r="AG9" s="333">
        <f t="shared" si="17"/>
        <v>0.53536306954778412</v>
      </c>
      <c r="AH9" s="333">
        <f t="shared" si="17"/>
        <v>0.5460703309387398</v>
      </c>
      <c r="AI9" s="333">
        <f t="shared" si="16"/>
        <v>0.55153103424812722</v>
      </c>
      <c r="AJ9" s="333">
        <f t="shared" si="16"/>
        <v>0.55704634459060853</v>
      </c>
      <c r="AK9" s="333">
        <f t="shared" si="16"/>
        <v>0.56261680803651459</v>
      </c>
      <c r="AL9" s="333">
        <f t="shared" si="16"/>
        <v>0.56824297611687979</v>
      </c>
      <c r="AM9" s="333">
        <f t="shared" si="16"/>
        <v>0.57392540587804863</v>
      </c>
      <c r="AN9" s="333">
        <f t="shared" si="16"/>
        <v>0.57966465993682914</v>
      </c>
      <c r="AO9" s="333">
        <f t="shared" si="16"/>
        <v>0.58546130653619743</v>
      </c>
      <c r="AP9" s="333">
        <f t="shared" si="16"/>
        <v>0.59131591960155938</v>
      </c>
      <c r="AQ9" s="333">
        <f t="shared" si="16"/>
        <v>0.59722907879757503</v>
      </c>
      <c r="AR9" s="333">
        <f t="shared" si="16"/>
        <v>0.60320136958555082</v>
      </c>
      <c r="AS9" s="334">
        <f t="shared" si="13"/>
        <v>0.48853059924324488</v>
      </c>
      <c r="AT9" s="44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134"/>
      <c r="BK9" s="41"/>
    </row>
    <row r="10" spans="1:63" ht="14.45" customHeight="1">
      <c r="A10" s="44"/>
      <c r="B10" s="44"/>
      <c r="C10" s="49"/>
      <c r="D10" s="481"/>
      <c r="E10" s="481"/>
      <c r="F10" s="481"/>
      <c r="G10" s="481"/>
      <c r="H10" s="481"/>
      <c r="I10" s="481"/>
      <c r="J10" s="131" t="s">
        <v>551</v>
      </c>
      <c r="K10" s="269">
        <f t="shared" si="8"/>
        <v>0.315</v>
      </c>
      <c r="L10" s="132">
        <f t="shared" si="9"/>
        <v>0.66048849017286126</v>
      </c>
      <c r="M10" s="335" t="s">
        <v>552</v>
      </c>
      <c r="N10" s="333">
        <v>0.3</v>
      </c>
      <c r="O10" s="333">
        <f t="shared" si="3"/>
        <v>0.315</v>
      </c>
      <c r="P10" s="333">
        <f t="shared" si="4"/>
        <v>0.33075000000000004</v>
      </c>
      <c r="Q10" s="333">
        <f t="shared" si="4"/>
        <v>0.34728750000000008</v>
      </c>
      <c r="R10" s="333">
        <f t="shared" si="4"/>
        <v>0.36465187500000013</v>
      </c>
      <c r="S10" s="333">
        <f t="shared" si="4"/>
        <v>0.38288446875000015</v>
      </c>
      <c r="T10" s="333">
        <f t="shared" si="4"/>
        <v>0.4020286921875002</v>
      </c>
      <c r="U10" s="333">
        <f t="shared" si="4"/>
        <v>0.42213012679687523</v>
      </c>
      <c r="V10" s="333">
        <f t="shared" si="4"/>
        <v>0.44323663313671902</v>
      </c>
      <c r="W10" s="333">
        <f t="shared" si="4"/>
        <v>0.46539846479355501</v>
      </c>
      <c r="X10" s="333">
        <f t="shared" si="4"/>
        <v>0.48866838803323276</v>
      </c>
      <c r="Y10" s="333">
        <f t="shared" si="4"/>
        <v>0.51310180743489442</v>
      </c>
      <c r="Z10" s="333">
        <f t="shared" si="4"/>
        <v>0.53875689780663916</v>
      </c>
      <c r="AA10" s="333">
        <f t="shared" si="4"/>
        <v>0.56569474269697118</v>
      </c>
      <c r="AB10" s="333">
        <f t="shared" si="4"/>
        <v>0.59397947983181976</v>
      </c>
      <c r="AC10" s="333">
        <f t="shared" si="4"/>
        <v>0.62367845382341081</v>
      </c>
      <c r="AD10" s="333">
        <f t="shared" si="4"/>
        <v>0.65486237651458135</v>
      </c>
      <c r="AE10" s="333">
        <f t="shared" si="4"/>
        <v>0.68760549534031046</v>
      </c>
      <c r="AF10" s="333">
        <f t="shared" ref="AF10:AH15" si="18">AE10*1.05</f>
        <v>0.72198577010732601</v>
      </c>
      <c r="AG10" s="333">
        <f t="shared" si="18"/>
        <v>0.75808505861269238</v>
      </c>
      <c r="AH10" s="333">
        <f t="shared" si="18"/>
        <v>0.79598931154332708</v>
      </c>
      <c r="AI10" s="333">
        <f>AH10*1.03</f>
        <v>0.81986899088962695</v>
      </c>
      <c r="AJ10" s="333">
        <f t="shared" ref="AJ10:AR10" si="19">AI10*1.03</f>
        <v>0.84446506061631577</v>
      </c>
      <c r="AK10" s="333">
        <f t="shared" si="19"/>
        <v>0.86979901243480529</v>
      </c>
      <c r="AL10" s="333">
        <f t="shared" si="19"/>
        <v>0.89589298280784946</v>
      </c>
      <c r="AM10" s="333">
        <f t="shared" si="19"/>
        <v>0.92276977229208501</v>
      </c>
      <c r="AN10" s="333">
        <f t="shared" si="19"/>
        <v>0.95045286546084762</v>
      </c>
      <c r="AO10" s="333">
        <f t="shared" si="19"/>
        <v>0.97896645142467309</v>
      </c>
      <c r="AP10" s="333">
        <f t="shared" si="19"/>
        <v>1.0083354449674133</v>
      </c>
      <c r="AQ10" s="333">
        <f t="shared" si="19"/>
        <v>1.0385855083164357</v>
      </c>
      <c r="AR10" s="333">
        <f t="shared" si="19"/>
        <v>1.0697430735659288</v>
      </c>
      <c r="AS10" s="334">
        <f t="shared" si="13"/>
        <v>0.66048849017286126</v>
      </c>
      <c r="AT10" s="44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478"/>
      <c r="BK10" s="41"/>
    </row>
    <row r="11" spans="1:63" ht="14.45" customHeight="1">
      <c r="A11" s="44"/>
      <c r="B11" s="44"/>
      <c r="C11" s="49"/>
      <c r="D11" s="482" t="s">
        <v>531</v>
      </c>
      <c r="E11" s="483"/>
      <c r="F11" s="483"/>
      <c r="G11" s="482" t="s">
        <v>532</v>
      </c>
      <c r="H11" s="483"/>
      <c r="I11" s="483"/>
      <c r="J11" s="131" t="s">
        <v>553</v>
      </c>
      <c r="K11" s="269">
        <f t="shared" si="8"/>
        <v>0.315</v>
      </c>
      <c r="L11" s="132">
        <f t="shared" si="9"/>
        <v>0.66048849017286126</v>
      </c>
      <c r="M11" s="335" t="s">
        <v>554</v>
      </c>
      <c r="N11" s="333">
        <v>0.3</v>
      </c>
      <c r="O11" s="333">
        <f t="shared" si="3"/>
        <v>0.315</v>
      </c>
      <c r="P11" s="333">
        <f t="shared" si="4"/>
        <v>0.33075000000000004</v>
      </c>
      <c r="Q11" s="333">
        <f t="shared" si="4"/>
        <v>0.34728750000000008</v>
      </c>
      <c r="R11" s="333">
        <f t="shared" si="4"/>
        <v>0.36465187500000013</v>
      </c>
      <c r="S11" s="333">
        <f t="shared" si="4"/>
        <v>0.38288446875000015</v>
      </c>
      <c r="T11" s="333">
        <f t="shared" si="4"/>
        <v>0.4020286921875002</v>
      </c>
      <c r="U11" s="333">
        <f t="shared" si="4"/>
        <v>0.42213012679687523</v>
      </c>
      <c r="V11" s="333">
        <f t="shared" si="4"/>
        <v>0.44323663313671902</v>
      </c>
      <c r="W11" s="333">
        <f t="shared" si="4"/>
        <v>0.46539846479355501</v>
      </c>
      <c r="X11" s="333">
        <f t="shared" si="4"/>
        <v>0.48866838803323276</v>
      </c>
      <c r="Y11" s="333">
        <f t="shared" si="4"/>
        <v>0.51310180743489442</v>
      </c>
      <c r="Z11" s="333">
        <f t="shared" si="4"/>
        <v>0.53875689780663916</v>
      </c>
      <c r="AA11" s="333">
        <f t="shared" si="4"/>
        <v>0.56569474269697118</v>
      </c>
      <c r="AB11" s="333">
        <f t="shared" si="4"/>
        <v>0.59397947983181976</v>
      </c>
      <c r="AC11" s="333">
        <f t="shared" si="4"/>
        <v>0.62367845382341081</v>
      </c>
      <c r="AD11" s="333">
        <f t="shared" si="4"/>
        <v>0.65486237651458135</v>
      </c>
      <c r="AE11" s="333">
        <f t="shared" si="4"/>
        <v>0.68760549534031046</v>
      </c>
      <c r="AF11" s="333">
        <f t="shared" si="18"/>
        <v>0.72198577010732601</v>
      </c>
      <c r="AG11" s="333">
        <f t="shared" si="18"/>
        <v>0.75808505861269238</v>
      </c>
      <c r="AH11" s="333">
        <f t="shared" si="18"/>
        <v>0.79598931154332708</v>
      </c>
      <c r="AI11" s="333">
        <f t="shared" ref="AI11:AR15" si="20">AH11*1.03</f>
        <v>0.81986899088962695</v>
      </c>
      <c r="AJ11" s="333">
        <f t="shared" si="20"/>
        <v>0.84446506061631577</v>
      </c>
      <c r="AK11" s="333">
        <f t="shared" si="20"/>
        <v>0.86979901243480529</v>
      </c>
      <c r="AL11" s="333">
        <f t="shared" si="20"/>
        <v>0.89589298280784946</v>
      </c>
      <c r="AM11" s="333">
        <f t="shared" si="20"/>
        <v>0.92276977229208501</v>
      </c>
      <c r="AN11" s="333">
        <f t="shared" si="20"/>
        <v>0.95045286546084762</v>
      </c>
      <c r="AO11" s="333">
        <f t="shared" si="20"/>
        <v>0.97896645142467309</v>
      </c>
      <c r="AP11" s="333">
        <f t="shared" si="20"/>
        <v>1.0083354449674133</v>
      </c>
      <c r="AQ11" s="333">
        <f t="shared" si="20"/>
        <v>1.0385855083164357</v>
      </c>
      <c r="AR11" s="333">
        <f t="shared" si="20"/>
        <v>1.0697430735659288</v>
      </c>
      <c r="AS11" s="334">
        <f t="shared" si="13"/>
        <v>0.66048849017286126</v>
      </c>
      <c r="AT11" s="44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478"/>
      <c r="BK11" s="41"/>
    </row>
    <row r="12" spans="1:63" ht="27.95" customHeight="1">
      <c r="A12" s="44"/>
      <c r="B12" s="44"/>
      <c r="C12" s="49" t="s">
        <v>261</v>
      </c>
      <c r="D12" s="236" t="s">
        <v>535</v>
      </c>
      <c r="E12" s="353" t="s">
        <v>536</v>
      </c>
      <c r="F12" s="236" t="s">
        <v>537</v>
      </c>
      <c r="G12" s="236" t="s">
        <v>538</v>
      </c>
      <c r="H12" s="353" t="s">
        <v>539</v>
      </c>
      <c r="I12" s="236" t="s">
        <v>537</v>
      </c>
      <c r="J12" s="131" t="s">
        <v>555</v>
      </c>
      <c r="K12" s="269">
        <f t="shared" si="8"/>
        <v>0.315</v>
      </c>
      <c r="L12" s="132">
        <f t="shared" si="9"/>
        <v>0.66048849017286126</v>
      </c>
      <c r="M12" s="335" t="s">
        <v>556</v>
      </c>
      <c r="N12" s="333">
        <v>0.3</v>
      </c>
      <c r="O12" s="333">
        <f t="shared" si="3"/>
        <v>0.315</v>
      </c>
      <c r="P12" s="333">
        <f t="shared" si="4"/>
        <v>0.33075000000000004</v>
      </c>
      <c r="Q12" s="333">
        <f t="shared" si="4"/>
        <v>0.34728750000000008</v>
      </c>
      <c r="R12" s="333">
        <f t="shared" si="4"/>
        <v>0.36465187500000013</v>
      </c>
      <c r="S12" s="333">
        <f t="shared" si="4"/>
        <v>0.38288446875000015</v>
      </c>
      <c r="T12" s="333">
        <f t="shared" si="4"/>
        <v>0.4020286921875002</v>
      </c>
      <c r="U12" s="333">
        <f t="shared" si="4"/>
        <v>0.42213012679687523</v>
      </c>
      <c r="V12" s="333">
        <f t="shared" si="4"/>
        <v>0.44323663313671902</v>
      </c>
      <c r="W12" s="333">
        <f t="shared" si="4"/>
        <v>0.46539846479355501</v>
      </c>
      <c r="X12" s="333">
        <f t="shared" si="4"/>
        <v>0.48866838803323276</v>
      </c>
      <c r="Y12" s="333">
        <f t="shared" si="4"/>
        <v>0.51310180743489442</v>
      </c>
      <c r="Z12" s="333">
        <f t="shared" si="4"/>
        <v>0.53875689780663916</v>
      </c>
      <c r="AA12" s="333">
        <f t="shared" si="4"/>
        <v>0.56569474269697118</v>
      </c>
      <c r="AB12" s="333">
        <f t="shared" si="4"/>
        <v>0.59397947983181976</v>
      </c>
      <c r="AC12" s="333">
        <f t="shared" si="4"/>
        <v>0.62367845382341081</v>
      </c>
      <c r="AD12" s="333">
        <f t="shared" si="4"/>
        <v>0.65486237651458135</v>
      </c>
      <c r="AE12" s="333">
        <f t="shared" si="4"/>
        <v>0.68760549534031046</v>
      </c>
      <c r="AF12" s="333">
        <f t="shared" si="18"/>
        <v>0.72198577010732601</v>
      </c>
      <c r="AG12" s="333">
        <f t="shared" si="18"/>
        <v>0.75808505861269238</v>
      </c>
      <c r="AH12" s="333">
        <f t="shared" si="18"/>
        <v>0.79598931154332708</v>
      </c>
      <c r="AI12" s="333">
        <f t="shared" si="20"/>
        <v>0.81986899088962695</v>
      </c>
      <c r="AJ12" s="333">
        <f t="shared" si="20"/>
        <v>0.84446506061631577</v>
      </c>
      <c r="AK12" s="333">
        <f t="shared" si="20"/>
        <v>0.86979901243480529</v>
      </c>
      <c r="AL12" s="333">
        <f t="shared" si="20"/>
        <v>0.89589298280784946</v>
      </c>
      <c r="AM12" s="333">
        <f t="shared" si="20"/>
        <v>0.92276977229208501</v>
      </c>
      <c r="AN12" s="333">
        <f t="shared" si="20"/>
        <v>0.95045286546084762</v>
      </c>
      <c r="AO12" s="333">
        <f t="shared" si="20"/>
        <v>0.97896645142467309</v>
      </c>
      <c r="AP12" s="333">
        <f t="shared" si="20"/>
        <v>1.0083354449674133</v>
      </c>
      <c r="AQ12" s="333">
        <f t="shared" si="20"/>
        <v>1.0385855083164357</v>
      </c>
      <c r="AR12" s="333">
        <f t="shared" si="20"/>
        <v>1.0697430735659288</v>
      </c>
      <c r="AS12" s="334">
        <f t="shared" si="13"/>
        <v>0.66048849017286126</v>
      </c>
      <c r="AT12" s="44"/>
      <c r="AU12" s="355"/>
      <c r="AV12" s="355"/>
      <c r="AW12" s="355"/>
      <c r="AX12" s="355"/>
      <c r="AY12" s="355"/>
      <c r="AZ12" s="355"/>
      <c r="BA12" s="355"/>
      <c r="BB12" s="355"/>
      <c r="BC12" s="355"/>
      <c r="BD12" s="355"/>
      <c r="BE12" s="355"/>
      <c r="BF12" s="355"/>
      <c r="BG12" s="355"/>
      <c r="BH12" s="355"/>
      <c r="BI12" s="355"/>
      <c r="BJ12" s="478"/>
      <c r="BK12" s="41"/>
    </row>
    <row r="13" spans="1:63" ht="29.1">
      <c r="A13" s="44"/>
      <c r="B13" s="44"/>
      <c r="C13" s="49" t="s">
        <v>542</v>
      </c>
      <c r="D13" s="245">
        <f>L9+L15</f>
        <v>0.68667714629510312</v>
      </c>
      <c r="E13" s="245">
        <f>L5+L11</f>
        <v>1.3860989928153438</v>
      </c>
      <c r="F13" s="245">
        <f>L7+L13</f>
        <v>1.7064253231625583</v>
      </c>
      <c r="G13" s="245">
        <f>L8+L14</f>
        <v>0.68667714629510312</v>
      </c>
      <c r="H13" s="245">
        <f>L4+L10</f>
        <v>1.2497661525456256</v>
      </c>
      <c r="I13" s="245">
        <f>L6+L12</f>
        <v>1.6124164803902641</v>
      </c>
      <c r="J13" s="131" t="s">
        <v>557</v>
      </c>
      <c r="K13" s="269">
        <f t="shared" si="8"/>
        <v>0.315</v>
      </c>
      <c r="L13" s="132">
        <f t="shared" si="9"/>
        <v>0.66048849017286126</v>
      </c>
      <c r="M13" s="335" t="s">
        <v>558</v>
      </c>
      <c r="N13" s="333">
        <v>0.3</v>
      </c>
      <c r="O13" s="333">
        <f t="shared" si="3"/>
        <v>0.315</v>
      </c>
      <c r="P13" s="333">
        <f t="shared" si="4"/>
        <v>0.33075000000000004</v>
      </c>
      <c r="Q13" s="333">
        <f t="shared" si="4"/>
        <v>0.34728750000000008</v>
      </c>
      <c r="R13" s="333">
        <f t="shared" si="4"/>
        <v>0.36465187500000013</v>
      </c>
      <c r="S13" s="333">
        <f t="shared" si="4"/>
        <v>0.38288446875000015</v>
      </c>
      <c r="T13" s="333">
        <f t="shared" si="4"/>
        <v>0.4020286921875002</v>
      </c>
      <c r="U13" s="333">
        <f t="shared" si="4"/>
        <v>0.42213012679687523</v>
      </c>
      <c r="V13" s="333">
        <f t="shared" si="4"/>
        <v>0.44323663313671902</v>
      </c>
      <c r="W13" s="333">
        <f t="shared" si="4"/>
        <v>0.46539846479355501</v>
      </c>
      <c r="X13" s="333">
        <f t="shared" si="4"/>
        <v>0.48866838803323276</v>
      </c>
      <c r="Y13" s="333">
        <f t="shared" si="4"/>
        <v>0.51310180743489442</v>
      </c>
      <c r="Z13" s="333">
        <f t="shared" si="4"/>
        <v>0.53875689780663916</v>
      </c>
      <c r="AA13" s="333">
        <f t="shared" si="4"/>
        <v>0.56569474269697118</v>
      </c>
      <c r="AB13" s="333">
        <f t="shared" si="4"/>
        <v>0.59397947983181976</v>
      </c>
      <c r="AC13" s="333">
        <f t="shared" si="4"/>
        <v>0.62367845382341081</v>
      </c>
      <c r="AD13" s="333">
        <f t="shared" si="4"/>
        <v>0.65486237651458135</v>
      </c>
      <c r="AE13" s="333">
        <f t="shared" si="4"/>
        <v>0.68760549534031046</v>
      </c>
      <c r="AF13" s="333">
        <f t="shared" si="18"/>
        <v>0.72198577010732601</v>
      </c>
      <c r="AG13" s="333">
        <f t="shared" si="18"/>
        <v>0.75808505861269238</v>
      </c>
      <c r="AH13" s="333">
        <f t="shared" si="18"/>
        <v>0.79598931154332708</v>
      </c>
      <c r="AI13" s="333">
        <f t="shared" si="20"/>
        <v>0.81986899088962695</v>
      </c>
      <c r="AJ13" s="333">
        <f t="shared" si="20"/>
        <v>0.84446506061631577</v>
      </c>
      <c r="AK13" s="333">
        <f t="shared" si="20"/>
        <v>0.86979901243480529</v>
      </c>
      <c r="AL13" s="333">
        <f t="shared" si="20"/>
        <v>0.89589298280784946</v>
      </c>
      <c r="AM13" s="333">
        <f t="shared" si="20"/>
        <v>0.92276977229208501</v>
      </c>
      <c r="AN13" s="333">
        <f t="shared" si="20"/>
        <v>0.95045286546084762</v>
      </c>
      <c r="AO13" s="333">
        <f t="shared" si="20"/>
        <v>0.97896645142467309</v>
      </c>
      <c r="AP13" s="333">
        <f t="shared" si="20"/>
        <v>1.0083354449674133</v>
      </c>
      <c r="AQ13" s="333">
        <f t="shared" si="20"/>
        <v>1.0385855083164357</v>
      </c>
      <c r="AR13" s="333">
        <f t="shared" si="20"/>
        <v>1.0697430735659288</v>
      </c>
      <c r="AS13" s="334">
        <f t="shared" si="13"/>
        <v>0.66048849017286126</v>
      </c>
      <c r="AT13" s="44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134"/>
      <c r="BK13" s="41"/>
    </row>
    <row r="14" spans="1:63" ht="29.1">
      <c r="A14" s="44"/>
      <c r="B14" s="44"/>
      <c r="C14" s="49" t="s">
        <v>545</v>
      </c>
      <c r="D14" s="245">
        <f>L9</f>
        <v>0.48853059924324488</v>
      </c>
      <c r="E14" s="245">
        <f>L5</f>
        <v>0.72561050264248261</v>
      </c>
      <c r="F14" s="245">
        <f>L7</f>
        <v>1.045936832989697</v>
      </c>
      <c r="G14" s="245">
        <f>L8</f>
        <v>0.48853059924324488</v>
      </c>
      <c r="H14" s="245">
        <f>L4</f>
        <v>0.58927766237276424</v>
      </c>
      <c r="I14" s="245">
        <f>L6</f>
        <v>0.95192799021740271</v>
      </c>
      <c r="J14" s="131" t="s">
        <v>559</v>
      </c>
      <c r="K14" s="269">
        <f t="shared" si="8"/>
        <v>9.4500000000000001E-2</v>
      </c>
      <c r="L14" s="132">
        <f t="shared" si="9"/>
        <v>0.19814654705185827</v>
      </c>
      <c r="M14" s="335" t="s">
        <v>560</v>
      </c>
      <c r="N14" s="333">
        <v>0.09</v>
      </c>
      <c r="O14" s="333">
        <f t="shared" si="3"/>
        <v>9.4500000000000001E-2</v>
      </c>
      <c r="P14" s="333">
        <f t="shared" si="4"/>
        <v>9.9225000000000008E-2</v>
      </c>
      <c r="Q14" s="333">
        <f t="shared" si="4"/>
        <v>0.10418625000000001</v>
      </c>
      <c r="R14" s="333">
        <f t="shared" si="4"/>
        <v>0.10939556250000002</v>
      </c>
      <c r="S14" s="333">
        <f t="shared" si="4"/>
        <v>0.11486534062500002</v>
      </c>
      <c r="T14" s="333">
        <f t="shared" si="4"/>
        <v>0.12060860765625003</v>
      </c>
      <c r="U14" s="333">
        <f t="shared" si="4"/>
        <v>0.12663903803906254</v>
      </c>
      <c r="V14" s="333">
        <f t="shared" si="4"/>
        <v>0.13297098994101567</v>
      </c>
      <c r="W14" s="333">
        <f t="shared" si="4"/>
        <v>0.13961953943806646</v>
      </c>
      <c r="X14" s="333">
        <f t="shared" si="4"/>
        <v>0.14660051640996979</v>
      </c>
      <c r="Y14" s="333">
        <f t="shared" si="4"/>
        <v>0.15393054223046829</v>
      </c>
      <c r="Z14" s="333">
        <f t="shared" si="4"/>
        <v>0.1616270693419917</v>
      </c>
      <c r="AA14" s="333">
        <f t="shared" si="4"/>
        <v>0.16970842280909129</v>
      </c>
      <c r="AB14" s="333">
        <f t="shared" si="4"/>
        <v>0.17819384394954588</v>
      </c>
      <c r="AC14" s="333">
        <f t="shared" si="4"/>
        <v>0.18710353614702319</v>
      </c>
      <c r="AD14" s="333">
        <f t="shared" si="4"/>
        <v>0.19645871295437436</v>
      </c>
      <c r="AE14" s="333">
        <f t="shared" si="4"/>
        <v>0.20628164860209308</v>
      </c>
      <c r="AF14" s="333">
        <f t="shared" si="18"/>
        <v>0.21659573103219776</v>
      </c>
      <c r="AG14" s="333">
        <f t="shared" si="18"/>
        <v>0.22742551758380766</v>
      </c>
      <c r="AH14" s="333">
        <f t="shared" si="18"/>
        <v>0.23879679346299806</v>
      </c>
      <c r="AI14" s="333">
        <f t="shared" si="20"/>
        <v>0.24596069726688802</v>
      </c>
      <c r="AJ14" s="333">
        <f t="shared" si="20"/>
        <v>0.25333951818489464</v>
      </c>
      <c r="AK14" s="333">
        <f t="shared" si="20"/>
        <v>0.26093970373044151</v>
      </c>
      <c r="AL14" s="333">
        <f t="shared" si="20"/>
        <v>0.26876789484235475</v>
      </c>
      <c r="AM14" s="333">
        <f t="shared" si="20"/>
        <v>0.2768309316876254</v>
      </c>
      <c r="AN14" s="333">
        <f t="shared" si="20"/>
        <v>0.28513585963825416</v>
      </c>
      <c r="AO14" s="333">
        <f t="shared" si="20"/>
        <v>0.29368993542740179</v>
      </c>
      <c r="AP14" s="333">
        <f t="shared" si="20"/>
        <v>0.30250063349022388</v>
      </c>
      <c r="AQ14" s="333">
        <f t="shared" si="20"/>
        <v>0.31157565249493058</v>
      </c>
      <c r="AR14" s="333">
        <f t="shared" si="20"/>
        <v>0.32092292206977852</v>
      </c>
      <c r="AS14" s="334">
        <f t="shared" si="13"/>
        <v>0.19814654705185827</v>
      </c>
      <c r="AT14" s="44"/>
      <c r="AU14" s="38"/>
      <c r="AV14" s="38"/>
      <c r="AW14" s="38"/>
      <c r="AX14" s="38"/>
      <c r="AY14" s="38"/>
      <c r="AZ14" s="38"/>
      <c r="BA14" s="38"/>
      <c r="BB14" s="41"/>
      <c r="BC14" s="38"/>
      <c r="BD14" s="38"/>
      <c r="BE14" s="38"/>
      <c r="BF14" s="38"/>
      <c r="BG14" s="38"/>
      <c r="BH14" s="38"/>
      <c r="BI14" s="38"/>
      <c r="BJ14" s="134"/>
      <c r="BK14" s="41"/>
    </row>
    <row r="15" spans="1:63" s="44" customFormat="1">
      <c r="C15" s="27"/>
      <c r="D15" s="27" t="s">
        <v>561</v>
      </c>
      <c r="E15" s="27">
        <f>'Zał. B2 Bilans energetyczny'!C10</f>
        <v>0</v>
      </c>
      <c r="F15" s="36"/>
      <c r="G15" s="27"/>
      <c r="H15" s="27"/>
      <c r="I15" s="131"/>
      <c r="J15" s="131" t="s">
        <v>562</v>
      </c>
      <c r="K15" s="269">
        <f t="shared" si="8"/>
        <v>9.4500000000000001E-2</v>
      </c>
      <c r="L15" s="132">
        <f t="shared" si="9"/>
        <v>0.19814654705185827</v>
      </c>
      <c r="M15" s="335" t="s">
        <v>563</v>
      </c>
      <c r="N15" s="333">
        <v>0.09</v>
      </c>
      <c r="O15" s="333">
        <f t="shared" si="3"/>
        <v>9.4500000000000001E-2</v>
      </c>
      <c r="P15" s="333">
        <f t="shared" si="4"/>
        <v>9.9225000000000008E-2</v>
      </c>
      <c r="Q15" s="333">
        <f t="shared" si="4"/>
        <v>0.10418625000000001</v>
      </c>
      <c r="R15" s="333">
        <f t="shared" si="4"/>
        <v>0.10939556250000002</v>
      </c>
      <c r="S15" s="333">
        <f t="shared" si="4"/>
        <v>0.11486534062500002</v>
      </c>
      <c r="T15" s="333">
        <f t="shared" si="4"/>
        <v>0.12060860765625003</v>
      </c>
      <c r="U15" s="333">
        <f t="shared" si="4"/>
        <v>0.12663903803906254</v>
      </c>
      <c r="V15" s="333">
        <f t="shared" si="4"/>
        <v>0.13297098994101567</v>
      </c>
      <c r="W15" s="333">
        <f t="shared" si="4"/>
        <v>0.13961953943806646</v>
      </c>
      <c r="X15" s="333">
        <f t="shared" si="4"/>
        <v>0.14660051640996979</v>
      </c>
      <c r="Y15" s="333">
        <f t="shared" si="4"/>
        <v>0.15393054223046829</v>
      </c>
      <c r="Z15" s="333">
        <f t="shared" si="4"/>
        <v>0.1616270693419917</v>
      </c>
      <c r="AA15" s="333">
        <f t="shared" si="4"/>
        <v>0.16970842280909129</v>
      </c>
      <c r="AB15" s="333">
        <f t="shared" si="4"/>
        <v>0.17819384394954588</v>
      </c>
      <c r="AC15" s="333">
        <f t="shared" si="4"/>
        <v>0.18710353614702319</v>
      </c>
      <c r="AD15" s="333">
        <f t="shared" si="4"/>
        <v>0.19645871295437436</v>
      </c>
      <c r="AE15" s="333">
        <f t="shared" si="4"/>
        <v>0.20628164860209308</v>
      </c>
      <c r="AF15" s="333">
        <f t="shared" si="18"/>
        <v>0.21659573103219776</v>
      </c>
      <c r="AG15" s="333">
        <f t="shared" si="18"/>
        <v>0.22742551758380766</v>
      </c>
      <c r="AH15" s="333">
        <f t="shared" si="18"/>
        <v>0.23879679346299806</v>
      </c>
      <c r="AI15" s="333">
        <f t="shared" si="20"/>
        <v>0.24596069726688802</v>
      </c>
      <c r="AJ15" s="333">
        <f t="shared" si="20"/>
        <v>0.25333951818489464</v>
      </c>
      <c r="AK15" s="333">
        <f t="shared" si="20"/>
        <v>0.26093970373044151</v>
      </c>
      <c r="AL15" s="333">
        <f t="shared" si="20"/>
        <v>0.26876789484235475</v>
      </c>
      <c r="AM15" s="333">
        <f t="shared" si="20"/>
        <v>0.2768309316876254</v>
      </c>
      <c r="AN15" s="333">
        <f t="shared" si="20"/>
        <v>0.28513585963825416</v>
      </c>
      <c r="AO15" s="333">
        <f t="shared" si="20"/>
        <v>0.29368993542740179</v>
      </c>
      <c r="AP15" s="333">
        <f t="shared" si="20"/>
        <v>0.30250063349022388</v>
      </c>
      <c r="AQ15" s="333">
        <f t="shared" si="20"/>
        <v>0.31157565249493058</v>
      </c>
      <c r="AR15" s="333">
        <f t="shared" si="20"/>
        <v>0.32092292206977852</v>
      </c>
      <c r="AS15" s="334">
        <f t="shared" si="13"/>
        <v>0.19814654705185827</v>
      </c>
      <c r="AU15" s="2"/>
      <c r="AV15" s="2"/>
      <c r="AW15" s="2"/>
      <c r="AX15" s="2"/>
      <c r="AY15" s="2"/>
      <c r="AZ15" s="2"/>
      <c r="BA15" s="69"/>
      <c r="BC15" s="2"/>
      <c r="BD15" s="2"/>
      <c r="BE15" s="2"/>
      <c r="BF15" s="2"/>
      <c r="BG15" s="2"/>
      <c r="BH15" s="2"/>
      <c r="BI15" s="2"/>
      <c r="BJ15" s="35"/>
    </row>
    <row r="16" spans="1:63" s="44" customFormat="1">
      <c r="C16" s="27"/>
      <c r="D16" s="27" t="s">
        <v>564</v>
      </c>
      <c r="E16" s="27">
        <f>'Zał. B2 Bilans energetyczny'!F16</f>
        <v>1</v>
      </c>
      <c r="F16" s="36"/>
      <c r="G16" s="27"/>
      <c r="H16" s="27"/>
      <c r="I16" s="131"/>
      <c r="J16" s="132"/>
      <c r="K16" s="27"/>
      <c r="M16" s="332" t="s">
        <v>565</v>
      </c>
      <c r="N16" s="333">
        <f>N4+N10</f>
        <v>0.83240000000000003</v>
      </c>
      <c r="O16" s="333">
        <f t="shared" ref="O16:AP21" si="21">O4+O10</f>
        <v>0.87402000000000002</v>
      </c>
      <c r="P16" s="333">
        <f t="shared" si="21"/>
        <v>0.91772100000000023</v>
      </c>
      <c r="Q16" s="333">
        <f t="shared" si="21"/>
        <v>0.94599792000000027</v>
      </c>
      <c r="R16" s="333">
        <f t="shared" si="21"/>
        <v>0.97533650340000033</v>
      </c>
      <c r="S16" s="333">
        <f t="shared" si="21"/>
        <v>1.0057827897180003</v>
      </c>
      <c r="T16" s="333">
        <f t="shared" si="21"/>
        <v>1.0373849795748604</v>
      </c>
      <c r="U16" s="333">
        <f t="shared" si="21"/>
        <v>1.0701935399319826</v>
      </c>
      <c r="V16" s="333">
        <f t="shared" si="21"/>
        <v>1.1042613145345286</v>
      </c>
      <c r="W16" s="333">
        <f t="shared" si="21"/>
        <v>1.1264231461913645</v>
      </c>
      <c r="X16" s="333">
        <f t="shared" si="21"/>
        <v>1.1430828226170642</v>
      </c>
      <c r="Y16" s="333">
        <f t="shared" si="21"/>
        <v>1.1609720976728877</v>
      </c>
      <c r="Z16" s="333">
        <f t="shared" si="21"/>
        <v>1.1801484851422523</v>
      </c>
      <c r="AA16" s="333">
        <f t="shared" si="21"/>
        <v>1.2006724141592282</v>
      </c>
      <c r="AB16" s="333">
        <f t="shared" si="21"/>
        <v>1.2226073745794541</v>
      </c>
      <c r="AC16" s="333">
        <f t="shared" si="21"/>
        <v>1.2460200696235688</v>
      </c>
      <c r="AD16" s="333">
        <f t="shared" si="21"/>
        <v>1.2709805761567379</v>
      </c>
      <c r="AE16" s="333">
        <f t="shared" si="21"/>
        <v>1.2975625129860453</v>
      </c>
      <c r="AF16" s="333">
        <f t="shared" si="21"/>
        <v>1.3258432175766037</v>
      </c>
      <c r="AG16" s="333">
        <f t="shared" si="21"/>
        <v>1.3559039316072772</v>
      </c>
      <c r="AH16" s="333">
        <f t="shared" si="21"/>
        <v>1.3818518070780201</v>
      </c>
      <c r="AI16" s="333">
        <f t="shared" si="21"/>
        <v>1.3940142365136261</v>
      </c>
      <c r="AJ16" s="333">
        <f t="shared" si="21"/>
        <v>1.407127401327835</v>
      </c>
      <c r="AK16" s="333">
        <f t="shared" si="21"/>
        <v>1.4212081063320943</v>
      </c>
      <c r="AL16" s="333">
        <f t="shared" si="21"/>
        <v>1.4362738948271927</v>
      </c>
      <c r="AM16" s="333">
        <f t="shared" si="21"/>
        <v>1.4523430660710412</v>
      </c>
      <c r="AN16" s="333">
        <f t="shared" si="21"/>
        <v>1.4694346933642248</v>
      </c>
      <c r="AO16" s="333">
        <f t="shared" si="21"/>
        <v>1.4875686427699826</v>
      </c>
      <c r="AP16" s="333">
        <f t="shared" si="21"/>
        <v>1.5067655924858168</v>
      </c>
      <c r="AQ16" s="333">
        <f>AQ4+AQ10</f>
        <v>1.5270470528844711</v>
      </c>
      <c r="AR16" s="333">
        <f>AR4+AR10</f>
        <v>1.5484353872426033</v>
      </c>
      <c r="AS16" s="334">
        <f>SUM(O16:AR16)/30</f>
        <v>1.2497661525456256</v>
      </c>
      <c r="AU16" s="2"/>
      <c r="AV16" s="2"/>
      <c r="AW16" s="2"/>
      <c r="AX16" s="2"/>
      <c r="AY16" s="2"/>
      <c r="AZ16" s="2"/>
      <c r="BA16" s="69"/>
      <c r="BC16" s="2"/>
      <c r="BD16" s="2"/>
      <c r="BE16" s="2"/>
      <c r="BF16" s="2"/>
      <c r="BG16" s="2"/>
      <c r="BH16" s="2"/>
      <c r="BI16" s="2"/>
      <c r="BJ16" s="35"/>
    </row>
    <row r="17" spans="2:66" s="44" customFormat="1">
      <c r="C17" s="27"/>
      <c r="D17" s="27" t="s">
        <v>566</v>
      </c>
      <c r="E17" s="71">
        <f>'Zał. B2 Bilans energetyczny'!C9</f>
        <v>4</v>
      </c>
      <c r="F17" s="36"/>
      <c r="G17" s="27"/>
      <c r="H17" s="27"/>
      <c r="I17" s="131"/>
      <c r="J17" s="132"/>
      <c r="K17" s="27"/>
      <c r="M17" s="332" t="s">
        <v>567</v>
      </c>
      <c r="N17" s="333">
        <f t="shared" ref="N17:AC21" si="22">N5+N11</f>
        <v>0.8</v>
      </c>
      <c r="O17" s="333">
        <f t="shared" si="22"/>
        <v>0.84000000000000008</v>
      </c>
      <c r="P17" s="333">
        <f t="shared" si="22"/>
        <v>0.88200000000000012</v>
      </c>
      <c r="Q17" s="333">
        <f t="shared" si="22"/>
        <v>0.92610000000000015</v>
      </c>
      <c r="R17" s="333">
        <f t="shared" si="22"/>
        <v>0.97240500000000019</v>
      </c>
      <c r="S17" s="333">
        <f t="shared" si="22"/>
        <v>1.0210252500000003</v>
      </c>
      <c r="T17" s="333">
        <f t="shared" si="22"/>
        <v>1.0593136968750003</v>
      </c>
      <c r="U17" s="333">
        <f t="shared" si="22"/>
        <v>1.0991336816250006</v>
      </c>
      <c r="V17" s="333">
        <f t="shared" si="22"/>
        <v>1.1405502946096879</v>
      </c>
      <c r="W17" s="333">
        <f t="shared" si="22"/>
        <v>1.183631536110713</v>
      </c>
      <c r="X17" s="333">
        <f t="shared" si="22"/>
        <v>1.2284484514899057</v>
      </c>
      <c r="Y17" s="333">
        <f t="shared" si="22"/>
        <v>1.2750752727952674</v>
      </c>
      <c r="Z17" s="333">
        <f t="shared" si="22"/>
        <v>1.3235895671278235</v>
      </c>
      <c r="AA17" s="333">
        <f t="shared" si="22"/>
        <v>1.3583757387113673</v>
      </c>
      <c r="AB17" s="333">
        <f t="shared" si="22"/>
        <v>1.3945872858063599</v>
      </c>
      <c r="AC17" s="333">
        <f t="shared" si="22"/>
        <v>1.4322923378576964</v>
      </c>
      <c r="AD17" s="333">
        <f t="shared" si="21"/>
        <v>1.4715623993892097</v>
      </c>
      <c r="AE17" s="333">
        <f t="shared" si="21"/>
        <v>1.4961385179861924</v>
      </c>
      <c r="AF17" s="333">
        <f t="shared" si="21"/>
        <v>1.5224334625267493</v>
      </c>
      <c r="AG17" s="333">
        <f t="shared" si="21"/>
        <v>1.5505282741079212</v>
      </c>
      <c r="AH17" s="333">
        <f t="shared" si="21"/>
        <v>1.5805080948836037</v>
      </c>
      <c r="AI17" s="333">
        <f t="shared" si="21"/>
        <v>1.5965425863965006</v>
      </c>
      <c r="AJ17" s="333">
        <f t="shared" si="21"/>
        <v>1.6133719201681207</v>
      </c>
      <c r="AK17" s="333">
        <f t="shared" si="21"/>
        <v>1.6310168033910921</v>
      </c>
      <c r="AL17" s="333">
        <f t="shared" si="21"/>
        <v>1.6494985958545736</v>
      </c>
      <c r="AM17" s="333">
        <f t="shared" si="21"/>
        <v>1.6688393292083417</v>
      </c>
      <c r="AN17" s="333">
        <f t="shared" si="21"/>
        <v>1.6890617268079418</v>
      </c>
      <c r="AO17" s="333">
        <f t="shared" si="21"/>
        <v>1.7101892241582963</v>
      </c>
      <c r="AP17" s="333">
        <f t="shared" si="21"/>
        <v>1.7322459899737004</v>
      </c>
      <c r="AQ17" s="333">
        <f t="shared" ref="AQ17:AR21" si="23">AQ5+AQ11</f>
        <v>1.7552569478726598</v>
      </c>
      <c r="AR17" s="333">
        <f t="shared" si="23"/>
        <v>1.7792477987265907</v>
      </c>
      <c r="AS17" s="334">
        <f t="shared" ref="AS17:AS21" si="24">SUM(O17:AR17)/30</f>
        <v>1.386098992815344</v>
      </c>
      <c r="AU17" s="2"/>
      <c r="AV17" s="2"/>
      <c r="AW17" s="2"/>
      <c r="AX17" s="2"/>
      <c r="AY17" s="2"/>
      <c r="AZ17" s="2"/>
      <c r="BA17" s="69"/>
      <c r="BC17" s="2"/>
      <c r="BD17" s="2"/>
      <c r="BE17" s="2"/>
      <c r="BF17" s="2"/>
      <c r="BG17" s="2"/>
      <c r="BH17" s="2"/>
      <c r="BI17" s="2"/>
      <c r="BJ17" s="35"/>
    </row>
    <row r="18" spans="2:66" s="44" customFormat="1">
      <c r="C18" s="27"/>
      <c r="D18" s="27"/>
      <c r="E18" s="27"/>
      <c r="F18" s="36"/>
      <c r="G18" s="27"/>
      <c r="H18" s="27"/>
      <c r="I18" s="27"/>
      <c r="J18" s="27"/>
      <c r="K18" s="27"/>
      <c r="M18" s="332" t="s">
        <v>568</v>
      </c>
      <c r="N18" s="333">
        <f t="shared" si="22"/>
        <v>0.83000000000000007</v>
      </c>
      <c r="O18" s="333">
        <f t="shared" si="22"/>
        <v>0.87150000000000016</v>
      </c>
      <c r="P18" s="333">
        <f t="shared" si="22"/>
        <v>0.91507500000000008</v>
      </c>
      <c r="Q18" s="333">
        <f t="shared" si="22"/>
        <v>0.96082875000000023</v>
      </c>
      <c r="R18" s="333">
        <f t="shared" si="22"/>
        <v>1.0088701875000003</v>
      </c>
      <c r="S18" s="333">
        <f t="shared" si="22"/>
        <v>1.0593136968750003</v>
      </c>
      <c r="T18" s="333">
        <f t="shared" si="22"/>
        <v>1.1122793817187504</v>
      </c>
      <c r="U18" s="333">
        <f t="shared" si="22"/>
        <v>1.167893350804688</v>
      </c>
      <c r="V18" s="333">
        <f t="shared" si="22"/>
        <v>1.2262880183449225</v>
      </c>
      <c r="W18" s="333">
        <f t="shared" si="22"/>
        <v>1.2719413915580047</v>
      </c>
      <c r="X18" s="333">
        <f t="shared" si="22"/>
        <v>1.3194076026006158</v>
      </c>
      <c r="Y18" s="333">
        <f t="shared" si="22"/>
        <v>1.3687631984392992</v>
      </c>
      <c r="Z18" s="333">
        <f t="shared" si="22"/>
        <v>1.4200881305411759</v>
      </c>
      <c r="AA18" s="333">
        <f t="shared" si="22"/>
        <v>1.4734659124135443</v>
      </c>
      <c r="AB18" s="333">
        <f t="shared" si="22"/>
        <v>1.5289837846398899</v>
      </c>
      <c r="AC18" s="333">
        <f t="shared" si="22"/>
        <v>1.5867328877757232</v>
      </c>
      <c r="AD18" s="333">
        <f t="shared" si="21"/>
        <v>1.6468084434854631</v>
      </c>
      <c r="AE18" s="333">
        <f t="shared" si="21"/>
        <v>1.7093099443203186</v>
      </c>
      <c r="AF18" s="333">
        <f t="shared" si="21"/>
        <v>1.7743413525567342</v>
      </c>
      <c r="AG18" s="333">
        <f t="shared" si="21"/>
        <v>1.8420113085355829</v>
      </c>
      <c r="AH18" s="333">
        <f t="shared" si="21"/>
        <v>1.9124333489639045</v>
      </c>
      <c r="AI18" s="333">
        <f t="shared" si="21"/>
        <v>1.9474774686844101</v>
      </c>
      <c r="AJ18" s="333">
        <f t="shared" si="21"/>
        <v>1.9833496231890466</v>
      </c>
      <c r="AK18" s="333">
        <f t="shared" si="21"/>
        <v>2.0200724206332636</v>
      </c>
      <c r="AL18" s="333">
        <f t="shared" si="21"/>
        <v>2.0576691250882924</v>
      </c>
      <c r="AM18" s="333">
        <f t="shared" si="21"/>
        <v>2.0961636759953324</v>
      </c>
      <c r="AN18" s="333">
        <f t="shared" si="21"/>
        <v>2.1355807082011276</v>
      </c>
      <c r="AO18" s="333">
        <f t="shared" si="21"/>
        <v>2.1759455725923558</v>
      </c>
      <c r="AP18" s="333">
        <f t="shared" si="21"/>
        <v>2.2172843573467729</v>
      </c>
      <c r="AQ18" s="333">
        <f t="shared" si="23"/>
        <v>2.2596239098195889</v>
      </c>
      <c r="AR18" s="333">
        <f t="shared" si="23"/>
        <v>2.3029918590841136</v>
      </c>
      <c r="AS18" s="334">
        <f t="shared" si="24"/>
        <v>1.6124164803902643</v>
      </c>
      <c r="AU18" s="2"/>
      <c r="AV18" s="2"/>
      <c r="AW18" s="2"/>
      <c r="AX18" s="2"/>
      <c r="AY18" s="2"/>
      <c r="AZ18" s="2"/>
      <c r="BA18" s="69"/>
      <c r="BC18" s="2"/>
      <c r="BD18" s="2"/>
      <c r="BE18" s="2"/>
      <c r="BF18" s="2"/>
      <c r="BG18" s="2"/>
      <c r="BH18" s="2"/>
      <c r="BI18" s="2"/>
      <c r="BJ18" s="35"/>
    </row>
    <row r="19" spans="2:66" ht="21">
      <c r="B19" s="44"/>
      <c r="C19" s="44"/>
      <c r="D19" s="33"/>
      <c r="E19" s="44"/>
      <c r="G19" s="44"/>
      <c r="H19" s="44"/>
      <c r="I19" s="44"/>
      <c r="J19" s="44"/>
      <c r="L19" s="44"/>
      <c r="M19" s="332" t="s">
        <v>569</v>
      </c>
      <c r="N19" s="333">
        <f t="shared" si="22"/>
        <v>0.8</v>
      </c>
      <c r="O19" s="333">
        <f t="shared" si="22"/>
        <v>0.84000000000000008</v>
      </c>
      <c r="P19" s="333">
        <f t="shared" si="22"/>
        <v>0.88200000000000012</v>
      </c>
      <c r="Q19" s="333">
        <f t="shared" si="22"/>
        <v>0.92610000000000015</v>
      </c>
      <c r="R19" s="333">
        <f t="shared" si="22"/>
        <v>0.97240500000000019</v>
      </c>
      <c r="S19" s="333">
        <f t="shared" si="22"/>
        <v>1.0210252500000003</v>
      </c>
      <c r="T19" s="333">
        <f t="shared" si="22"/>
        <v>1.0720765125000005</v>
      </c>
      <c r="U19" s="333">
        <f t="shared" si="22"/>
        <v>1.1256803381250005</v>
      </c>
      <c r="V19" s="333">
        <f t="shared" si="22"/>
        <v>1.1819643550312504</v>
      </c>
      <c r="W19" s="333">
        <f t="shared" si="22"/>
        <v>1.2410625727828131</v>
      </c>
      <c r="X19" s="333">
        <f t="shared" si="22"/>
        <v>1.3031157014219539</v>
      </c>
      <c r="Y19" s="333">
        <f t="shared" si="22"/>
        <v>1.3682714864930516</v>
      </c>
      <c r="Z19" s="333">
        <f t="shared" si="22"/>
        <v>1.4366850608177042</v>
      </c>
      <c r="AA19" s="333">
        <f t="shared" si="22"/>
        <v>1.5085193138585895</v>
      </c>
      <c r="AB19" s="333">
        <f t="shared" si="22"/>
        <v>1.5839452795515192</v>
      </c>
      <c r="AC19" s="333">
        <f t="shared" si="22"/>
        <v>1.6631425435290952</v>
      </c>
      <c r="AD19" s="333">
        <f t="shared" si="21"/>
        <v>1.74629967070555</v>
      </c>
      <c r="AE19" s="333">
        <f t="shared" si="21"/>
        <v>1.8336146542408276</v>
      </c>
      <c r="AF19" s="333">
        <f t="shared" si="21"/>
        <v>1.9252953869528691</v>
      </c>
      <c r="AG19" s="333">
        <f t="shared" si="21"/>
        <v>2.0215601563005126</v>
      </c>
      <c r="AH19" s="333">
        <f t="shared" si="21"/>
        <v>2.1226381641155383</v>
      </c>
      <c r="AI19" s="333">
        <f t="shared" si="21"/>
        <v>2.1597843319875603</v>
      </c>
      <c r="AJ19" s="333">
        <f t="shared" si="21"/>
        <v>2.1977795551252286</v>
      </c>
      <c r="AK19" s="333">
        <f t="shared" si="21"/>
        <v>2.2366466518888073</v>
      </c>
      <c r="AL19" s="333">
        <f t="shared" si="21"/>
        <v>2.2764090986563916</v>
      </c>
      <c r="AM19" s="333">
        <f t="shared" si="21"/>
        <v>2.3170910492991124</v>
      </c>
      <c r="AN19" s="333">
        <f t="shared" si="21"/>
        <v>2.3587173552379452</v>
      </c>
      <c r="AO19" s="333">
        <f t="shared" si="21"/>
        <v>2.4013135860995418</v>
      </c>
      <c r="AP19" s="333">
        <f t="shared" si="21"/>
        <v>2.4449060509890304</v>
      </c>
      <c r="AQ19" s="333">
        <f t="shared" si="23"/>
        <v>2.4895218203982692</v>
      </c>
      <c r="AR19" s="333">
        <f t="shared" si="23"/>
        <v>2.5351887487685807</v>
      </c>
      <c r="AS19" s="334">
        <f t="shared" si="24"/>
        <v>1.7064253231625581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</row>
    <row r="20" spans="2:66" ht="21">
      <c r="B20" s="44"/>
      <c r="C20" s="44"/>
      <c r="D20" s="33" t="s">
        <v>570</v>
      </c>
      <c r="E20" s="44"/>
      <c r="G20" s="44"/>
      <c r="H20" s="44"/>
      <c r="I20" s="44"/>
      <c r="J20" s="44"/>
      <c r="L20" s="44"/>
      <c r="M20" s="332" t="s">
        <v>571</v>
      </c>
      <c r="N20" s="333">
        <f t="shared" si="22"/>
        <v>0.39</v>
      </c>
      <c r="O20" s="333">
        <f t="shared" si="22"/>
        <v>0.40949999999999998</v>
      </c>
      <c r="P20" s="333">
        <f t="shared" si="22"/>
        <v>0.42997500000000005</v>
      </c>
      <c r="Q20" s="333">
        <f t="shared" si="22"/>
        <v>0.45147375000000012</v>
      </c>
      <c r="R20" s="333">
        <f t="shared" si="22"/>
        <v>0.47404743750000011</v>
      </c>
      <c r="S20" s="333">
        <f t="shared" si="22"/>
        <v>0.49774980937500019</v>
      </c>
      <c r="T20" s="333">
        <f t="shared" si="22"/>
        <v>0.52263729984375029</v>
      </c>
      <c r="U20" s="333">
        <f t="shared" si="22"/>
        <v>0.54876916483593774</v>
      </c>
      <c r="V20" s="333">
        <f t="shared" si="22"/>
        <v>0.5635437192738284</v>
      </c>
      <c r="W20" s="333">
        <f t="shared" si="22"/>
        <v>0.57880372335753549</v>
      </c>
      <c r="X20" s="333">
        <f t="shared" si="22"/>
        <v>0.59456838400782819</v>
      </c>
      <c r="Y20" s="333">
        <f t="shared" si="22"/>
        <v>0.61085776718028384</v>
      </c>
      <c r="Z20" s="333">
        <f t="shared" si="22"/>
        <v>0.62769283879080362</v>
      </c>
      <c r="AA20" s="333">
        <f t="shared" si="22"/>
        <v>0.6450955076468794</v>
      </c>
      <c r="AB20" s="333">
        <f t="shared" si="22"/>
        <v>0.66308867048408981</v>
      </c>
      <c r="AC20" s="333">
        <f t="shared" si="22"/>
        <v>0.68169625921225796</v>
      </c>
      <c r="AD20" s="333">
        <f t="shared" si="21"/>
        <v>0.70094329048091386</v>
      </c>
      <c r="AE20" s="333">
        <f t="shared" si="21"/>
        <v>0.72085591767916346</v>
      </c>
      <c r="AF20" s="333">
        <f t="shared" si="21"/>
        <v>0.74146148549080959</v>
      </c>
      <c r="AG20" s="333">
        <f t="shared" si="21"/>
        <v>0.76278858713159181</v>
      </c>
      <c r="AH20" s="333">
        <f t="shared" si="21"/>
        <v>0.78486712440173789</v>
      </c>
      <c r="AI20" s="333">
        <f t="shared" si="21"/>
        <v>0.79749173151501518</v>
      </c>
      <c r="AJ20" s="333">
        <f t="shared" si="21"/>
        <v>0.81038586277550317</v>
      </c>
      <c r="AK20" s="333">
        <f t="shared" si="21"/>
        <v>0.8235565117669561</v>
      </c>
      <c r="AL20" s="333">
        <f t="shared" si="21"/>
        <v>0.83701087095923454</v>
      </c>
      <c r="AM20" s="333">
        <f t="shared" si="21"/>
        <v>0.85075633756567404</v>
      </c>
      <c r="AN20" s="333">
        <f t="shared" si="21"/>
        <v>0.8648005195750833</v>
      </c>
      <c r="AO20" s="333">
        <f t="shared" si="21"/>
        <v>0.87915124196359917</v>
      </c>
      <c r="AP20" s="333">
        <f t="shared" si="21"/>
        <v>0.89381655309178321</v>
      </c>
      <c r="AQ20" s="333">
        <f t="shared" si="23"/>
        <v>0.90880473129250561</v>
      </c>
      <c r="AR20" s="333">
        <f t="shared" si="23"/>
        <v>0.92412429165532939</v>
      </c>
      <c r="AS20" s="334">
        <f t="shared" si="24"/>
        <v>0.68667714629510324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</row>
    <row r="21" spans="2:66">
      <c r="B21" s="44"/>
      <c r="C21" s="27"/>
      <c r="D21" s="44"/>
      <c r="E21" s="27"/>
      <c r="F21" s="36"/>
      <c r="G21" s="44"/>
      <c r="H21" s="44"/>
      <c r="I21" s="44"/>
      <c r="J21" s="44"/>
      <c r="L21" s="44"/>
      <c r="M21" s="332" t="s">
        <v>572</v>
      </c>
      <c r="N21" s="333">
        <f t="shared" si="22"/>
        <v>0.39</v>
      </c>
      <c r="O21" s="333">
        <f t="shared" si="22"/>
        <v>0.40949999999999998</v>
      </c>
      <c r="P21" s="333">
        <f t="shared" si="22"/>
        <v>0.42997500000000005</v>
      </c>
      <c r="Q21" s="333">
        <f t="shared" si="22"/>
        <v>0.45147375000000012</v>
      </c>
      <c r="R21" s="333">
        <f t="shared" si="22"/>
        <v>0.47404743750000011</v>
      </c>
      <c r="S21" s="333">
        <f t="shared" si="22"/>
        <v>0.49774980937500019</v>
      </c>
      <c r="T21" s="333">
        <f t="shared" si="22"/>
        <v>0.52263729984375029</v>
      </c>
      <c r="U21" s="333">
        <f t="shared" si="22"/>
        <v>0.54876916483593774</v>
      </c>
      <c r="V21" s="333">
        <f t="shared" si="22"/>
        <v>0.5635437192738284</v>
      </c>
      <c r="W21" s="333">
        <f t="shared" si="22"/>
        <v>0.57880372335753549</v>
      </c>
      <c r="X21" s="333">
        <f t="shared" si="22"/>
        <v>0.59456838400782819</v>
      </c>
      <c r="Y21" s="333">
        <f t="shared" si="22"/>
        <v>0.61085776718028384</v>
      </c>
      <c r="Z21" s="333">
        <f t="shared" si="22"/>
        <v>0.62769283879080362</v>
      </c>
      <c r="AA21" s="333">
        <f t="shared" si="22"/>
        <v>0.6450955076468794</v>
      </c>
      <c r="AB21" s="333">
        <f t="shared" si="22"/>
        <v>0.66308867048408981</v>
      </c>
      <c r="AC21" s="333">
        <f t="shared" si="22"/>
        <v>0.68169625921225796</v>
      </c>
      <c r="AD21" s="333">
        <f t="shared" si="21"/>
        <v>0.70094329048091386</v>
      </c>
      <c r="AE21" s="333">
        <f t="shared" si="21"/>
        <v>0.72085591767916346</v>
      </c>
      <c r="AF21" s="333">
        <f t="shared" si="21"/>
        <v>0.74146148549080959</v>
      </c>
      <c r="AG21" s="333">
        <f t="shared" si="21"/>
        <v>0.76278858713159181</v>
      </c>
      <c r="AH21" s="333">
        <f t="shared" si="21"/>
        <v>0.78486712440173789</v>
      </c>
      <c r="AI21" s="333">
        <f t="shared" si="21"/>
        <v>0.79749173151501518</v>
      </c>
      <c r="AJ21" s="333">
        <f t="shared" si="21"/>
        <v>0.81038586277550317</v>
      </c>
      <c r="AK21" s="333">
        <f t="shared" si="21"/>
        <v>0.8235565117669561</v>
      </c>
      <c r="AL21" s="333">
        <f t="shared" si="21"/>
        <v>0.83701087095923454</v>
      </c>
      <c r="AM21" s="333">
        <f t="shared" si="21"/>
        <v>0.85075633756567404</v>
      </c>
      <c r="AN21" s="333">
        <f t="shared" si="21"/>
        <v>0.8648005195750833</v>
      </c>
      <c r="AO21" s="333">
        <f t="shared" si="21"/>
        <v>0.87915124196359917</v>
      </c>
      <c r="AP21" s="333">
        <f t="shared" si="21"/>
        <v>0.89381655309178321</v>
      </c>
      <c r="AQ21" s="333">
        <f t="shared" si="23"/>
        <v>0.90880473129250561</v>
      </c>
      <c r="AR21" s="333">
        <f t="shared" si="23"/>
        <v>0.92412429165532939</v>
      </c>
      <c r="AS21" s="334">
        <f t="shared" si="24"/>
        <v>0.68667714629510324</v>
      </c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4"/>
      <c r="BL21" s="44"/>
      <c r="BM21" s="44"/>
      <c r="BN21" s="44"/>
    </row>
    <row r="22" spans="2:66">
      <c r="B22" s="44"/>
      <c r="C22" s="27"/>
      <c r="D22" s="44"/>
      <c r="E22" s="27"/>
      <c r="F22" s="36"/>
      <c r="G22" s="44"/>
      <c r="H22" s="44"/>
      <c r="I22" s="44"/>
      <c r="J22" s="44"/>
      <c r="L22" s="4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62"/>
      <c r="AK22" s="63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4"/>
      <c r="BL22" s="44"/>
      <c r="BM22" s="44"/>
      <c r="BN22" s="44"/>
    </row>
    <row r="23" spans="2:66" ht="26.1">
      <c r="B23" s="44"/>
      <c r="C23" s="27"/>
      <c r="D23" s="44"/>
      <c r="E23" s="27"/>
      <c r="F23" s="36"/>
      <c r="G23" s="44"/>
      <c r="H23" s="44"/>
      <c r="I23" s="44"/>
      <c r="J23" s="44"/>
      <c r="L23" s="4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51"/>
      <c r="AI23" s="34"/>
      <c r="AJ23" s="62"/>
      <c r="AK23" s="6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41"/>
      <c r="BK23" s="44"/>
      <c r="BL23" s="44"/>
      <c r="BM23" s="44"/>
      <c r="BN23" s="44"/>
    </row>
    <row r="24" spans="2:66">
      <c r="B24" s="44"/>
      <c r="C24" s="27"/>
      <c r="D24" s="44"/>
      <c r="E24" s="44"/>
      <c r="G24" s="44"/>
      <c r="H24" s="44"/>
      <c r="I24" s="44"/>
      <c r="J24" s="44"/>
      <c r="L24" s="4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62"/>
      <c r="AK24" s="63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4"/>
      <c r="BL24" s="44"/>
      <c r="BM24" s="44"/>
      <c r="BN24" s="44"/>
    </row>
    <row r="25" spans="2:66" ht="15" customHeight="1">
      <c r="B25" s="44"/>
      <c r="C25" s="27"/>
      <c r="D25" s="44"/>
      <c r="E25" s="44"/>
      <c r="G25" s="44"/>
      <c r="H25" s="484" t="s">
        <v>573</v>
      </c>
      <c r="I25" s="485"/>
      <c r="J25" s="485"/>
      <c r="K25" s="485"/>
      <c r="L25" s="485"/>
      <c r="M25" s="486"/>
      <c r="N25" s="44"/>
      <c r="O25" s="4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62"/>
      <c r="AK25" s="62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4"/>
      <c r="BL25" s="44"/>
      <c r="BM25" s="44"/>
      <c r="BN25" s="44"/>
    </row>
    <row r="26" spans="2:66" ht="15" customHeight="1">
      <c r="B26" s="44"/>
      <c r="C26" s="27"/>
      <c r="D26" s="44"/>
      <c r="E26" s="44"/>
      <c r="G26" s="44"/>
      <c r="H26" s="487"/>
      <c r="I26" s="488"/>
      <c r="J26" s="488"/>
      <c r="K26" s="488"/>
      <c r="L26" s="488"/>
      <c r="M26" s="489"/>
      <c r="N26" s="44"/>
      <c r="O26" s="4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62"/>
      <c r="AK26" s="62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4"/>
      <c r="BL26" s="44"/>
      <c r="BM26" s="44"/>
      <c r="BN26" s="44"/>
    </row>
    <row r="27" spans="2:66" ht="15" customHeight="1">
      <c r="B27" s="44"/>
      <c r="C27" s="27"/>
      <c r="D27" s="44"/>
      <c r="E27" s="44"/>
      <c r="G27" s="44"/>
      <c r="H27" s="490" t="s">
        <v>531</v>
      </c>
      <c r="I27" s="491"/>
      <c r="J27" s="491"/>
      <c r="K27" s="491"/>
      <c r="L27" s="491"/>
      <c r="M27" s="492"/>
      <c r="N27" s="490" t="s">
        <v>532</v>
      </c>
      <c r="O27" s="491"/>
      <c r="P27" s="491"/>
      <c r="Q27" s="491"/>
      <c r="R27" s="491"/>
      <c r="S27" s="492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62"/>
      <c r="AK27" s="41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41"/>
      <c r="BK27" s="44"/>
      <c r="BL27" s="44"/>
      <c r="BM27" s="44"/>
      <c r="BN27" s="44"/>
    </row>
    <row r="28" spans="2:66" ht="57.95">
      <c r="B28" s="355"/>
      <c r="C28" s="354" t="s">
        <v>574</v>
      </c>
      <c r="D28" s="354" t="s">
        <v>235</v>
      </c>
      <c r="E28" s="235" t="s">
        <v>575</v>
      </c>
      <c r="F28" s="353" t="s">
        <v>576</v>
      </c>
      <c r="G28" s="353" t="s">
        <v>577</v>
      </c>
      <c r="H28" s="236" t="s">
        <v>578</v>
      </c>
      <c r="I28" s="236" t="s">
        <v>579</v>
      </c>
      <c r="J28" s="353" t="s">
        <v>580</v>
      </c>
      <c r="K28" s="236" t="s">
        <v>581</v>
      </c>
      <c r="L28" s="236" t="s">
        <v>582</v>
      </c>
      <c r="M28" s="236" t="s">
        <v>583</v>
      </c>
      <c r="N28" s="236" t="s">
        <v>584</v>
      </c>
      <c r="O28" s="236" t="s">
        <v>585</v>
      </c>
      <c r="P28" s="353" t="s">
        <v>586</v>
      </c>
      <c r="Q28" s="236" t="s">
        <v>587</v>
      </c>
      <c r="R28" s="236" t="s">
        <v>588</v>
      </c>
      <c r="S28" s="236" t="s">
        <v>589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62"/>
      <c r="AK28" s="41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41"/>
      <c r="BK28" s="44"/>
      <c r="BL28" s="44"/>
      <c r="BM28" s="44"/>
      <c r="BN28" s="44"/>
    </row>
    <row r="29" spans="2:66" s="44" customFormat="1">
      <c r="B29" s="476" t="s">
        <v>590</v>
      </c>
      <c r="C29" s="243" t="s">
        <v>186</v>
      </c>
      <c r="D29" s="239">
        <f>'Zał. B2 Bilans energetyczny'!F17</f>
        <v>1</v>
      </c>
      <c r="E29" s="240">
        <f>'Zał. B2 Bilans energetyczny'!C17</f>
        <v>0</v>
      </c>
      <c r="F29" s="241">
        <f>'Zał. B2 Bilans energetyczny'!D17</f>
        <v>0.16666666666666666</v>
      </c>
      <c r="G29" s="241">
        <f>'Zał. B2 Bilans energetyczny'!E17</f>
        <v>0.16666666666666666</v>
      </c>
      <c r="H29" s="237">
        <v>0.15</v>
      </c>
      <c r="I29" s="238">
        <f t="shared" ref="I29:I44" si="25">$D29*H29*$E29*$F29/1000</f>
        <v>0</v>
      </c>
      <c r="J29" s="237">
        <v>0.3</v>
      </c>
      <c r="K29" s="238">
        <f t="shared" ref="K29:K44" si="26">$D29*J29*$E29*$F29/1000</f>
        <v>0</v>
      </c>
      <c r="L29" s="237">
        <v>0.55000000000000004</v>
      </c>
      <c r="M29" s="238">
        <f t="shared" ref="M29:M44" si="27">$D29*L29*$E29*$F29/1000</f>
        <v>0</v>
      </c>
      <c r="N29" s="237">
        <v>0.15</v>
      </c>
      <c r="O29" s="238">
        <f>$D29*N29*$E29*$G29/1000</f>
        <v>0</v>
      </c>
      <c r="P29" s="237">
        <v>0.3</v>
      </c>
      <c r="Q29" s="238">
        <f>$D29*P29*$E29*$G29/1000</f>
        <v>0</v>
      </c>
      <c r="R29" s="237">
        <v>0.55000000000000004</v>
      </c>
      <c r="S29" s="238">
        <f>$D29*R29*$E29*$G29/1000</f>
        <v>0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62"/>
      <c r="AK29" s="41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6"/>
      <c r="BJ29" s="41"/>
    </row>
    <row r="30" spans="2:66">
      <c r="B30" s="476"/>
      <c r="C30" s="243" t="s">
        <v>184</v>
      </c>
      <c r="D30" s="239">
        <f>'Zał. B2 Bilans energetyczny'!F16</f>
        <v>1</v>
      </c>
      <c r="E30" s="240">
        <f>'Zał. B2 Bilans energetyczny'!C16</f>
        <v>0</v>
      </c>
      <c r="F30" s="241">
        <f>'Zał. B2 Bilans energetyczny'!D16</f>
        <v>1</v>
      </c>
      <c r="G30" s="241">
        <f>'Zał. B2 Bilans energetyczny'!E16</f>
        <v>1</v>
      </c>
      <c r="H30" s="237">
        <v>0.15</v>
      </c>
      <c r="I30" s="238">
        <f t="shared" si="25"/>
        <v>0</v>
      </c>
      <c r="J30" s="237">
        <v>0.3</v>
      </c>
      <c r="K30" s="238">
        <f t="shared" si="26"/>
        <v>0</v>
      </c>
      <c r="L30" s="237">
        <v>0.55000000000000004</v>
      </c>
      <c r="M30" s="238">
        <f t="shared" si="27"/>
        <v>0</v>
      </c>
      <c r="N30" s="237">
        <v>0.15</v>
      </c>
      <c r="O30" s="238">
        <f t="shared" ref="O30:O44" si="28">$D30*N30*$E30*$G30/1000</f>
        <v>0</v>
      </c>
      <c r="P30" s="237">
        <v>0.3</v>
      </c>
      <c r="Q30" s="238">
        <f t="shared" ref="Q30:Q44" si="29">$D30*P30*$E30*$G30/1000</f>
        <v>0</v>
      </c>
      <c r="R30" s="237">
        <v>0.55000000000000004</v>
      </c>
      <c r="S30" s="238">
        <f t="shared" ref="S30:S44" si="30">$D30*R30*$E30*$G30/1000</f>
        <v>0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62"/>
      <c r="AK30" s="63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4"/>
      <c r="BL30" s="44"/>
      <c r="BM30" s="44"/>
      <c r="BN30" s="44"/>
    </row>
    <row r="31" spans="2:66">
      <c r="B31" s="476"/>
      <c r="C31" s="243" t="s">
        <v>192</v>
      </c>
      <c r="D31" s="239">
        <f>'Zał. B2 Bilans energetyczny'!F20</f>
        <v>1</v>
      </c>
      <c r="E31" s="240">
        <f>'Zał. B2 Bilans energetyczny'!C20</f>
        <v>0</v>
      </c>
      <c r="F31" s="241">
        <f>'Zał. B2 Bilans energetyczny'!D20</f>
        <v>0.66666666666666663</v>
      </c>
      <c r="G31" s="241">
        <f>'Zał. B2 Bilans energetyczny'!E20</f>
        <v>0.66666666666666663</v>
      </c>
      <c r="H31" s="237">
        <v>0.15</v>
      </c>
      <c r="I31" s="238">
        <f t="shared" si="25"/>
        <v>0</v>
      </c>
      <c r="J31" s="237">
        <v>0.3</v>
      </c>
      <c r="K31" s="238">
        <f t="shared" si="26"/>
        <v>0</v>
      </c>
      <c r="L31" s="237">
        <v>0.55000000000000004</v>
      </c>
      <c r="M31" s="238">
        <f t="shared" si="27"/>
        <v>0</v>
      </c>
      <c r="N31" s="237">
        <v>0.15</v>
      </c>
      <c r="O31" s="238">
        <f t="shared" si="28"/>
        <v>0</v>
      </c>
      <c r="P31" s="237">
        <v>0.3</v>
      </c>
      <c r="Q31" s="238">
        <f t="shared" si="29"/>
        <v>0</v>
      </c>
      <c r="R31" s="237">
        <v>0.55000000000000004</v>
      </c>
      <c r="S31" s="238">
        <f t="shared" si="30"/>
        <v>0</v>
      </c>
      <c r="T31" s="34"/>
      <c r="U31" s="62"/>
      <c r="V31" s="62"/>
      <c r="W31" s="62"/>
      <c r="X31" s="62"/>
      <c r="Y31" s="62"/>
      <c r="Z31" s="62"/>
      <c r="AA31" s="62"/>
      <c r="AB31" s="62"/>
      <c r="AC31" s="62"/>
      <c r="AD31" s="34"/>
      <c r="AE31" s="34"/>
      <c r="AF31" s="34"/>
      <c r="AG31" s="34"/>
      <c r="AH31" s="34"/>
      <c r="AI31" s="34"/>
      <c r="AJ31" s="62"/>
      <c r="AK31" s="63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4"/>
      <c r="BL31" s="44"/>
      <c r="BM31" s="44"/>
      <c r="BN31" s="44"/>
    </row>
    <row r="32" spans="2:66">
      <c r="B32" s="476"/>
      <c r="C32" s="243" t="s">
        <v>190</v>
      </c>
      <c r="D32" s="239">
        <f>'Zał. B2 Bilans energetyczny'!F19</f>
        <v>1</v>
      </c>
      <c r="E32" s="240">
        <f>'Zał. B2 Bilans energetyczny'!C19</f>
        <v>0</v>
      </c>
      <c r="F32" s="241">
        <f>'Zał. B2 Bilans energetyczny'!D19</f>
        <v>23.888888888888889</v>
      </c>
      <c r="G32" s="241">
        <f>'Zał. B2 Bilans energetyczny'!E19</f>
        <v>23.888888888888889</v>
      </c>
      <c r="H32" s="237">
        <v>0.33333000000000002</v>
      </c>
      <c r="I32" s="238">
        <f t="shared" si="25"/>
        <v>0</v>
      </c>
      <c r="J32" s="237">
        <v>0.33333299999999999</v>
      </c>
      <c r="K32" s="238">
        <f t="shared" si="26"/>
        <v>0</v>
      </c>
      <c r="L32" s="237">
        <v>0.33333299999999999</v>
      </c>
      <c r="M32" s="238">
        <f t="shared" si="27"/>
        <v>0</v>
      </c>
      <c r="N32" s="237">
        <v>0.33333299999999999</v>
      </c>
      <c r="O32" s="238">
        <f t="shared" si="28"/>
        <v>0</v>
      </c>
      <c r="P32" s="237">
        <v>0.33333299999999999</v>
      </c>
      <c r="Q32" s="238">
        <f t="shared" si="29"/>
        <v>0</v>
      </c>
      <c r="R32" s="237">
        <v>0.33333299999999999</v>
      </c>
      <c r="S32" s="238">
        <f t="shared" si="30"/>
        <v>0</v>
      </c>
      <c r="T32" s="34"/>
      <c r="U32" s="62"/>
      <c r="V32" s="62"/>
      <c r="W32" s="62"/>
      <c r="X32" s="62"/>
      <c r="Y32" s="62"/>
      <c r="Z32" s="62"/>
      <c r="AA32" s="62"/>
      <c r="AB32" s="62"/>
      <c r="AC32" s="62"/>
      <c r="AD32" s="34"/>
      <c r="AE32" s="34"/>
      <c r="AF32" s="34"/>
      <c r="AG32" s="34"/>
      <c r="AH32" s="34"/>
      <c r="AI32" s="34"/>
      <c r="AJ32" s="62"/>
      <c r="AK32" s="63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41"/>
      <c r="BK32" s="44"/>
      <c r="BL32" s="44"/>
      <c r="BM32" s="44"/>
      <c r="BN32" s="44"/>
    </row>
    <row r="33" spans="2:62">
      <c r="B33" s="476"/>
      <c r="C33" s="243" t="s">
        <v>188</v>
      </c>
      <c r="D33" s="239">
        <f>'Zał. B2 Bilans energetyczny'!F18</f>
        <v>1</v>
      </c>
      <c r="E33" s="240">
        <f>'Zał. B2 Bilans energetyczny'!C18</f>
        <v>0</v>
      </c>
      <c r="F33" s="241">
        <f>'Zał. B2 Bilans energetyczny'!D18</f>
        <v>0.1111111111111111</v>
      </c>
      <c r="G33" s="241">
        <f>'Zał. B2 Bilans energetyczny'!E18</f>
        <v>0.1111111111111111</v>
      </c>
      <c r="H33" s="237">
        <v>0.15</v>
      </c>
      <c r="I33" s="238">
        <f t="shared" si="25"/>
        <v>0</v>
      </c>
      <c r="J33" s="237">
        <v>0.3</v>
      </c>
      <c r="K33" s="238">
        <f t="shared" si="26"/>
        <v>0</v>
      </c>
      <c r="L33" s="237">
        <v>0.55000000000000004</v>
      </c>
      <c r="M33" s="238">
        <f t="shared" si="27"/>
        <v>0</v>
      </c>
      <c r="N33" s="237">
        <v>0.15</v>
      </c>
      <c r="O33" s="238">
        <f t="shared" si="28"/>
        <v>0</v>
      </c>
      <c r="P33" s="237">
        <v>0.3</v>
      </c>
      <c r="Q33" s="238">
        <f t="shared" si="29"/>
        <v>0</v>
      </c>
      <c r="R33" s="237">
        <v>0.55000000000000004</v>
      </c>
      <c r="S33" s="238">
        <f t="shared" si="30"/>
        <v>0</v>
      </c>
      <c r="T33" s="34"/>
      <c r="U33" s="62"/>
      <c r="V33" s="62"/>
      <c r="W33" s="62"/>
      <c r="X33" s="62"/>
      <c r="Y33" s="62"/>
      <c r="Z33" s="62"/>
      <c r="AA33" s="62"/>
      <c r="AB33" s="62"/>
      <c r="AC33" s="62"/>
      <c r="AD33" s="34"/>
      <c r="AE33" s="34"/>
      <c r="AF33" s="34"/>
      <c r="AG33" s="34"/>
      <c r="AH33" s="34"/>
      <c r="AI33" s="34"/>
      <c r="AJ33" s="62"/>
      <c r="AK33" s="63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</row>
    <row r="34" spans="2:62">
      <c r="B34" s="476"/>
      <c r="C34" s="243" t="s">
        <v>198</v>
      </c>
      <c r="D34" s="239">
        <f>'Zał. B2 Bilans energetyczny'!F23</f>
        <v>1</v>
      </c>
      <c r="E34" s="240">
        <f>'Zał. B2 Bilans energetyczny'!C23</f>
        <v>0</v>
      </c>
      <c r="F34" s="241">
        <f>'Zał. B2 Bilans energetyczny'!D23</f>
        <v>1</v>
      </c>
      <c r="G34" s="241">
        <f>'Zał. B2 Bilans energetyczny'!E23</f>
        <v>1</v>
      </c>
      <c r="H34" s="237">
        <v>0.15</v>
      </c>
      <c r="I34" s="238">
        <f t="shared" si="25"/>
        <v>0</v>
      </c>
      <c r="J34" s="237">
        <v>0.3</v>
      </c>
      <c r="K34" s="238">
        <f t="shared" si="26"/>
        <v>0</v>
      </c>
      <c r="L34" s="237">
        <v>0.55000000000000004</v>
      </c>
      <c r="M34" s="238">
        <f t="shared" si="27"/>
        <v>0</v>
      </c>
      <c r="N34" s="237">
        <v>0.15</v>
      </c>
      <c r="O34" s="238">
        <f t="shared" si="28"/>
        <v>0</v>
      </c>
      <c r="P34" s="237">
        <v>0.3</v>
      </c>
      <c r="Q34" s="238">
        <f t="shared" si="29"/>
        <v>0</v>
      </c>
      <c r="R34" s="237">
        <v>0.55000000000000004</v>
      </c>
      <c r="S34" s="238">
        <f t="shared" si="30"/>
        <v>0</v>
      </c>
      <c r="T34" s="34"/>
      <c r="U34" s="136"/>
      <c r="V34" s="137"/>
      <c r="W34" s="137"/>
      <c r="X34" s="136"/>
      <c r="Y34" s="137"/>
      <c r="Z34" s="62"/>
      <c r="AA34" s="62"/>
      <c r="AB34" s="62"/>
      <c r="AC34" s="62"/>
      <c r="AD34" s="34"/>
      <c r="AE34" s="34"/>
      <c r="AF34" s="34"/>
      <c r="AG34" s="34"/>
      <c r="AH34" s="34"/>
      <c r="AI34" s="34"/>
      <c r="AJ34" s="62"/>
      <c r="AK34" s="63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</row>
    <row r="35" spans="2:62">
      <c r="B35" s="476"/>
      <c r="C35" s="243" t="s">
        <v>194</v>
      </c>
      <c r="D35" s="239">
        <f>'Zał. B2 Bilans energetyczny'!F21</f>
        <v>1</v>
      </c>
      <c r="E35" s="240">
        <f>'Zał. B2 Bilans energetyczny'!C21</f>
        <v>0</v>
      </c>
      <c r="F35" s="241">
        <f>'Zał. B2 Bilans energetyczny'!D21</f>
        <v>1</v>
      </c>
      <c r="G35" s="241">
        <f>'Zał. B2 Bilans energetyczny'!E21</f>
        <v>1</v>
      </c>
      <c r="H35" s="237">
        <v>0.15</v>
      </c>
      <c r="I35" s="238">
        <f t="shared" si="25"/>
        <v>0</v>
      </c>
      <c r="J35" s="237">
        <v>0.3</v>
      </c>
      <c r="K35" s="238">
        <f t="shared" si="26"/>
        <v>0</v>
      </c>
      <c r="L35" s="237">
        <v>0.55000000000000004</v>
      </c>
      <c r="M35" s="238">
        <f t="shared" si="27"/>
        <v>0</v>
      </c>
      <c r="N35" s="237">
        <v>0.15</v>
      </c>
      <c r="O35" s="238">
        <f t="shared" si="28"/>
        <v>0</v>
      </c>
      <c r="P35" s="237">
        <v>0.3</v>
      </c>
      <c r="Q35" s="238">
        <f t="shared" si="29"/>
        <v>0</v>
      </c>
      <c r="R35" s="237">
        <v>0.55000000000000004</v>
      </c>
      <c r="S35" s="238">
        <f t="shared" si="30"/>
        <v>0</v>
      </c>
      <c r="T35" s="34"/>
      <c r="U35" s="62"/>
      <c r="V35" s="62"/>
      <c r="W35" s="62" t="s">
        <v>591</v>
      </c>
      <c r="X35" s="62"/>
      <c r="Y35" s="62"/>
      <c r="Z35" s="62"/>
      <c r="AA35" s="62"/>
      <c r="AB35" s="62"/>
      <c r="AC35" s="62"/>
      <c r="AD35" s="34"/>
      <c r="AE35" s="34"/>
      <c r="AF35" s="34"/>
      <c r="AG35" s="34"/>
      <c r="AH35" s="34"/>
      <c r="AI35" s="34"/>
      <c r="AJ35" s="62"/>
      <c r="AK35" s="63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41"/>
    </row>
    <row r="36" spans="2:62">
      <c r="B36" s="476"/>
      <c r="C36" s="243" t="s">
        <v>196</v>
      </c>
      <c r="D36" s="239">
        <f>'Zał. B2 Bilans energetyczny'!F22</f>
        <v>1</v>
      </c>
      <c r="E36" s="240">
        <f>'Zał. B2 Bilans energetyczny'!C22</f>
        <v>0</v>
      </c>
      <c r="F36" s="241">
        <f>'Zał. B2 Bilans energetyczny'!D22</f>
        <v>0.55555555555555558</v>
      </c>
      <c r="G36" s="241">
        <f>'Zał. B2 Bilans energetyczny'!E22</f>
        <v>0.55555555555555558</v>
      </c>
      <c r="H36" s="237">
        <v>0.15</v>
      </c>
      <c r="I36" s="238">
        <f t="shared" si="25"/>
        <v>0</v>
      </c>
      <c r="J36" s="237">
        <v>0.3</v>
      </c>
      <c r="K36" s="238">
        <f t="shared" si="26"/>
        <v>0</v>
      </c>
      <c r="L36" s="237">
        <v>0.55000000000000004</v>
      </c>
      <c r="M36" s="238">
        <f t="shared" si="27"/>
        <v>0</v>
      </c>
      <c r="N36" s="237">
        <v>0.15</v>
      </c>
      <c r="O36" s="238">
        <f t="shared" si="28"/>
        <v>0</v>
      </c>
      <c r="P36" s="237">
        <v>0.3</v>
      </c>
      <c r="Q36" s="238">
        <f t="shared" si="29"/>
        <v>0</v>
      </c>
      <c r="R36" s="237">
        <v>0.55000000000000004</v>
      </c>
      <c r="S36" s="238">
        <f t="shared" si="30"/>
        <v>0</v>
      </c>
      <c r="T36" s="34"/>
      <c r="U36" s="62"/>
      <c r="V36" s="62"/>
      <c r="W36" s="62"/>
      <c r="X36" s="62"/>
      <c r="Y36" s="62"/>
      <c r="Z36" s="62"/>
      <c r="AA36" s="62"/>
      <c r="AB36" s="62"/>
      <c r="AC36" s="62"/>
      <c r="AD36" s="34"/>
      <c r="AE36" s="34"/>
      <c r="AF36" s="34"/>
      <c r="AG36" s="34"/>
      <c r="AH36" s="34"/>
      <c r="AI36" s="34"/>
      <c r="AJ36" s="62"/>
      <c r="AK36" s="63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</row>
    <row r="37" spans="2:62">
      <c r="B37" s="476"/>
      <c r="C37" s="243" t="s">
        <v>206</v>
      </c>
      <c r="D37" s="239">
        <f>'Zał. B2 Bilans energetyczny'!F27</f>
        <v>1</v>
      </c>
      <c r="E37" s="240">
        <v>1500</v>
      </c>
      <c r="F37" s="241">
        <f>'Zał. B2 Bilans energetyczny'!D27</f>
        <v>0.33333333333333331</v>
      </c>
      <c r="G37" s="241">
        <f>'Zał. B2 Bilans energetyczny'!E27</f>
        <v>0.33333333333333331</v>
      </c>
      <c r="H37" s="237">
        <v>0</v>
      </c>
      <c r="I37" s="238">
        <f t="shared" si="25"/>
        <v>0</v>
      </c>
      <c r="J37" s="237">
        <v>0.5</v>
      </c>
      <c r="K37" s="238">
        <f t="shared" si="26"/>
        <v>0.25</v>
      </c>
      <c r="L37" s="237">
        <v>0.5</v>
      </c>
      <c r="M37" s="238">
        <f t="shared" si="27"/>
        <v>0.25</v>
      </c>
      <c r="N37" s="237">
        <v>0</v>
      </c>
      <c r="O37" s="238">
        <f t="shared" si="28"/>
        <v>0</v>
      </c>
      <c r="P37" s="237">
        <v>0.5</v>
      </c>
      <c r="Q37" s="238">
        <f t="shared" si="29"/>
        <v>0.25</v>
      </c>
      <c r="R37" s="237">
        <v>0.5</v>
      </c>
      <c r="S37" s="238">
        <f t="shared" si="30"/>
        <v>0.25</v>
      </c>
      <c r="T37" s="34"/>
      <c r="U37" s="62"/>
      <c r="V37" s="62"/>
      <c r="W37" s="62"/>
      <c r="X37" s="62"/>
      <c r="Y37" s="62"/>
      <c r="Z37" s="62"/>
      <c r="AA37" s="62"/>
      <c r="AB37" s="62"/>
      <c r="AC37" s="62"/>
      <c r="AD37" s="34"/>
      <c r="AE37" s="34"/>
      <c r="AF37" s="34"/>
      <c r="AG37" s="34"/>
      <c r="AH37" s="34"/>
      <c r="AI37" s="34"/>
      <c r="AJ37" s="62"/>
      <c r="AK37" s="63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</row>
    <row r="38" spans="2:62">
      <c r="B38" s="476"/>
      <c r="C38" s="243" t="s">
        <v>208</v>
      </c>
      <c r="D38" s="239">
        <f>'Zał. B2 Bilans energetyczny'!F28</f>
        <v>1</v>
      </c>
      <c r="E38" s="240">
        <v>30</v>
      </c>
      <c r="F38" s="241">
        <f>'Zał. B2 Bilans energetyczny'!D28</f>
        <v>5.5555555555555554</v>
      </c>
      <c r="G38" s="241">
        <f>'Zał. B2 Bilans energetyczny'!E28</f>
        <v>3.8888888888888888</v>
      </c>
      <c r="H38" s="237">
        <v>0.2</v>
      </c>
      <c r="I38" s="238">
        <f t="shared" si="25"/>
        <v>3.3333333333333326E-2</v>
      </c>
      <c r="J38" s="237">
        <v>0.3</v>
      </c>
      <c r="K38" s="238">
        <f t="shared" si="26"/>
        <v>0.05</v>
      </c>
      <c r="L38" s="237">
        <v>0.5</v>
      </c>
      <c r="M38" s="238">
        <f t="shared" si="27"/>
        <v>8.3333333333333329E-2</v>
      </c>
      <c r="N38" s="237">
        <v>0.2</v>
      </c>
      <c r="O38" s="238">
        <f t="shared" si="28"/>
        <v>2.3333333333333331E-2</v>
      </c>
      <c r="P38" s="237">
        <v>0.3</v>
      </c>
      <c r="Q38" s="238">
        <f t="shared" si="29"/>
        <v>3.5000000000000003E-2</v>
      </c>
      <c r="R38" s="237">
        <v>0.5</v>
      </c>
      <c r="S38" s="238">
        <f t="shared" si="30"/>
        <v>5.8333333333333334E-2</v>
      </c>
      <c r="T38" s="34"/>
      <c r="U38" s="62"/>
      <c r="V38" s="62"/>
      <c r="W38" s="62"/>
      <c r="X38" s="62"/>
      <c r="Y38" s="62"/>
      <c r="Z38" s="62"/>
      <c r="AA38" s="62"/>
      <c r="AB38" s="62"/>
      <c r="AC38" s="62"/>
      <c r="AD38" s="34"/>
      <c r="AE38" s="34"/>
      <c r="AF38" s="34"/>
      <c r="AG38" s="34"/>
      <c r="AH38" s="34"/>
      <c r="AI38" s="34"/>
      <c r="AJ38" s="62"/>
      <c r="AK38" s="65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</row>
    <row r="39" spans="2:62">
      <c r="B39" s="476"/>
      <c r="C39" s="243" t="s">
        <v>212</v>
      </c>
      <c r="D39" s="239">
        <f>'Zał. B2 Bilans energetyczny'!F30</f>
        <v>1</v>
      </c>
      <c r="E39" s="240">
        <v>2000</v>
      </c>
      <c r="F39" s="241">
        <f>'Zał. B2 Bilans energetyczny'!D30</f>
        <v>0.16666666666666666</v>
      </c>
      <c r="G39" s="241">
        <f>'Zał. B2 Bilans energetyczny'!E30</f>
        <v>0.16666666666666666</v>
      </c>
      <c r="H39" s="237">
        <v>0.05</v>
      </c>
      <c r="I39" s="238">
        <f t="shared" si="25"/>
        <v>1.6666666666666663E-2</v>
      </c>
      <c r="J39" s="237">
        <v>0.3</v>
      </c>
      <c r="K39" s="238">
        <f t="shared" si="26"/>
        <v>0.1</v>
      </c>
      <c r="L39" s="237">
        <v>0.55000000000000004</v>
      </c>
      <c r="M39" s="238">
        <f t="shared" si="27"/>
        <v>0.18333333333333332</v>
      </c>
      <c r="N39" s="237">
        <v>0.15</v>
      </c>
      <c r="O39" s="238">
        <f t="shared" si="28"/>
        <v>0.05</v>
      </c>
      <c r="P39" s="237">
        <v>0.3</v>
      </c>
      <c r="Q39" s="238">
        <f t="shared" si="29"/>
        <v>0.1</v>
      </c>
      <c r="R39" s="237">
        <v>0.55000000000000004</v>
      </c>
      <c r="S39" s="238">
        <f t="shared" si="30"/>
        <v>0.18333333333333332</v>
      </c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62"/>
      <c r="AK39" s="63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41"/>
    </row>
    <row r="40" spans="2:62">
      <c r="B40" s="476"/>
      <c r="C40" s="243" t="s">
        <v>210</v>
      </c>
      <c r="D40" s="239">
        <f>'Zał. B2 Bilans energetyczny'!F29</f>
        <v>1</v>
      </c>
      <c r="E40" s="240">
        <v>50</v>
      </c>
      <c r="F40" s="241">
        <f>'Zał. B2 Bilans energetyczny'!D29</f>
        <v>5.5555555555555554</v>
      </c>
      <c r="G40" s="241">
        <f>'Zał. B2 Bilans energetyczny'!E29</f>
        <v>3.8888888888888888</v>
      </c>
      <c r="H40" s="237">
        <v>0.2</v>
      </c>
      <c r="I40" s="238">
        <f t="shared" si="25"/>
        <v>5.5555555555555559E-2</v>
      </c>
      <c r="J40" s="237">
        <v>0.3</v>
      </c>
      <c r="K40" s="238">
        <f t="shared" si="26"/>
        <v>8.3333333333333329E-2</v>
      </c>
      <c r="L40" s="237">
        <v>0.5</v>
      </c>
      <c r="M40" s="238">
        <f t="shared" si="27"/>
        <v>0.1388888888888889</v>
      </c>
      <c r="N40" s="237">
        <v>0.2</v>
      </c>
      <c r="O40" s="238">
        <f t="shared" si="28"/>
        <v>3.8888888888888883E-2</v>
      </c>
      <c r="P40" s="237">
        <v>0.3</v>
      </c>
      <c r="Q40" s="238">
        <f t="shared" si="29"/>
        <v>5.8333333333333334E-2</v>
      </c>
      <c r="R40" s="237">
        <v>0.5</v>
      </c>
      <c r="S40" s="238">
        <f t="shared" si="30"/>
        <v>9.722222222222221E-2</v>
      </c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62"/>
      <c r="AK40" s="63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</row>
    <row r="41" spans="2:62">
      <c r="B41" s="476"/>
      <c r="C41" s="243" t="s">
        <v>200</v>
      </c>
      <c r="D41" s="239">
        <f>'Zał. B2 Bilans energetyczny'!F24</f>
        <v>0</v>
      </c>
      <c r="E41" s="240">
        <f>'Zał. B2 Bilans energetyczny'!C24</f>
        <v>0</v>
      </c>
      <c r="F41" s="241">
        <f>'Zał. B2 Bilans energetyczny'!D24</f>
        <v>0</v>
      </c>
      <c r="G41" s="241">
        <f>'Zał. B2 Bilans energetyczny'!E24</f>
        <v>0</v>
      </c>
      <c r="H41" s="237">
        <v>0.3333333</v>
      </c>
      <c r="I41" s="238">
        <f>$D41*H41*$E41*$F41/1000</f>
        <v>0</v>
      </c>
      <c r="J41" s="237">
        <v>0.33333332999999998</v>
      </c>
      <c r="K41" s="238">
        <f>$D41*J41*$E41*$F41/1000</f>
        <v>0</v>
      </c>
      <c r="L41" s="237">
        <v>0.3333333</v>
      </c>
      <c r="M41" s="238">
        <f>$D41*L41*$E41*$F41/1000</f>
        <v>0</v>
      </c>
      <c r="N41" s="237">
        <v>0.3333333</v>
      </c>
      <c r="O41" s="238">
        <f>$D41*N41*$E41*$G41/1000</f>
        <v>0</v>
      </c>
      <c r="P41" s="237">
        <v>0.3333333</v>
      </c>
      <c r="Q41" s="238">
        <f>$D41*P41*$E41*$G41/1000</f>
        <v>0</v>
      </c>
      <c r="R41" s="237">
        <v>0.33333299999999999</v>
      </c>
      <c r="S41" s="238">
        <f>$D41*R41*$E41*$G41/1000</f>
        <v>0</v>
      </c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62"/>
      <c r="AK41" s="67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</row>
    <row r="42" spans="2:62" ht="29.1">
      <c r="B42" s="476"/>
      <c r="C42" s="243" t="s">
        <v>592</v>
      </c>
      <c r="D42" s="239">
        <f>'Zał. B2 Bilans energetyczny'!F25</f>
        <v>1</v>
      </c>
      <c r="E42" s="240">
        <f>'Zał. B2 Bilans energetyczny'!C25</f>
        <v>0</v>
      </c>
      <c r="F42" s="242">
        <f>'Zał. B2 Bilans energetyczny'!D25</f>
        <v>1</v>
      </c>
      <c r="G42" s="242">
        <f>'Zał. B2 Bilans energetyczny'!E25</f>
        <v>1.1111111111111112</v>
      </c>
      <c r="H42" s="237">
        <v>0.8</v>
      </c>
      <c r="I42" s="238">
        <f t="shared" si="25"/>
        <v>0</v>
      </c>
      <c r="J42" s="237">
        <v>0</v>
      </c>
      <c r="K42" s="238">
        <f t="shared" si="26"/>
        <v>0</v>
      </c>
      <c r="L42" s="237">
        <v>0.2</v>
      </c>
      <c r="M42" s="238">
        <f t="shared" si="27"/>
        <v>0</v>
      </c>
      <c r="N42" s="237">
        <v>0.8</v>
      </c>
      <c r="O42" s="238">
        <f t="shared" si="28"/>
        <v>0</v>
      </c>
      <c r="P42" s="237">
        <v>0</v>
      </c>
      <c r="Q42" s="238">
        <f t="shared" si="29"/>
        <v>0</v>
      </c>
      <c r="R42" s="237">
        <v>0.2</v>
      </c>
      <c r="S42" s="238">
        <f t="shared" si="30"/>
        <v>0</v>
      </c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62"/>
      <c r="AK42" s="63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64"/>
      <c r="BJ42" s="41"/>
    </row>
    <row r="43" spans="2:62">
      <c r="B43" s="476" t="s">
        <v>593</v>
      </c>
      <c r="C43" s="243" t="s">
        <v>594</v>
      </c>
      <c r="D43" s="239">
        <f>'Zał. B2 Bilans energetyczny'!E38*'Zał. B2 Bilans energetyczny'!E39</f>
        <v>15</v>
      </c>
      <c r="E43" s="240">
        <f>'Zał. B2 Bilans energetyczny'!E41</f>
        <v>0</v>
      </c>
      <c r="F43" s="242">
        <f>'Zał. B2 Bilans energetyczny'!E42</f>
        <v>5</v>
      </c>
      <c r="G43" s="242">
        <f>'Zał. B2 Bilans energetyczny'!E43</f>
        <v>1.4166666666666667</v>
      </c>
      <c r="H43" s="237">
        <v>0.15</v>
      </c>
      <c r="I43" s="238">
        <f>$D43*H43*$E43*$F43/1000</f>
        <v>0</v>
      </c>
      <c r="J43" s="237">
        <v>0.25</v>
      </c>
      <c r="K43" s="238">
        <f>$D43*J43*$E43*$F43/1000</f>
        <v>0</v>
      </c>
      <c r="L43" s="237">
        <v>0.6</v>
      </c>
      <c r="M43" s="238">
        <f>$D43*L43*$E43*$F43/1000</f>
        <v>0</v>
      </c>
      <c r="N43" s="237">
        <v>0.15</v>
      </c>
      <c r="O43" s="238">
        <f>$D43*N43*$E43*$G43/1000</f>
        <v>0</v>
      </c>
      <c r="P43" s="237">
        <v>0.25</v>
      </c>
      <c r="Q43" s="238">
        <f>$D43*P43*$E43*$G43/1000</f>
        <v>0</v>
      </c>
      <c r="R43" s="237">
        <v>0.6</v>
      </c>
      <c r="S43" s="238">
        <f>$D43*R43*$E43*$G43/1000</f>
        <v>0</v>
      </c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62"/>
      <c r="AK43" s="63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</row>
    <row r="44" spans="2:62" ht="29.1">
      <c r="B44" s="476"/>
      <c r="C44" s="243" t="s">
        <v>595</v>
      </c>
      <c r="D44" s="239">
        <f>'Zał. B2 Bilans energetyczny'!E40</f>
        <v>0</v>
      </c>
      <c r="E44" s="240">
        <f>'Zał. B2 Bilans energetyczny'!E41</f>
        <v>0</v>
      </c>
      <c r="F44" s="242">
        <f>'Zał. B2 Bilans energetyczny'!E44</f>
        <v>0</v>
      </c>
      <c r="G44" s="242">
        <f>'Zał. B2 Bilans energetyczny'!E45</f>
        <v>0</v>
      </c>
      <c r="H44" s="237">
        <v>0.15</v>
      </c>
      <c r="I44" s="238">
        <f t="shared" si="25"/>
        <v>0</v>
      </c>
      <c r="J44" s="237">
        <v>0.25</v>
      </c>
      <c r="K44" s="238">
        <f t="shared" si="26"/>
        <v>0</v>
      </c>
      <c r="L44" s="237">
        <v>0.6</v>
      </c>
      <c r="M44" s="238">
        <f t="shared" si="27"/>
        <v>0</v>
      </c>
      <c r="N44" s="237">
        <v>0.15</v>
      </c>
      <c r="O44" s="238">
        <f t="shared" si="28"/>
        <v>0</v>
      </c>
      <c r="P44" s="237">
        <v>0.25</v>
      </c>
      <c r="Q44" s="238">
        <f t="shared" si="29"/>
        <v>0</v>
      </c>
      <c r="R44" s="237">
        <v>0.6</v>
      </c>
      <c r="S44" s="238">
        <f t="shared" si="30"/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62"/>
      <c r="AK44" s="66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</row>
    <row r="45" spans="2:62">
      <c r="B45" s="475" t="s">
        <v>596</v>
      </c>
      <c r="C45" s="312">
        <f>'Zał. B2 Bilans energetyczny'!B51</f>
        <v>0</v>
      </c>
      <c r="D45" s="313"/>
      <c r="E45" s="314"/>
      <c r="F45" s="315"/>
      <c r="G45" s="315"/>
      <c r="H45" s="316"/>
      <c r="I45" s="317"/>
      <c r="J45" s="316"/>
      <c r="K45" s="317"/>
      <c r="L45" s="316"/>
      <c r="M45" s="317"/>
      <c r="N45" s="316"/>
      <c r="O45" s="317"/>
      <c r="P45" s="316"/>
      <c r="Q45" s="317"/>
      <c r="R45" s="316"/>
      <c r="S45" s="317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62"/>
      <c r="AK45" s="63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</row>
    <row r="46" spans="2:62" ht="122.1" customHeight="1">
      <c r="B46" s="475"/>
      <c r="C46" s="312">
        <f>'Zał. B2 Bilans energetyczny'!B52</f>
        <v>0</v>
      </c>
      <c r="D46" s="313"/>
      <c r="E46" s="314"/>
      <c r="F46" s="315"/>
      <c r="G46" s="315"/>
      <c r="H46" s="316"/>
      <c r="I46" s="317"/>
      <c r="J46" s="316"/>
      <c r="K46" s="317"/>
      <c r="L46" s="316"/>
      <c r="M46" s="317"/>
      <c r="N46" s="316"/>
      <c r="O46" s="317"/>
      <c r="P46" s="316"/>
      <c r="Q46" s="317"/>
      <c r="R46" s="316"/>
      <c r="S46" s="317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62"/>
      <c r="AK46" s="62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</row>
    <row r="47" spans="2:62" ht="26.1">
      <c r="B47" s="475"/>
      <c r="C47" s="312">
        <f>'Zał. B2 Bilans energetyczny'!B53</f>
        <v>0</v>
      </c>
      <c r="D47" s="313"/>
      <c r="E47" s="314"/>
      <c r="F47" s="315"/>
      <c r="G47" s="315"/>
      <c r="H47" s="316"/>
      <c r="I47" s="317"/>
      <c r="J47" s="316"/>
      <c r="K47" s="317"/>
      <c r="L47" s="316"/>
      <c r="M47" s="317"/>
      <c r="N47" s="316"/>
      <c r="O47" s="317"/>
      <c r="P47" s="316"/>
      <c r="Q47" s="317"/>
      <c r="R47" s="316"/>
      <c r="S47" s="317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62"/>
      <c r="AK47" s="68"/>
      <c r="AL47" s="477"/>
      <c r="AM47" s="477"/>
      <c r="AN47" s="477"/>
      <c r="AO47" s="477"/>
      <c r="AP47" s="477"/>
      <c r="AQ47" s="477"/>
      <c r="AR47" s="477"/>
      <c r="AS47" s="477"/>
      <c r="AT47" s="477"/>
      <c r="AU47" s="477"/>
      <c r="AV47" s="477"/>
      <c r="AW47" s="477"/>
      <c r="AX47" s="477"/>
      <c r="AY47" s="477"/>
      <c r="AZ47" s="477"/>
      <c r="BA47" s="477"/>
      <c r="BB47" s="477"/>
      <c r="BC47" s="477"/>
      <c r="BD47" s="477"/>
      <c r="BE47" s="477"/>
      <c r="BF47" s="477"/>
      <c r="BG47" s="477"/>
      <c r="BH47" s="477"/>
      <c r="BI47" s="477"/>
      <c r="BJ47" s="41"/>
    </row>
    <row r="48" spans="2:62" s="44" customFormat="1">
      <c r="B48" s="475"/>
      <c r="C48" s="312">
        <f>'Zał. B2 Bilans energetyczny'!B54</f>
        <v>0</v>
      </c>
      <c r="D48" s="313"/>
      <c r="E48" s="314"/>
      <c r="F48" s="315"/>
      <c r="G48" s="315"/>
      <c r="H48" s="316"/>
      <c r="I48" s="317"/>
      <c r="J48" s="316"/>
      <c r="K48" s="317"/>
      <c r="L48" s="316"/>
      <c r="M48" s="317"/>
      <c r="N48" s="316"/>
      <c r="O48" s="317"/>
      <c r="P48" s="316"/>
      <c r="Q48" s="317"/>
      <c r="R48" s="316"/>
      <c r="S48" s="317"/>
      <c r="T48" s="34"/>
      <c r="AJ48" s="41"/>
      <c r="AK48" s="62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</row>
    <row r="49" spans="2:62">
      <c r="B49" s="475"/>
      <c r="C49" s="312">
        <f>'Zał. B2 Bilans energetyczny'!B55</f>
        <v>0</v>
      </c>
      <c r="D49" s="313"/>
      <c r="E49" s="314"/>
      <c r="F49" s="315"/>
      <c r="G49" s="315"/>
      <c r="H49" s="316"/>
      <c r="I49" s="317"/>
      <c r="J49" s="316"/>
      <c r="K49" s="317"/>
      <c r="L49" s="316"/>
      <c r="M49" s="317"/>
      <c r="N49" s="316"/>
      <c r="O49" s="317"/>
      <c r="P49" s="316"/>
      <c r="Q49" s="317"/>
      <c r="R49" s="316"/>
      <c r="S49" s="317"/>
      <c r="T49" s="3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1"/>
      <c r="AK49" s="62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</row>
    <row r="50" spans="2:62" s="44" customFormat="1">
      <c r="B50" s="475"/>
      <c r="C50" s="312">
        <f>'Zał. B2 Bilans energetyczny'!B56</f>
        <v>0</v>
      </c>
      <c r="D50" s="313"/>
      <c r="E50" s="314"/>
      <c r="F50" s="315"/>
      <c r="G50" s="315"/>
      <c r="H50" s="316"/>
      <c r="I50" s="317"/>
      <c r="J50" s="316"/>
      <c r="K50" s="317"/>
      <c r="L50" s="316"/>
      <c r="M50" s="317"/>
      <c r="N50" s="316"/>
      <c r="O50" s="317"/>
      <c r="P50" s="316"/>
      <c r="Q50" s="317"/>
      <c r="R50" s="316"/>
      <c r="S50" s="317"/>
      <c r="T50" s="34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</row>
    <row r="51" spans="2:62">
      <c r="B51" s="475"/>
      <c r="C51" s="312">
        <f>'Zał. B2 Bilans energetyczny'!B57</f>
        <v>0</v>
      </c>
      <c r="D51" s="313"/>
      <c r="E51" s="314"/>
      <c r="F51" s="315"/>
      <c r="G51" s="315"/>
      <c r="H51" s="316"/>
      <c r="I51" s="317"/>
      <c r="J51" s="316"/>
      <c r="K51" s="317"/>
      <c r="L51" s="316"/>
      <c r="M51" s="317"/>
      <c r="N51" s="316"/>
      <c r="O51" s="317"/>
      <c r="P51" s="316"/>
      <c r="Q51" s="317"/>
      <c r="R51" s="316"/>
      <c r="S51" s="317"/>
      <c r="T51" s="3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</row>
    <row r="52" spans="2:62">
      <c r="B52" s="44"/>
      <c r="C52" s="27"/>
      <c r="D52" s="49"/>
      <c r="E52" s="27"/>
      <c r="F52" s="36"/>
      <c r="G52" s="44"/>
      <c r="H52" s="44"/>
      <c r="I52" s="244">
        <f>SUM(I29:I51)</f>
        <v>0.10555555555555554</v>
      </c>
      <c r="J52" s="27"/>
      <c r="K52" s="244">
        <f>SUM(K29:K51)</f>
        <v>0.48333333333333334</v>
      </c>
      <c r="L52" s="27"/>
      <c r="M52" s="244">
        <f>SUM(M29:M51)</f>
        <v>0.65555555555555545</v>
      </c>
      <c r="N52" s="27"/>
      <c r="O52" s="244">
        <f>SUM(O29:O51)</f>
        <v>0.11222222222222222</v>
      </c>
      <c r="P52" s="27"/>
      <c r="Q52" s="244">
        <f>SUM(Q29:Q51)</f>
        <v>0.44333333333333336</v>
      </c>
      <c r="R52" s="27"/>
      <c r="S52" s="244">
        <f>SUM(S29:S51)</f>
        <v>0.58888888888888891</v>
      </c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1"/>
      <c r="AK52" s="41"/>
      <c r="AL52" s="479"/>
      <c r="AM52" s="479"/>
      <c r="AN52" s="479"/>
      <c r="AO52" s="479"/>
      <c r="AP52" s="479"/>
      <c r="AQ52" s="479"/>
      <c r="AR52" s="479"/>
      <c r="AS52" s="479"/>
      <c r="AT52" s="479"/>
      <c r="AU52" s="479"/>
      <c r="AV52" s="479"/>
      <c r="AW52" s="479"/>
      <c r="AX52" s="479"/>
      <c r="AY52" s="479"/>
      <c r="AZ52" s="479"/>
      <c r="BA52" s="479"/>
      <c r="BB52" s="479"/>
      <c r="BC52" s="479"/>
      <c r="BD52" s="479"/>
      <c r="BE52" s="479"/>
      <c r="BF52" s="479"/>
      <c r="BG52" s="479"/>
      <c r="BH52" s="479"/>
      <c r="BI52" s="479"/>
      <c r="BJ52" s="41"/>
    </row>
    <row r="53" spans="2:62" ht="29.1">
      <c r="B53" s="44"/>
      <c r="C53" s="27"/>
      <c r="D53" s="50"/>
      <c r="E53" s="27"/>
      <c r="F53" s="36"/>
      <c r="G53" s="44"/>
      <c r="H53" s="44"/>
      <c r="I53" s="27"/>
      <c r="J53" s="27"/>
      <c r="K53" s="27"/>
      <c r="L53" s="238" t="s">
        <v>597</v>
      </c>
      <c r="M53" s="238">
        <f>SUM(I52,K52,M52)*180</f>
        <v>224</v>
      </c>
      <c r="N53" s="27"/>
      <c r="O53" s="27"/>
      <c r="P53" s="27"/>
      <c r="Q53" s="27"/>
      <c r="R53" s="238" t="s">
        <v>598</v>
      </c>
      <c r="S53" s="238">
        <f>SUM(O52,Q52,S52)*180</f>
        <v>206</v>
      </c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1"/>
      <c r="AK53" s="41"/>
      <c r="AL53" s="480"/>
      <c r="AM53" s="480"/>
      <c r="AN53" s="480"/>
      <c r="AO53" s="480"/>
      <c r="AP53" s="480"/>
      <c r="AQ53" s="480"/>
      <c r="AR53" s="480"/>
      <c r="AS53" s="480"/>
      <c r="AT53" s="480"/>
      <c r="AU53" s="480"/>
      <c r="AV53" s="480"/>
      <c r="AW53" s="480"/>
      <c r="AX53" s="480"/>
      <c r="AY53" s="480"/>
      <c r="AZ53" s="480"/>
      <c r="BA53" s="480"/>
      <c r="BB53" s="480"/>
      <c r="BC53" s="480"/>
      <c r="BD53" s="480"/>
      <c r="BE53" s="480"/>
      <c r="BF53" s="480"/>
      <c r="BG53" s="480"/>
      <c r="BH53" s="480"/>
      <c r="BI53" s="480"/>
      <c r="BJ53" s="41"/>
    </row>
    <row r="54" spans="2:62">
      <c r="B54" s="44"/>
      <c r="C54" s="27"/>
      <c r="D54" s="44"/>
      <c r="E54" s="27"/>
      <c r="F54" s="36"/>
      <c r="G54" s="44"/>
      <c r="H54" s="44"/>
      <c r="I54" s="44"/>
      <c r="J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1"/>
      <c r="AK54" s="41"/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355"/>
      <c r="AY54" s="355"/>
      <c r="AZ54" s="355"/>
      <c r="BA54" s="355"/>
      <c r="BB54" s="355"/>
      <c r="BC54" s="355"/>
      <c r="BD54" s="355"/>
      <c r="BE54" s="355"/>
      <c r="BF54" s="355"/>
      <c r="BG54" s="355"/>
      <c r="BH54" s="355"/>
      <c r="BI54" s="355"/>
      <c r="BJ54" s="41"/>
    </row>
    <row r="55" spans="2:62" ht="30.95" customHeight="1">
      <c r="B55" s="44"/>
      <c r="C55" s="27"/>
      <c r="D55" s="44"/>
      <c r="E55" s="27"/>
      <c r="F55" s="36"/>
      <c r="G55" s="44"/>
      <c r="H55" s="44"/>
      <c r="I55" s="44"/>
      <c r="J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1"/>
      <c r="AK55" s="63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</row>
    <row r="56" spans="2:62" s="44" customFormat="1" ht="25.5" customHeight="1">
      <c r="C56" s="27"/>
      <c r="D56" s="27"/>
      <c r="E56" s="27"/>
      <c r="F56" s="36"/>
      <c r="G56" s="27"/>
      <c r="H56" s="27"/>
      <c r="I56" s="49" t="s">
        <v>599</v>
      </c>
      <c r="J56" s="27" t="s">
        <v>532</v>
      </c>
      <c r="K56" s="246">
        <v>0.75</v>
      </c>
      <c r="M56" s="139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69"/>
      <c r="AM56" s="69"/>
      <c r="AN56" s="69"/>
      <c r="AO56" s="69"/>
      <c r="AP56" s="69"/>
      <c r="AQ56" s="69"/>
      <c r="AR56" s="69"/>
      <c r="AS56" s="69"/>
      <c r="AU56" s="2"/>
      <c r="AV56" s="2"/>
      <c r="AW56" s="2"/>
      <c r="AX56" s="2"/>
      <c r="AY56" s="2"/>
      <c r="AZ56" s="2"/>
      <c r="BA56" s="69"/>
      <c r="BC56" s="2"/>
      <c r="BD56" s="2"/>
      <c r="BE56" s="2"/>
      <c r="BF56" s="2"/>
      <c r="BG56" s="2"/>
      <c r="BH56" s="2"/>
      <c r="BI56" s="2"/>
      <c r="BJ56" s="35"/>
    </row>
    <row r="57" spans="2:62" s="44" customFormat="1" ht="21">
      <c r="C57" s="247"/>
      <c r="D57" s="39" t="s">
        <v>600</v>
      </c>
      <c r="E57" s="27"/>
      <c r="F57" s="36"/>
      <c r="G57" s="27"/>
      <c r="H57" s="27"/>
      <c r="I57" s="27"/>
      <c r="J57" s="27" t="s">
        <v>601</v>
      </c>
      <c r="K57" s="246">
        <v>0.25</v>
      </c>
      <c r="M57" s="139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69"/>
      <c r="AM57" s="69"/>
      <c r="AN57" s="69"/>
      <c r="AO57" s="69"/>
      <c r="AP57" s="69"/>
      <c r="AQ57" s="69"/>
      <c r="AR57" s="69"/>
      <c r="AS57" s="69"/>
      <c r="AU57" s="2"/>
      <c r="AV57" s="2"/>
      <c r="AW57" s="2"/>
      <c r="AX57" s="2"/>
      <c r="AY57" s="2"/>
      <c r="AZ57" s="2"/>
      <c r="BA57" s="69"/>
      <c r="BC57" s="2"/>
      <c r="BD57" s="2"/>
      <c r="BE57" s="2"/>
      <c r="BF57" s="2"/>
      <c r="BG57" s="2"/>
      <c r="BH57" s="2"/>
      <c r="BI57" s="2"/>
      <c r="BJ57" s="35"/>
    </row>
    <row r="58" spans="2:62" s="44" customFormat="1" ht="21">
      <c r="C58" s="33" t="s">
        <v>601</v>
      </c>
      <c r="D58" s="33"/>
      <c r="E58" s="27"/>
      <c r="F58" s="32"/>
      <c r="M58" s="139"/>
      <c r="N58" s="72"/>
      <c r="O58" s="73"/>
      <c r="P58" s="73"/>
      <c r="Q58" s="7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69"/>
      <c r="AM58" s="69"/>
      <c r="AN58" s="69"/>
      <c r="AO58" s="69"/>
      <c r="AP58" s="69"/>
      <c r="AQ58" s="69"/>
      <c r="AR58" s="69"/>
      <c r="AS58" s="69"/>
      <c r="AU58" s="2"/>
      <c r="AV58" s="2"/>
      <c r="AW58" s="2"/>
      <c r="AX58" s="2"/>
      <c r="AY58" s="2"/>
      <c r="AZ58" s="2"/>
      <c r="BA58" s="69"/>
      <c r="BC58" s="2"/>
      <c r="BD58" s="2"/>
      <c r="BE58" s="2"/>
      <c r="BF58" s="2"/>
      <c r="BG58" s="2"/>
      <c r="BH58" s="2"/>
      <c r="BI58" s="2"/>
      <c r="BJ58" s="35"/>
    </row>
    <row r="59" spans="2:62" s="44" customFormat="1" ht="48">
      <c r="C59" s="355"/>
      <c r="D59" s="354" t="s">
        <v>602</v>
      </c>
      <c r="E59" s="354" t="s">
        <v>235</v>
      </c>
      <c r="F59" s="249" t="s">
        <v>603</v>
      </c>
      <c r="G59" s="250" t="s">
        <v>604</v>
      </c>
      <c r="H59" s="250" t="s">
        <v>605</v>
      </c>
      <c r="I59" s="250" t="s">
        <v>606</v>
      </c>
      <c r="J59" s="250" t="s">
        <v>240</v>
      </c>
      <c r="L59" s="250" t="s">
        <v>607</v>
      </c>
      <c r="M59" s="139"/>
      <c r="N59" s="72"/>
      <c r="O59" s="73"/>
      <c r="P59" s="73"/>
      <c r="Q59" s="7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69"/>
      <c r="AM59" s="69"/>
      <c r="AN59" s="69"/>
      <c r="AO59" s="69"/>
      <c r="AP59" s="69"/>
      <c r="AQ59" s="69"/>
      <c r="AR59" s="69"/>
      <c r="AS59" s="69"/>
      <c r="AU59" s="2"/>
      <c r="AV59" s="2"/>
      <c r="AW59" s="2"/>
      <c r="AX59" s="2"/>
      <c r="AY59" s="2"/>
      <c r="AZ59" s="2"/>
      <c r="BA59" s="69"/>
      <c r="BC59" s="2"/>
      <c r="BD59" s="2"/>
      <c r="BE59" s="2"/>
      <c r="BF59" s="2"/>
      <c r="BG59" s="2"/>
      <c r="BH59" s="2"/>
      <c r="BI59" s="2"/>
      <c r="BJ59" s="35"/>
    </row>
    <row r="60" spans="2:62" s="44" customFormat="1">
      <c r="C60" s="41"/>
      <c r="D60" s="254">
        <f>'Zał. B2 Bilans energetyczny'!B63</f>
        <v>0</v>
      </c>
      <c r="E60" s="254">
        <f>'Zał. B2 Bilans energetyczny'!C63</f>
        <v>0</v>
      </c>
      <c r="F60" s="253" t="s">
        <v>608</v>
      </c>
      <c r="G60" s="255">
        <f>'Zał. B2 Bilans energetyczny'!D63</f>
        <v>0</v>
      </c>
      <c r="H60" s="254">
        <v>1.67</v>
      </c>
      <c r="I60" s="256">
        <f>ROUND(G60*H60*$E$60,2)/1000</f>
        <v>0</v>
      </c>
      <c r="J60" s="256">
        <f>I60*180</f>
        <v>0</v>
      </c>
      <c r="L60" s="256">
        <f>J65+J66+J67+J60+J61+J62</f>
        <v>0</v>
      </c>
      <c r="M60" s="139"/>
      <c r="N60" s="72"/>
      <c r="O60" s="73"/>
      <c r="P60" s="73"/>
      <c r="Q60" s="7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69"/>
      <c r="AM60" s="69"/>
      <c r="AN60" s="69"/>
      <c r="AO60" s="69"/>
      <c r="AP60" s="69"/>
      <c r="AQ60" s="69"/>
      <c r="AR60" s="69"/>
      <c r="AS60" s="69"/>
      <c r="AU60" s="2"/>
      <c r="AV60" s="2"/>
      <c r="AW60" s="2"/>
      <c r="AX60" s="2"/>
      <c r="AY60" s="2"/>
      <c r="AZ60" s="2"/>
      <c r="BA60" s="69"/>
      <c r="BC60" s="2"/>
      <c r="BD60" s="2"/>
      <c r="BE60" s="2"/>
      <c r="BF60" s="2"/>
      <c r="BG60" s="2"/>
      <c r="BH60" s="2"/>
      <c r="BI60" s="2"/>
      <c r="BJ60" s="35"/>
    </row>
    <row r="61" spans="2:62" s="44" customFormat="1">
      <c r="C61" s="27"/>
      <c r="D61" s="254">
        <f>'Zał. B2 Bilans energetyczny'!B64</f>
        <v>0</v>
      </c>
      <c r="E61" s="254">
        <f>'Zał. B2 Bilans energetyczny'!C64</f>
        <v>0</v>
      </c>
      <c r="F61" s="253" t="s">
        <v>608</v>
      </c>
      <c r="G61" s="255">
        <f>'Zał. B2 Bilans energetyczny'!D64</f>
        <v>0</v>
      </c>
      <c r="H61" s="254">
        <v>1.67</v>
      </c>
      <c r="I61" s="256">
        <f>ROUND(G61*H61*$E$61,2)/1000</f>
        <v>0</v>
      </c>
      <c r="J61" s="256">
        <f t="shared" ref="J61:J62" si="31">I61*180</f>
        <v>0</v>
      </c>
      <c r="N61" s="72"/>
      <c r="O61" s="73"/>
      <c r="P61" s="73"/>
      <c r="Q61" s="7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69"/>
      <c r="AM61" s="69"/>
      <c r="AN61" s="69"/>
      <c r="AO61" s="69"/>
      <c r="AP61" s="69"/>
      <c r="AQ61" s="69"/>
      <c r="AR61" s="69"/>
      <c r="AS61" s="69"/>
      <c r="AU61" s="2"/>
      <c r="AV61" s="2"/>
      <c r="AW61" s="2"/>
      <c r="AX61" s="2"/>
      <c r="AY61" s="2"/>
      <c r="AZ61" s="2"/>
      <c r="BA61" s="69"/>
      <c r="BC61" s="2"/>
      <c r="BD61" s="2"/>
      <c r="BE61" s="2"/>
      <c r="BF61" s="2"/>
      <c r="BG61" s="2"/>
      <c r="BH61" s="2"/>
      <c r="BI61" s="2"/>
      <c r="BJ61" s="35"/>
    </row>
    <row r="62" spans="2:62" s="44" customFormat="1">
      <c r="C62" s="27"/>
      <c r="D62" s="254">
        <f>'Zał. B2 Bilans energetyczny'!B65</f>
        <v>0</v>
      </c>
      <c r="E62" s="254">
        <f>'Zał. B2 Bilans energetyczny'!C65</f>
        <v>0</v>
      </c>
      <c r="F62" s="253" t="s">
        <v>608</v>
      </c>
      <c r="G62" s="255">
        <f>'Zał. B2 Bilans energetyczny'!D65</f>
        <v>0</v>
      </c>
      <c r="H62" s="254">
        <v>1.67</v>
      </c>
      <c r="I62" s="256">
        <f>ROUND(G62*H62*$E$62,2)/1000</f>
        <v>0</v>
      </c>
      <c r="J62" s="256">
        <f t="shared" si="31"/>
        <v>0</v>
      </c>
      <c r="N62" s="72"/>
      <c r="O62" s="73"/>
      <c r="P62" s="73"/>
      <c r="Q62" s="7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69"/>
      <c r="AM62" s="69"/>
      <c r="AN62" s="69"/>
      <c r="AO62" s="69"/>
      <c r="AP62" s="69"/>
      <c r="AQ62" s="69"/>
      <c r="AR62" s="69"/>
      <c r="AS62" s="69"/>
      <c r="AU62" s="2"/>
      <c r="AV62" s="2"/>
      <c r="AW62" s="2"/>
      <c r="AX62" s="2"/>
      <c r="AY62" s="2"/>
      <c r="AZ62" s="2"/>
      <c r="BA62" s="69"/>
      <c r="BC62" s="2"/>
      <c r="BD62" s="2"/>
      <c r="BE62" s="2"/>
      <c r="BF62" s="2"/>
      <c r="BG62" s="2"/>
      <c r="BH62" s="2"/>
      <c r="BI62" s="2"/>
      <c r="BJ62" s="35"/>
    </row>
    <row r="63" spans="2:62" s="44" customFormat="1" ht="21">
      <c r="C63" s="33" t="s">
        <v>532</v>
      </c>
      <c r="D63" s="39"/>
      <c r="E63" s="27"/>
      <c r="F63" s="27"/>
      <c r="G63" s="27"/>
      <c r="H63" s="41"/>
      <c r="I63" s="41"/>
      <c r="N63" s="72"/>
      <c r="O63" s="73"/>
      <c r="P63" s="73"/>
      <c r="Q63" s="7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69"/>
      <c r="AM63" s="69"/>
      <c r="AN63" s="69"/>
      <c r="AO63" s="69"/>
      <c r="AP63" s="69"/>
      <c r="AQ63" s="69"/>
      <c r="AR63" s="69"/>
      <c r="AS63" s="69"/>
      <c r="AU63" s="2"/>
      <c r="AV63" s="2"/>
      <c r="AW63" s="2"/>
      <c r="AX63" s="2"/>
      <c r="AY63" s="2"/>
      <c r="AZ63" s="2"/>
      <c r="BA63" s="69"/>
      <c r="BC63" s="2"/>
      <c r="BD63" s="2"/>
      <c r="BE63" s="2"/>
      <c r="BF63" s="2"/>
      <c r="BG63" s="2"/>
      <c r="BH63" s="2"/>
      <c r="BI63" s="2"/>
      <c r="BJ63" s="35"/>
    </row>
    <row r="64" spans="2:62" s="44" customFormat="1" ht="48">
      <c r="C64" s="354"/>
      <c r="D64" s="354" t="s">
        <v>602</v>
      </c>
      <c r="E64" s="248" t="s">
        <v>235</v>
      </c>
      <c r="F64" s="249" t="s">
        <v>603</v>
      </c>
      <c r="G64" s="250" t="s">
        <v>604</v>
      </c>
      <c r="H64" s="250" t="s">
        <v>605</v>
      </c>
      <c r="I64" s="250" t="s">
        <v>606</v>
      </c>
      <c r="J64" s="250" t="s">
        <v>240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69"/>
      <c r="AM64" s="69"/>
      <c r="AN64" s="69"/>
      <c r="AO64" s="69"/>
      <c r="AP64" s="69"/>
      <c r="AQ64" s="69"/>
      <c r="AR64" s="69"/>
      <c r="AS64" s="69"/>
      <c r="AU64" s="2"/>
      <c r="AV64" s="2"/>
      <c r="AW64" s="2"/>
      <c r="AX64" s="2"/>
      <c r="AY64" s="2"/>
      <c r="AZ64" s="2"/>
      <c r="BA64" s="69"/>
      <c r="BC64" s="2"/>
      <c r="BD64" s="2"/>
      <c r="BE64" s="2"/>
      <c r="BF64" s="2"/>
      <c r="BG64" s="2"/>
      <c r="BH64" s="2"/>
      <c r="BI64" s="2"/>
      <c r="BJ64" s="35"/>
    </row>
    <row r="65" spans="3:62" s="44" customFormat="1">
      <c r="C65" s="27"/>
      <c r="D65" s="254">
        <f>'Zał. B2 Bilans energetyczny'!B63</f>
        <v>0</v>
      </c>
      <c r="E65" s="254">
        <f>'Zał. B2 Bilans energetyczny'!C63</f>
        <v>0</v>
      </c>
      <c r="F65" s="253" t="s">
        <v>608</v>
      </c>
      <c r="G65" s="254">
        <f>'Zał. B2 Bilans energetyczny'!E63</f>
        <v>0</v>
      </c>
      <c r="H65" s="254">
        <v>3.89</v>
      </c>
      <c r="I65" s="239">
        <f>ROUND(G65*H65*$E$65,2)/1000</f>
        <v>0</v>
      </c>
      <c r="J65" s="239">
        <f>I65*180</f>
        <v>0</v>
      </c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69"/>
      <c r="AM65" s="69"/>
      <c r="AN65" s="69"/>
      <c r="AO65" s="69"/>
      <c r="AP65" s="69"/>
      <c r="AQ65" s="69"/>
      <c r="AR65" s="69"/>
      <c r="AS65" s="69"/>
      <c r="AU65" s="2"/>
      <c r="AV65" s="2"/>
      <c r="AW65" s="2"/>
      <c r="AX65" s="2"/>
      <c r="AY65" s="2"/>
      <c r="AZ65" s="2"/>
      <c r="BA65" s="69"/>
      <c r="BC65" s="2"/>
      <c r="BD65" s="2"/>
      <c r="BE65" s="2"/>
      <c r="BF65" s="2"/>
      <c r="BG65" s="2"/>
      <c r="BH65" s="2"/>
      <c r="BI65" s="2"/>
      <c r="BJ65" s="35"/>
    </row>
    <row r="66" spans="3:62">
      <c r="C66" s="27"/>
      <c r="D66" s="254">
        <f>'Zał. B2 Bilans energetyczny'!B64</f>
        <v>0</v>
      </c>
      <c r="E66" s="254">
        <f>'Zał. B2 Bilans energetyczny'!C64</f>
        <v>0</v>
      </c>
      <c r="F66" s="253" t="s">
        <v>608</v>
      </c>
      <c r="G66" s="254">
        <f>'Zał. B2 Bilans energetyczny'!E64</f>
        <v>0</v>
      </c>
      <c r="H66" s="254">
        <v>3.89</v>
      </c>
      <c r="I66" s="239">
        <f>ROUND(G66*H66*$E$66,2)/1000</f>
        <v>0</v>
      </c>
      <c r="J66" s="239">
        <f t="shared" ref="J66:J67" si="32">I66*180</f>
        <v>0</v>
      </c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135"/>
    </row>
    <row r="67" spans="3:62" ht="14.45" customHeight="1">
      <c r="C67" s="27"/>
      <c r="D67" s="254">
        <f>'Zał. B2 Bilans energetyczny'!B65</f>
        <v>0</v>
      </c>
      <c r="E67" s="254">
        <f>'Zał. B2 Bilans energetyczny'!C65</f>
        <v>0</v>
      </c>
      <c r="F67" s="253" t="s">
        <v>608</v>
      </c>
      <c r="G67" s="254">
        <f>'Zał. B2 Bilans energetyczny'!E65</f>
        <v>0</v>
      </c>
      <c r="H67" s="254">
        <v>3.89</v>
      </c>
      <c r="I67" s="239">
        <f>ROUND(G67*H67*$E$67,2)/1000</f>
        <v>0</v>
      </c>
      <c r="J67" s="239">
        <f t="shared" si="32"/>
        <v>0</v>
      </c>
      <c r="L67" s="37"/>
      <c r="M67" s="4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41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5"/>
    </row>
    <row r="68" spans="3:62" ht="35.1" customHeight="1">
      <c r="C68" s="27"/>
      <c r="D68" s="44"/>
      <c r="E68" s="27"/>
      <c r="F68" s="36"/>
      <c r="G68" s="44"/>
      <c r="H68" s="44"/>
      <c r="I68" s="44"/>
      <c r="J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1"/>
      <c r="AK68" s="66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</row>
    <row r="69" spans="3:62">
      <c r="C69" s="27"/>
      <c r="D69" s="44"/>
      <c r="E69" s="27"/>
      <c r="F69" s="36"/>
      <c r="G69" s="44"/>
      <c r="H69" s="44"/>
      <c r="I69" s="44"/>
      <c r="J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1"/>
      <c r="AK69" s="67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</row>
    <row r="70" spans="3:62">
      <c r="C70" s="44"/>
      <c r="D70" s="44"/>
      <c r="E70" s="44"/>
      <c r="G70" s="44"/>
      <c r="H70" s="44"/>
      <c r="I70" s="44"/>
      <c r="J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1"/>
      <c r="AK70" s="63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</row>
    <row r="71" spans="3:62" ht="21">
      <c r="C71" s="257"/>
      <c r="D71" s="258"/>
      <c r="E71" s="44"/>
      <c r="G71" s="44"/>
      <c r="H71" s="44"/>
      <c r="I71" s="44"/>
      <c r="J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1"/>
      <c r="AK71" s="63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</row>
    <row r="72" spans="3:62" ht="26.1">
      <c r="C72" s="27"/>
      <c r="D72" s="27"/>
      <c r="E72" s="44"/>
      <c r="G72" s="44"/>
      <c r="H72" s="44"/>
      <c r="I72" s="44"/>
      <c r="J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1"/>
      <c r="AK72" s="68"/>
      <c r="AL72" s="477"/>
      <c r="AM72" s="477"/>
      <c r="AN72" s="477"/>
      <c r="AO72" s="477"/>
      <c r="AP72" s="477"/>
      <c r="AQ72" s="477"/>
      <c r="AR72" s="477"/>
      <c r="AS72" s="477"/>
      <c r="AT72" s="477"/>
      <c r="AU72" s="477"/>
      <c r="AV72" s="477"/>
      <c r="AW72" s="477"/>
      <c r="AX72" s="477"/>
      <c r="AY72" s="477"/>
      <c r="AZ72" s="477"/>
      <c r="BA72" s="477"/>
      <c r="BB72" s="477"/>
      <c r="BC72" s="477"/>
      <c r="BD72" s="477"/>
      <c r="BE72" s="477"/>
      <c r="BF72" s="477"/>
      <c r="BG72" s="477"/>
      <c r="BH72" s="477"/>
      <c r="BI72" s="477"/>
      <c r="BJ72" s="41"/>
    </row>
    <row r="73" spans="3:62">
      <c r="C73" s="27"/>
      <c r="D73" s="27"/>
      <c r="E73" s="44"/>
      <c r="G73" s="44"/>
      <c r="H73" s="44"/>
      <c r="I73" s="44"/>
      <c r="J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1"/>
      <c r="AK73" s="63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</row>
    <row r="74" spans="3:62">
      <c r="C74" s="27"/>
      <c r="D74" s="27"/>
      <c r="E74" s="44"/>
      <c r="G74" s="44"/>
      <c r="H74" s="44"/>
      <c r="I74" s="44"/>
      <c r="J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1"/>
      <c r="AK74" s="63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</row>
    <row r="75" spans="3:62">
      <c r="C75" s="27"/>
      <c r="D75" s="27"/>
      <c r="E75" s="44"/>
      <c r="G75" s="44"/>
      <c r="H75" s="44"/>
      <c r="I75" s="44"/>
      <c r="J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1"/>
      <c r="AK75" s="41"/>
      <c r="AL75" s="479"/>
      <c r="AM75" s="479"/>
      <c r="AN75" s="479"/>
      <c r="AO75" s="479"/>
      <c r="AP75" s="479"/>
      <c r="AQ75" s="479"/>
      <c r="AR75" s="479"/>
      <c r="AS75" s="479"/>
      <c r="AT75" s="479"/>
      <c r="AU75" s="479"/>
      <c r="AV75" s="479"/>
      <c r="AW75" s="479"/>
      <c r="AX75" s="479"/>
      <c r="AY75" s="479"/>
      <c r="AZ75" s="479"/>
      <c r="BA75" s="479"/>
      <c r="BB75" s="479"/>
      <c r="BC75" s="479"/>
      <c r="BD75" s="479"/>
      <c r="BE75" s="479"/>
      <c r="BF75" s="479"/>
      <c r="BG75" s="479"/>
      <c r="BH75" s="479"/>
      <c r="BI75" s="479"/>
      <c r="BJ75" s="41"/>
    </row>
    <row r="76" spans="3:62">
      <c r="C76" s="27"/>
      <c r="D76" s="27"/>
      <c r="E76" s="44"/>
      <c r="G76" s="44"/>
      <c r="H76" s="44"/>
      <c r="I76" s="44"/>
      <c r="J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1"/>
      <c r="AK76" s="41"/>
      <c r="AL76" s="480"/>
      <c r="AM76" s="480"/>
      <c r="AN76" s="480"/>
      <c r="AO76" s="480"/>
      <c r="AP76" s="480"/>
      <c r="AQ76" s="480"/>
      <c r="AR76" s="480"/>
      <c r="AS76" s="480"/>
      <c r="AT76" s="480"/>
      <c r="AU76" s="480"/>
      <c r="AV76" s="480"/>
      <c r="AW76" s="480"/>
      <c r="AX76" s="480"/>
      <c r="AY76" s="480"/>
      <c r="AZ76" s="480"/>
      <c r="BA76" s="480"/>
      <c r="BB76" s="480"/>
      <c r="BC76" s="480"/>
      <c r="BD76" s="480"/>
      <c r="BE76" s="480"/>
      <c r="BF76" s="480"/>
      <c r="BG76" s="480"/>
      <c r="BH76" s="480"/>
      <c r="BI76" s="480"/>
      <c r="BJ76" s="41"/>
    </row>
    <row r="77" spans="3:62">
      <c r="C77" s="27"/>
      <c r="D77" s="27"/>
      <c r="E77" s="44"/>
      <c r="G77" s="44"/>
      <c r="H77" s="44"/>
      <c r="I77" s="44"/>
      <c r="J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1"/>
      <c r="AK77" s="41"/>
      <c r="AL77" s="355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355"/>
      <c r="AY77" s="355"/>
      <c r="AZ77" s="355"/>
      <c r="BA77" s="355"/>
      <c r="BB77" s="355"/>
      <c r="BC77" s="355"/>
      <c r="BD77" s="355"/>
      <c r="BE77" s="355"/>
      <c r="BF77" s="355"/>
      <c r="BG77" s="355"/>
      <c r="BH77" s="355"/>
      <c r="BI77" s="355"/>
      <c r="BJ77" s="41"/>
    </row>
    <row r="78" spans="3:62">
      <c r="C78" s="27"/>
      <c r="D78" s="27"/>
      <c r="E78" s="44"/>
      <c r="G78" s="44"/>
      <c r="H78" s="44"/>
      <c r="I78" s="44"/>
      <c r="J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1"/>
      <c r="AK78" s="63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</row>
    <row r="79" spans="3:62">
      <c r="C79" s="27"/>
      <c r="D79" s="27"/>
      <c r="E79" s="44"/>
      <c r="G79" s="44"/>
      <c r="H79" s="44"/>
      <c r="I79" s="44"/>
      <c r="J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1"/>
      <c r="AK79" s="63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</row>
    <row r="80" spans="3:62">
      <c r="C80" s="27"/>
      <c r="D80" s="27"/>
      <c r="E80" s="44"/>
      <c r="G80" s="44"/>
      <c r="H80" s="44"/>
      <c r="I80" s="44"/>
      <c r="J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1"/>
      <c r="AK80" s="63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41"/>
    </row>
    <row r="81" spans="3:62">
      <c r="C81" s="27"/>
      <c r="D81" s="27"/>
      <c r="E81" s="44"/>
      <c r="G81" s="44"/>
      <c r="H81" s="44"/>
      <c r="I81" s="44"/>
      <c r="J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1"/>
      <c r="AK81" s="63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</row>
    <row r="82" spans="3:62">
      <c r="C82" s="27"/>
      <c r="D82" s="27"/>
      <c r="E82" s="44"/>
      <c r="G82" s="44"/>
      <c r="H82" s="44"/>
      <c r="I82" s="44"/>
      <c r="J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1"/>
      <c r="AK82" s="63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</row>
    <row r="83" spans="3:62">
      <c r="C83" s="27"/>
      <c r="D83" s="27"/>
      <c r="E83" s="44"/>
      <c r="G83" s="44"/>
      <c r="H83" s="44"/>
      <c r="I83" s="44"/>
      <c r="J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1"/>
      <c r="AK83" s="63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41"/>
    </row>
    <row r="84" spans="3:62">
      <c r="C84" s="27"/>
      <c r="D84" s="27"/>
      <c r="E84" s="44"/>
      <c r="G84" s="44"/>
      <c r="H84" s="44"/>
      <c r="I84" s="44"/>
      <c r="J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1"/>
      <c r="AK84" s="63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</row>
    <row r="85" spans="3:62">
      <c r="C85" s="259"/>
      <c r="D85" s="259"/>
      <c r="E85" s="44"/>
      <c r="G85" s="44"/>
      <c r="H85" s="44"/>
      <c r="I85" s="44"/>
      <c r="J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1"/>
      <c r="AK85" s="63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</row>
    <row r="86" spans="3:62">
      <c r="C86" s="259"/>
      <c r="D86" s="259"/>
      <c r="E86" s="44"/>
      <c r="G86" s="44"/>
      <c r="H86" s="44"/>
      <c r="I86" s="44"/>
      <c r="J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1"/>
      <c r="AK86" s="65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</row>
    <row r="87" spans="3:62">
      <c r="C87" s="27"/>
      <c r="D87" s="27"/>
      <c r="E87" s="44"/>
      <c r="G87" s="44"/>
      <c r="H87" s="44"/>
      <c r="I87" s="44"/>
      <c r="J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1"/>
      <c r="AK87" s="63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41"/>
    </row>
    <row r="88" spans="3:62">
      <c r="C88" s="27"/>
      <c r="D88" s="27"/>
      <c r="E88" s="44"/>
      <c r="G88" s="44"/>
      <c r="H88" s="44"/>
      <c r="I88" s="44"/>
      <c r="J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1"/>
      <c r="AK88" s="63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</row>
    <row r="89" spans="3:62">
      <c r="C89" s="27"/>
      <c r="D89" s="27"/>
      <c r="E89" s="44"/>
      <c r="G89" s="44"/>
      <c r="H89" s="44"/>
      <c r="I89" s="44"/>
      <c r="J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1"/>
      <c r="AK89" s="63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</row>
    <row r="90" spans="3:62">
      <c r="C90" s="27"/>
      <c r="D90" s="27"/>
      <c r="E90" s="44"/>
      <c r="G90" s="44"/>
      <c r="H90" s="44"/>
      <c r="I90" s="44"/>
      <c r="J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1"/>
      <c r="AK90" s="63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64"/>
      <c r="BJ90" s="41"/>
    </row>
    <row r="91" spans="3:62">
      <c r="C91" s="27"/>
      <c r="D91" s="27"/>
      <c r="E91" s="44"/>
      <c r="G91" s="44"/>
      <c r="H91" s="44"/>
      <c r="I91" s="44"/>
      <c r="J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1"/>
      <c r="AK91" s="66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</row>
    <row r="92" spans="3:62">
      <c r="C92" s="27"/>
      <c r="D92" s="27"/>
      <c r="E92" s="44"/>
      <c r="G92" s="44"/>
      <c r="H92" s="44"/>
      <c r="I92" s="44"/>
      <c r="J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1"/>
      <c r="AK92" s="67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</row>
    <row r="93" spans="3:62">
      <c r="C93" s="27"/>
      <c r="D93" s="27"/>
      <c r="E93" s="44"/>
      <c r="G93" s="44"/>
      <c r="H93" s="44"/>
      <c r="I93" s="44"/>
      <c r="J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1"/>
      <c r="AK93" s="63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</row>
    <row r="94" spans="3:62">
      <c r="C94" s="27"/>
      <c r="D94" s="27"/>
      <c r="E94" s="44"/>
      <c r="G94" s="44"/>
      <c r="H94" s="44"/>
      <c r="I94" s="44"/>
      <c r="J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</row>
    <row r="95" spans="3:62" ht="26.1">
      <c r="C95" s="27"/>
      <c r="D95" s="27"/>
      <c r="E95" s="44"/>
      <c r="G95" s="44"/>
      <c r="H95" s="44"/>
      <c r="I95" s="44"/>
      <c r="J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1"/>
      <c r="AK95" s="68"/>
      <c r="AL95" s="477"/>
      <c r="AM95" s="477"/>
      <c r="AN95" s="477"/>
      <c r="AO95" s="477"/>
      <c r="AP95" s="477"/>
      <c r="AQ95" s="477"/>
      <c r="AR95" s="477"/>
      <c r="AS95" s="477"/>
      <c r="AT95" s="477"/>
      <c r="AU95" s="477"/>
      <c r="AV95" s="477"/>
      <c r="AW95" s="477"/>
      <c r="AX95" s="477"/>
      <c r="AY95" s="477"/>
      <c r="AZ95" s="477"/>
      <c r="BA95" s="477"/>
      <c r="BB95" s="477"/>
      <c r="BC95" s="477"/>
      <c r="BD95" s="477"/>
      <c r="BE95" s="477"/>
      <c r="BF95" s="477"/>
      <c r="BG95" s="477"/>
      <c r="BH95" s="477"/>
      <c r="BI95" s="477"/>
      <c r="BJ95" s="41"/>
    </row>
    <row r="96" spans="3:62">
      <c r="C96" s="27"/>
      <c r="D96" s="27"/>
      <c r="E96" s="44"/>
      <c r="G96" s="44"/>
      <c r="H96" s="44"/>
      <c r="I96" s="44"/>
      <c r="J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</row>
    <row r="97" spans="3:62">
      <c r="C97" s="27"/>
      <c r="D97" s="27"/>
      <c r="E97" s="44"/>
      <c r="G97" s="44"/>
      <c r="H97" s="44"/>
      <c r="I97" s="44"/>
      <c r="J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</row>
    <row r="98" spans="3:62" ht="26.1">
      <c r="C98" s="27"/>
      <c r="D98" s="27"/>
      <c r="E98" s="44"/>
      <c r="G98" s="44"/>
      <c r="H98" s="44"/>
      <c r="I98" s="44"/>
      <c r="J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1"/>
      <c r="AK98" s="68"/>
      <c r="AL98" s="477"/>
      <c r="AM98" s="477"/>
      <c r="AN98" s="477"/>
      <c r="AO98" s="477"/>
      <c r="AP98" s="477"/>
      <c r="AQ98" s="477"/>
      <c r="AR98" s="477"/>
      <c r="AS98" s="477"/>
      <c r="AT98" s="477"/>
      <c r="AU98" s="477"/>
      <c r="AV98" s="477"/>
      <c r="AW98" s="477"/>
      <c r="AX98" s="477"/>
      <c r="AY98" s="477"/>
      <c r="AZ98" s="477"/>
      <c r="BA98" s="477"/>
      <c r="BB98" s="477"/>
      <c r="BC98" s="477"/>
      <c r="BD98" s="477"/>
      <c r="BE98" s="477"/>
      <c r="BF98" s="477"/>
      <c r="BG98" s="477"/>
      <c r="BH98" s="477"/>
      <c r="BI98" s="477"/>
      <c r="BJ98" s="41"/>
    </row>
    <row r="99" spans="3:62">
      <c r="C99" s="27"/>
      <c r="D99" s="27"/>
      <c r="E99" s="44"/>
      <c r="G99" s="44"/>
      <c r="H99" s="44"/>
      <c r="I99" s="44"/>
      <c r="J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</row>
    <row r="100" spans="3:62">
      <c r="C100" s="27"/>
      <c r="D100" s="27"/>
      <c r="E100" s="44"/>
      <c r="G100" s="44"/>
      <c r="H100" s="44"/>
      <c r="I100" s="44"/>
      <c r="J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</row>
    <row r="101" spans="3:62">
      <c r="C101" s="27"/>
      <c r="D101" s="27"/>
      <c r="E101" s="44"/>
      <c r="G101" s="44"/>
      <c r="H101" s="44"/>
      <c r="I101" s="44"/>
      <c r="J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</row>
    <row r="102" spans="3:62">
      <c r="C102" s="27"/>
      <c r="D102" s="27"/>
      <c r="E102" s="44"/>
      <c r="G102" s="44"/>
      <c r="H102" s="44"/>
      <c r="I102" s="44"/>
      <c r="J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</row>
    <row r="103" spans="3:62">
      <c r="C103" s="27"/>
      <c r="D103" s="27"/>
      <c r="E103" s="44"/>
      <c r="G103" s="44"/>
      <c r="H103" s="44"/>
      <c r="I103" s="44"/>
      <c r="J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</row>
    <row r="104" spans="3:62">
      <c r="C104" s="27"/>
      <c r="D104" s="27"/>
      <c r="E104" s="44"/>
      <c r="G104" s="44"/>
      <c r="H104" s="44"/>
      <c r="I104" s="44"/>
      <c r="J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</row>
    <row r="105" spans="3:62">
      <c r="C105" s="27"/>
      <c r="D105" s="27"/>
      <c r="E105" s="44"/>
      <c r="G105" s="44"/>
      <c r="H105" s="44"/>
      <c r="I105" s="44"/>
      <c r="J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</row>
    <row r="106" spans="3:62">
      <c r="C106" s="27"/>
      <c r="D106" s="27"/>
      <c r="E106" s="44"/>
      <c r="G106" s="44"/>
      <c r="H106" s="44"/>
      <c r="I106" s="44"/>
      <c r="J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</row>
    <row r="107" spans="3:62">
      <c r="C107" s="27"/>
      <c r="D107" s="27"/>
      <c r="E107" s="44"/>
      <c r="G107" s="44"/>
      <c r="H107" s="44"/>
      <c r="I107" s="44"/>
      <c r="J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</row>
    <row r="108" spans="3:62">
      <c r="C108" s="27"/>
      <c r="D108" s="27"/>
      <c r="E108" s="44"/>
      <c r="G108" s="44"/>
      <c r="H108" s="44"/>
      <c r="I108" s="44"/>
      <c r="J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</row>
    <row r="109" spans="3:62">
      <c r="C109" s="27"/>
      <c r="D109" s="27"/>
      <c r="E109" s="44"/>
      <c r="G109" s="44"/>
      <c r="H109" s="44"/>
      <c r="I109" s="44"/>
      <c r="J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</row>
    <row r="110" spans="3:62">
      <c r="C110" s="27"/>
      <c r="D110" s="27"/>
      <c r="E110" s="44"/>
      <c r="G110" s="44"/>
      <c r="H110" s="44"/>
      <c r="I110" s="44"/>
      <c r="J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ZvKcHIvzY96iBcJrD70UFLoqE+PBgYbWJgD3+yEhjWB4DazZVnKFDGJ/7UNFQxKhvIO6xBOS3ayCErfHHOiBfA==" saltValue="RvevpJNSq04BU9N84yJQDg==" spinCount="100000" sqref="D6:I6 U34:Y34 M53 O53 S53 H28:S51 D12:I12" name="Bilansowanie"/>
  </protectedRanges>
  <mergeCells count="22">
    <mergeCell ref="H25:M26"/>
    <mergeCell ref="N27:S27"/>
    <mergeCell ref="H27:M27"/>
    <mergeCell ref="D9:I10"/>
    <mergeCell ref="D11:F11"/>
    <mergeCell ref="G11:I11"/>
    <mergeCell ref="B45:B51"/>
    <mergeCell ref="B43:B44"/>
    <mergeCell ref="B29:B42"/>
    <mergeCell ref="AL98:BI98"/>
    <mergeCell ref="BJ4:BJ6"/>
    <mergeCell ref="BJ10:BJ12"/>
    <mergeCell ref="AL95:BI95"/>
    <mergeCell ref="AL75:BI75"/>
    <mergeCell ref="AL76:BI76"/>
    <mergeCell ref="AL72:BI72"/>
    <mergeCell ref="AL52:BI52"/>
    <mergeCell ref="AL53:BI53"/>
    <mergeCell ref="AL47:BI47"/>
    <mergeCell ref="D3:I4"/>
    <mergeCell ref="D5:F5"/>
    <mergeCell ref="G5:I5"/>
  </mergeCells>
  <conditionalFormatting sqref="AL55:BI55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AL30:BI3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L78:BI7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4c9f75-175c-49f0-a1bf-c4137ab11c33">
      <UserInfo>
        <DisplayName>Mariusz Skwarczyński</DisplayName>
        <AccountId>12</AccountId>
        <AccountType/>
      </UserInfo>
      <UserInfo>
        <DisplayName>Wojciech Racięcki</DisplayName>
        <AccountId>13</AccountId>
        <AccountType/>
      </UserInfo>
      <UserInfo>
        <DisplayName>Piotr Kopacz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D1FFDDCC4D344A9E5D4F99314C47A4" ma:contentTypeVersion="4" ma:contentTypeDescription="Utwórz nowy dokument." ma:contentTypeScope="" ma:versionID="18ef8e9dd783e14f1c3feb68f07380fa">
  <xsd:schema xmlns:xsd="http://www.w3.org/2001/XMLSchema" xmlns:xs="http://www.w3.org/2001/XMLSchema" xmlns:p="http://schemas.microsoft.com/office/2006/metadata/properties" xmlns:ns2="2ac9f40c-a795-4864-a8fb-fd06a780da15" xmlns:ns3="c44c9f75-175c-49f0-a1bf-c4137ab11c33" targetNamespace="http://schemas.microsoft.com/office/2006/metadata/properties" ma:root="true" ma:fieldsID="581980debde33973124d6ab76fccfedb" ns2:_="" ns3:_="">
    <xsd:import namespace="2ac9f40c-a795-4864-a8fb-fd06a780da15"/>
    <xsd:import namespace="c44c9f75-175c-49f0-a1bf-c4137ab11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9f40c-a795-4864-a8fb-fd06a780d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c9f75-175c-49f0-a1bf-c4137ab11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F8793-9C9B-4FD2-A1C3-81F6E5B160A1}"/>
</file>

<file path=customXml/itemProps2.xml><?xml version="1.0" encoding="utf-8"?>
<ds:datastoreItem xmlns:ds="http://schemas.openxmlformats.org/officeDocument/2006/customXml" ds:itemID="{4AA74543-C131-4633-9B14-4A6802BA94FD}"/>
</file>

<file path=customXml/itemProps3.xml><?xml version="1.0" encoding="utf-8"?>
<ds:datastoreItem xmlns:ds="http://schemas.openxmlformats.org/officeDocument/2006/customXml" ds:itemID="{77DD7A17-BFF6-427A-A413-081D9CC399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PiotrKopacz</dc:creator>
  <cp:keywords/>
  <dc:description/>
  <cp:lastModifiedBy>Piotr Kopacz</cp:lastModifiedBy>
  <cp:revision/>
  <dcterms:created xsi:type="dcterms:W3CDTF">2020-06-05T11:39:43Z</dcterms:created>
  <dcterms:modified xsi:type="dcterms:W3CDTF">2020-12-22T14:08:15Z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0x01010072D1FFDDCC4D344A9E5D4F99314C47A4</vt:lpwstr>
  </property>
</Properties>
</file>