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<sst xmlns="http://schemas.openxmlformats.org/spreadsheetml/2006/main" count="95" uniqueCount="78">
  <si>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</si>
  <si>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</si>
  <si>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</si>
  <si>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</si>
  <si>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</si>
  <si>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</si>
  <si>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</si>
  <si>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</si>
  <si>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</si>
  <si>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</si>
  <si>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</si>
  <si>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</si>
  <si>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</si>
  <si>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</si>
  <si>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</si>
  <si>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</si>
  <si>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</si>
  <si>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</si>
  <si>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</si>
  <si>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</si>
  <si>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</si>
  <si>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</si>
  <si>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</si>
  <si>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</si>
  <si>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</si>
  <si>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</si>
  <si>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</si>
  <si>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</si>
  <si>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</si>
  <si>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</si>
  <si>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</si>
  <si>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</si>
  <si>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</si>
  <si>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</si>
  <si>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</si>
  <si>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</si>
  <si>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</si>
  <si>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</si>
  <si>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</si>
  <si>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</si>
  <si>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</si>
  <si>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</si>
  <si>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</si>
  <si>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</si>
  <si>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</si>
  <si>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</si>
  <si>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</si>
  <si>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</si>
  <si>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</si>
  <si>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</si>
  <si>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</si>
  <si>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</si>
  <si>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</si>
  <si>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</si>
  <si>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</si>
  <si>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</si>
  <si>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</si>
  <si>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</si>
  <si>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</si>
  <si>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</si>
  <si>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</si>
  <si>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</si>
  <si>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</si>
  <si>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</si>
  <si>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</si>
  <si>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</si>
  <si>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</si>
  <si>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</si>
  <si>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</si>
  <si>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</si>
  <si>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</si>
  <si>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</si>
  <si>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</si>
  <si>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</si>
  <si>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</si>
  <si>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</si>
  <si>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</si>
  <si>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IV Kwartały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</si>
</sst>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76115797792.57</f>
        <v>76115797792.57</v>
      </c>
      <c r="C13" s="20">
        <f>59925717747.24</f>
        <v>59925717747.24</v>
      </c>
      <c r="D13" s="20">
        <f>3620901216.8</f>
        <v>3620901216.8</v>
      </c>
      <c r="E13" s="20">
        <f>809628195.3</f>
        <v>809628195.3</v>
      </c>
      <c r="F13" s="20">
        <f>377093913.82</f>
        <v>377093913.82</v>
      </c>
      <c r="G13" s="20">
        <f>2421559988.25</f>
        <v>2421559988.25</v>
      </c>
      <c r="H13" s="20">
        <f>12619119.43</f>
        <v>12619119.43</v>
      </c>
      <c r="I13" s="20">
        <f>0</f>
        <v>0</v>
      </c>
      <c r="J13" s="20">
        <f>55179431010.69</f>
        <v>55179431010.69</v>
      </c>
      <c r="K13" s="20">
        <f>876651516.79</f>
        <v>876651516.79</v>
      </c>
      <c r="L13" s="20">
        <f>186984324.92</f>
        <v>186984324.92</v>
      </c>
      <c r="M13" s="20">
        <f>43396601.31</f>
        <v>43396601.31</v>
      </c>
      <c r="N13" s="20">
        <f>18353076.73</f>
        <v>18353076.73</v>
      </c>
      <c r="O13" s="20">
        <f>16190080045.33</f>
        <v>16190080045.33</v>
      </c>
      <c r="P13" s="20">
        <f>16190080045.33</f>
        <v>16190080045.33</v>
      </c>
      <c r="Q13" s="20">
        <f>0</f>
        <v>0</v>
      </c>
    </row>
    <row r="14" spans="1:17" ht="41.25" customHeight="1">
      <c r="A14" s="18" t="s">
        <v>73</v>
      </c>
      <c r="B14" s="20">
        <f>3645721400</f>
        <v>3645721400</v>
      </c>
      <c r="C14" s="20">
        <f>3527953000</f>
        <v>3527953000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3495771000</f>
        <v>3495771000</v>
      </c>
      <c r="K14" s="20">
        <f>32182000</f>
        <v>32182000</v>
      </c>
      <c r="L14" s="20">
        <f>0</f>
        <v>0</v>
      </c>
      <c r="M14" s="20">
        <f>0</f>
        <v>0</v>
      </c>
      <c r="N14" s="20">
        <f>0</f>
        <v>0</v>
      </c>
      <c r="O14" s="20">
        <f>117768400</f>
        <v>117768400</v>
      </c>
      <c r="P14" s="20">
        <f>117768400</f>
        <v>117768400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3645721400</f>
        <v>3645721400</v>
      </c>
      <c r="C16" s="21">
        <f>3527953000</f>
        <v>3527953000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3495771000</f>
        <v>3495771000</v>
      </c>
      <c r="K16" s="21">
        <f>32182000</f>
        <v>32182000</v>
      </c>
      <c r="L16" s="21">
        <f>0</f>
        <v>0</v>
      </c>
      <c r="M16" s="21">
        <f>0</f>
        <v>0</v>
      </c>
      <c r="N16" s="21">
        <f>0</f>
        <v>0</v>
      </c>
      <c r="O16" s="21">
        <f>117768400</f>
        <v>117768400</v>
      </c>
      <c r="P16" s="21">
        <f>117768400</f>
        <v>117768400</v>
      </c>
      <c r="Q16" s="21">
        <f>0</f>
        <v>0</v>
      </c>
    </row>
    <row r="17" spans="1:17" ht="33" customHeight="1">
      <c r="A17" s="18" t="s">
        <v>74</v>
      </c>
      <c r="B17" s="20">
        <f>72338923761.64</f>
        <v>72338923761.64</v>
      </c>
      <c r="C17" s="20">
        <f>56266612145.69</f>
        <v>56266612145.69</v>
      </c>
      <c r="D17" s="20">
        <f>3577197803.98</f>
        <v>3577197803.98</v>
      </c>
      <c r="E17" s="20">
        <f>800832635.12</f>
        <v>800832635.12</v>
      </c>
      <c r="F17" s="20">
        <f>376543400.26</f>
        <v>376543400.26</v>
      </c>
      <c r="G17" s="20">
        <f>2396408690.72</f>
        <v>2396408690.72</v>
      </c>
      <c r="H17" s="20">
        <f>3413077.88</f>
        <v>3413077.88</v>
      </c>
      <c r="I17" s="20">
        <f>0</f>
        <v>0</v>
      </c>
      <c r="J17" s="20">
        <f>51683238363.66</f>
        <v>51683238363.66</v>
      </c>
      <c r="K17" s="20">
        <f>832648341.75</f>
        <v>832648341.75</v>
      </c>
      <c r="L17" s="20">
        <f>148810154.1</f>
        <v>148810154.1</v>
      </c>
      <c r="M17" s="20">
        <f>12643585.9</f>
        <v>12643585.9</v>
      </c>
      <c r="N17" s="20">
        <f>12073896.3</f>
        <v>12073896.3</v>
      </c>
      <c r="O17" s="20">
        <f>16072311615.95</f>
        <v>16072311615.95</v>
      </c>
      <c r="P17" s="20">
        <f>16072311615.95</f>
        <v>16072311615.95</v>
      </c>
      <c r="Q17" s="20">
        <f>0</f>
        <v>0</v>
      </c>
    </row>
    <row r="18" spans="1:17" ht="22.5">
      <c r="A18" s="15" t="s">
        <v>46</v>
      </c>
      <c r="B18" s="21">
        <f>474732723.92</f>
        <v>474732723.92</v>
      </c>
      <c r="C18" s="21">
        <f>474732723.92</f>
        <v>474732723.92</v>
      </c>
      <c r="D18" s="21">
        <f>89100297.56</f>
        <v>89100297.56</v>
      </c>
      <c r="E18" s="21">
        <f>61405817.27</f>
        <v>61405817.27</v>
      </c>
      <c r="F18" s="21">
        <f>1005195</f>
        <v>1005195</v>
      </c>
      <c r="G18" s="21">
        <f>26689285.29</f>
        <v>26689285.29</v>
      </c>
      <c r="H18" s="21">
        <f>0</f>
        <v>0</v>
      </c>
      <c r="I18" s="21">
        <f>0</f>
        <v>0</v>
      </c>
      <c r="J18" s="21">
        <f>361371228.52</f>
        <v>361371228.52</v>
      </c>
      <c r="K18" s="21">
        <f>11886678.5</f>
        <v>11886678.5</v>
      </c>
      <c r="L18" s="21">
        <f>8460184.54</f>
        <v>8460184.54</v>
      </c>
      <c r="M18" s="21">
        <f>3544923.04</f>
        <v>3544923.04</v>
      </c>
      <c r="N18" s="21">
        <f>369411.76</f>
        <v>369411.76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71864191037.72</f>
        <v>71864191037.72</v>
      </c>
      <c r="C19" s="21">
        <f>55791879421.77</f>
        <v>55791879421.77</v>
      </c>
      <c r="D19" s="21">
        <f>3488097506.42</f>
        <v>3488097506.42</v>
      </c>
      <c r="E19" s="21">
        <f>739426817.85</f>
        <v>739426817.85</v>
      </c>
      <c r="F19" s="21">
        <f>375538205.26</f>
        <v>375538205.26</v>
      </c>
      <c r="G19" s="21">
        <f>2369719405.43</f>
        <v>2369719405.43</v>
      </c>
      <c r="H19" s="21">
        <f>3413077.88</f>
        <v>3413077.88</v>
      </c>
      <c r="I19" s="21">
        <f>0</f>
        <v>0</v>
      </c>
      <c r="J19" s="21">
        <f>51321867135.14</f>
        <v>51321867135.14</v>
      </c>
      <c r="K19" s="21">
        <f>820761663.25</f>
        <v>820761663.25</v>
      </c>
      <c r="L19" s="21">
        <f>140349969.56</f>
        <v>140349969.56</v>
      </c>
      <c r="M19" s="21">
        <f>9098662.86</f>
        <v>9098662.86</v>
      </c>
      <c r="N19" s="21">
        <f>11704484.54</f>
        <v>11704484.54</v>
      </c>
      <c r="O19" s="21">
        <f>16072311615.95</f>
        <v>16072311615.95</v>
      </c>
      <c r="P19" s="21">
        <f>16072311615.95</f>
        <v>16072311615.95</v>
      </c>
      <c r="Q19" s="21">
        <f>0</f>
        <v>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131152630.93</f>
        <v>131152630.93</v>
      </c>
      <c r="C21" s="20">
        <f>131152601.55</f>
        <v>131152601.55</v>
      </c>
      <c r="D21" s="20">
        <f>43703412.82</f>
        <v>43703412.82</v>
      </c>
      <c r="E21" s="20">
        <f>8795560.18</f>
        <v>8795560.18</v>
      </c>
      <c r="F21" s="20">
        <f>550513.56</f>
        <v>550513.56</v>
      </c>
      <c r="G21" s="20">
        <f>25151297.53</f>
        <v>25151297.53</v>
      </c>
      <c r="H21" s="20">
        <f>9206041.55</f>
        <v>9206041.55</v>
      </c>
      <c r="I21" s="20">
        <f>0</f>
        <v>0</v>
      </c>
      <c r="J21" s="20">
        <f>421647.03</f>
        <v>421647.03</v>
      </c>
      <c r="K21" s="20">
        <f>11821175.04</f>
        <v>11821175.04</v>
      </c>
      <c r="L21" s="20">
        <f>38174170.82</f>
        <v>38174170.82</v>
      </c>
      <c r="M21" s="20">
        <f>30753015.41</f>
        <v>30753015.41</v>
      </c>
      <c r="N21" s="20">
        <f>6279180.43</f>
        <v>6279180.43</v>
      </c>
      <c r="O21" s="20">
        <f>29.38</f>
        <v>29.38</v>
      </c>
      <c r="P21" s="20">
        <f>29.38</f>
        <v>29.38</v>
      </c>
      <c r="Q21" s="20">
        <f>0</f>
        <v>0</v>
      </c>
    </row>
    <row r="22" spans="1:17" ht="33" customHeight="1">
      <c r="A22" s="16" t="s">
        <v>49</v>
      </c>
      <c r="B22" s="21">
        <f>75920218.24</f>
        <v>75920218.24</v>
      </c>
      <c r="C22" s="21">
        <f>75920218.24</f>
        <v>75920218.24</v>
      </c>
      <c r="D22" s="21">
        <f>15072056.42</f>
        <v>15072056.42</v>
      </c>
      <c r="E22" s="21">
        <f>1929.94</f>
        <v>1929.94</v>
      </c>
      <c r="F22" s="21">
        <f>5550.62</f>
        <v>5550.62</v>
      </c>
      <c r="G22" s="21">
        <f>15064059.86</f>
        <v>15064059.86</v>
      </c>
      <c r="H22" s="21">
        <f>516</f>
        <v>516</v>
      </c>
      <c r="I22" s="21">
        <f>0</f>
        <v>0</v>
      </c>
      <c r="J22" s="21">
        <f>48000</f>
        <v>48000</v>
      </c>
      <c r="K22" s="21">
        <f>55774.51</f>
        <v>55774.51</v>
      </c>
      <c r="L22" s="21">
        <f>36930000.63</f>
        <v>36930000.63</v>
      </c>
      <c r="M22" s="21">
        <f>18539134.24</f>
        <v>18539134.24</v>
      </c>
      <c r="N22" s="21">
        <f>5275252.44</f>
        <v>5275252.44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55232412.69</f>
        <v>55232412.69</v>
      </c>
      <c r="C23" s="21">
        <f>55232383.31</f>
        <v>55232383.31</v>
      </c>
      <c r="D23" s="21">
        <f>28631356.4</f>
        <v>28631356.4</v>
      </c>
      <c r="E23" s="21">
        <f>8793630.24</f>
        <v>8793630.24</v>
      </c>
      <c r="F23" s="21">
        <f>544962.94</f>
        <v>544962.94</v>
      </c>
      <c r="G23" s="21">
        <f>10087237.67</f>
        <v>10087237.67</v>
      </c>
      <c r="H23" s="21">
        <f>9205525.55</f>
        <v>9205525.55</v>
      </c>
      <c r="I23" s="21">
        <f>0</f>
        <v>0</v>
      </c>
      <c r="J23" s="21">
        <f>373647.03</f>
        <v>373647.03</v>
      </c>
      <c r="K23" s="21">
        <f>11765400.53</f>
        <v>11765400.53</v>
      </c>
      <c r="L23" s="21">
        <f>1244170.19</f>
        <v>1244170.19</v>
      </c>
      <c r="M23" s="21">
        <f>12213881.17</f>
        <v>12213881.17</v>
      </c>
      <c r="N23" s="21">
        <f>1003927.99</f>
        <v>1003927.99</v>
      </c>
      <c r="O23" s="21">
        <f>29.38</f>
        <v>29.38</v>
      </c>
      <c r="P23" s="21">
        <f>29.38</f>
        <v>29.38</v>
      </c>
      <c r="Q23" s="21">
        <f>0</f>
        <v>0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7208038.02</f>
        <v>7208038.02</v>
      </c>
      <c r="C41" s="22">
        <f>7208038.02</f>
        <v>7208038.02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163409.92</f>
        <v>163409.92</v>
      </c>
      <c r="K41" s="22">
        <f>3024675</f>
        <v>3024675</v>
      </c>
      <c r="L41" s="22">
        <f>3969953.1</f>
        <v>3969953.1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6000</f>
        <v>6000</v>
      </c>
      <c r="C42" s="23">
        <f>6000</f>
        <v>6000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7202038.02</f>
        <v>7202038.02</v>
      </c>
      <c r="C43" s="23">
        <f>7202038.02</f>
        <v>7202038.02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157409.92</f>
        <v>157409.92</v>
      </c>
      <c r="K43" s="23">
        <f>3024675</f>
        <v>3024675</v>
      </c>
      <c r="L43" s="23">
        <f>3969953.1</f>
        <v>3969953.1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1202648396.41</f>
        <v>1202648396.41</v>
      </c>
      <c r="C44" s="22">
        <f>1202642904.72</f>
        <v>1202642904.72</v>
      </c>
      <c r="D44" s="22">
        <f>441072904.88</f>
        <v>441072904.88</v>
      </c>
      <c r="E44" s="22">
        <f>1352618.63</f>
        <v>1352618.63</v>
      </c>
      <c r="F44" s="22">
        <f>2282080.63</f>
        <v>2282080.63</v>
      </c>
      <c r="G44" s="22">
        <f>437279501.94</f>
        <v>437279501.94</v>
      </c>
      <c r="H44" s="22">
        <f>158703.68</f>
        <v>158703.68</v>
      </c>
      <c r="I44" s="22">
        <f>0</f>
        <v>0</v>
      </c>
      <c r="J44" s="22">
        <f>6612563.58</f>
        <v>6612563.58</v>
      </c>
      <c r="K44" s="22">
        <f>306224.21</f>
        <v>306224.21</v>
      </c>
      <c r="L44" s="22">
        <f>387892798.37</f>
        <v>387892798.37</v>
      </c>
      <c r="M44" s="22">
        <f>322279567.12</f>
        <v>322279567.12</v>
      </c>
      <c r="N44" s="22">
        <f>44478846.56</f>
        <v>44478846.56</v>
      </c>
      <c r="O44" s="22">
        <f>5491.69</f>
        <v>5491.69</v>
      </c>
      <c r="P44" s="22">
        <f>3883.66</f>
        <v>3883.66</v>
      </c>
      <c r="Q44" s="22">
        <f>1608.03</f>
        <v>1608.03</v>
      </c>
    </row>
    <row r="45" spans="1:17" ht="32.25" customHeight="1">
      <c r="A45" s="17" t="s">
        <v>29</v>
      </c>
      <c r="B45" s="23">
        <f>90695425.12</f>
        <v>90695425.12</v>
      </c>
      <c r="C45" s="23">
        <f>90695425.12</f>
        <v>90695425.12</v>
      </c>
      <c r="D45" s="23">
        <f>21258729.37</f>
        <v>21258729.37</v>
      </c>
      <c r="E45" s="23">
        <f>859079.08</f>
        <v>859079.08</v>
      </c>
      <c r="F45" s="23">
        <f>0</f>
        <v>0</v>
      </c>
      <c r="G45" s="23">
        <f>20356136.61</f>
        <v>20356136.61</v>
      </c>
      <c r="H45" s="23">
        <f>43513.68</f>
        <v>43513.68</v>
      </c>
      <c r="I45" s="23">
        <f>0</f>
        <v>0</v>
      </c>
      <c r="J45" s="23">
        <f>2795945.72</f>
        <v>2795945.72</v>
      </c>
      <c r="K45" s="23">
        <f>0</f>
        <v>0</v>
      </c>
      <c r="L45" s="23">
        <f>29597211.7</f>
        <v>29597211.7</v>
      </c>
      <c r="M45" s="23">
        <f>23535932.27</f>
        <v>23535932.27</v>
      </c>
      <c r="N45" s="23">
        <f>13507606.06</f>
        <v>13507606.06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1111952971.29</f>
        <v>1111952971.29</v>
      </c>
      <c r="C46" s="23">
        <f>1111947479.6</f>
        <v>1111947479.6</v>
      </c>
      <c r="D46" s="23">
        <f>419814175.51</f>
        <v>419814175.51</v>
      </c>
      <c r="E46" s="23">
        <f>493539.55</f>
        <v>493539.55</v>
      </c>
      <c r="F46" s="23">
        <f>2282080.63</f>
        <v>2282080.63</v>
      </c>
      <c r="G46" s="23">
        <f>416923365.33</f>
        <v>416923365.33</v>
      </c>
      <c r="H46" s="23">
        <f>115190</f>
        <v>115190</v>
      </c>
      <c r="I46" s="23">
        <f>0</f>
        <v>0</v>
      </c>
      <c r="J46" s="23">
        <f>3816617.86</f>
        <v>3816617.86</v>
      </c>
      <c r="K46" s="23">
        <f>306224.21</f>
        <v>306224.21</v>
      </c>
      <c r="L46" s="23">
        <f>358295586.67</f>
        <v>358295586.67</v>
      </c>
      <c r="M46" s="23">
        <f>298743634.85</f>
        <v>298743634.85</v>
      </c>
      <c r="N46" s="23">
        <f>30971240.5</f>
        <v>30971240.5</v>
      </c>
      <c r="O46" s="23">
        <f>5491.69</f>
        <v>5491.69</v>
      </c>
      <c r="P46" s="23">
        <f>3883.66</f>
        <v>3883.66</v>
      </c>
      <c r="Q46" s="23">
        <f>1608.03</f>
        <v>1608.03</v>
      </c>
    </row>
    <row r="47" spans="1:17" ht="35.25" customHeight="1">
      <c r="A47" s="27" t="s">
        <v>40</v>
      </c>
      <c r="B47" s="22">
        <f>21068369500.97</f>
        <v>21068369500.97</v>
      </c>
      <c r="C47" s="22">
        <f>21068262789.14</f>
        <v>21068262789.14</v>
      </c>
      <c r="D47" s="22">
        <f>12456837.46</f>
        <v>12456837.46</v>
      </c>
      <c r="E47" s="22">
        <f>7938442.17</f>
        <v>7938442.17</v>
      </c>
      <c r="F47" s="22">
        <f>44644.85</f>
        <v>44644.85</v>
      </c>
      <c r="G47" s="22">
        <f>4473563.78</f>
        <v>4473563.78</v>
      </c>
      <c r="H47" s="22">
        <f>186.66</f>
        <v>186.66</v>
      </c>
      <c r="I47" s="22">
        <f>2763863.69</f>
        <v>2763863.69</v>
      </c>
      <c r="J47" s="22">
        <f>21050322713.75</f>
        <v>21050322713.75</v>
      </c>
      <c r="K47" s="22">
        <f>15092</f>
        <v>15092</v>
      </c>
      <c r="L47" s="22">
        <f>2523414.37</f>
        <v>2523414.37</v>
      </c>
      <c r="M47" s="22">
        <f>75470.49</f>
        <v>75470.49</v>
      </c>
      <c r="N47" s="22">
        <f>105397.38</f>
        <v>105397.38</v>
      </c>
      <c r="O47" s="22">
        <f>106711.83</f>
        <v>106711.83</v>
      </c>
      <c r="P47" s="22">
        <f>106711.83</f>
        <v>106711.83</v>
      </c>
      <c r="Q47" s="22">
        <f>0</f>
        <v>0</v>
      </c>
    </row>
    <row r="48" spans="1:17" ht="28.5" customHeight="1">
      <c r="A48" s="17" t="s">
        <v>31</v>
      </c>
      <c r="B48" s="23">
        <f>4340603.91</f>
        <v>4340603.91</v>
      </c>
      <c r="C48" s="23">
        <f>4340603.91</f>
        <v>4340603.91</v>
      </c>
      <c r="D48" s="23">
        <f>4340603.91</f>
        <v>4340603.91</v>
      </c>
      <c r="E48" s="23">
        <f>0</f>
        <v>0</v>
      </c>
      <c r="F48" s="23">
        <f>0</f>
        <v>0</v>
      </c>
      <c r="G48" s="23">
        <f>4340603.91</f>
        <v>4340603.91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18274734853.34</f>
        <v>18274734853.34</v>
      </c>
      <c r="C49" s="23">
        <f>18274734853.34</f>
        <v>18274734853.34</v>
      </c>
      <c r="D49" s="23">
        <f>7827934.59</f>
        <v>7827934.59</v>
      </c>
      <c r="E49" s="23">
        <f>7799350.24</f>
        <v>7799350.24</v>
      </c>
      <c r="F49" s="23">
        <f>13799.35</f>
        <v>13799.35</v>
      </c>
      <c r="G49" s="23">
        <f>14598.34</f>
        <v>14598.34</v>
      </c>
      <c r="H49" s="23">
        <f>186.66</f>
        <v>186.66</v>
      </c>
      <c r="I49" s="23">
        <f>2763863.69</f>
        <v>2763863.69</v>
      </c>
      <c r="J49" s="23">
        <f>18261968203.3</f>
        <v>18261968203.3</v>
      </c>
      <c r="K49" s="23">
        <f>0</f>
        <v>0</v>
      </c>
      <c r="L49" s="23">
        <f>2028990.75</f>
        <v>2028990.75</v>
      </c>
      <c r="M49" s="23">
        <f>40463.63</f>
        <v>40463.63</v>
      </c>
      <c r="N49" s="23">
        <f>105397.38</f>
        <v>105397.38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2789294043.72</f>
        <v>2789294043.72</v>
      </c>
      <c r="C50" s="23">
        <f>2789187331.89</f>
        <v>2789187331.89</v>
      </c>
      <c r="D50" s="23">
        <f>288298.96</f>
        <v>288298.96</v>
      </c>
      <c r="E50" s="23">
        <f>139091.93</f>
        <v>139091.93</v>
      </c>
      <c r="F50" s="23">
        <f>30845.5</f>
        <v>30845.5</v>
      </c>
      <c r="G50" s="23">
        <f>118361.53</f>
        <v>118361.53</v>
      </c>
      <c r="H50" s="23">
        <f>0</f>
        <v>0</v>
      </c>
      <c r="I50" s="23">
        <f>0</f>
        <v>0</v>
      </c>
      <c r="J50" s="23">
        <f>2788354510.45</f>
        <v>2788354510.45</v>
      </c>
      <c r="K50" s="23">
        <f>15092</f>
        <v>15092</v>
      </c>
      <c r="L50" s="23">
        <f>494423.62</f>
        <v>494423.62</v>
      </c>
      <c r="M50" s="23">
        <f>35006.86</f>
        <v>35006.86</v>
      </c>
      <c r="N50" s="23">
        <f>0</f>
        <v>0</v>
      </c>
      <c r="O50" s="23">
        <f>106711.83</f>
        <v>106711.83</v>
      </c>
      <c r="P50" s="23">
        <f>106711.83</f>
        <v>106711.83</v>
      </c>
      <c r="Q50" s="23">
        <f>0</f>
        <v>0</v>
      </c>
    </row>
    <row r="51" spans="1:17" ht="35.25" customHeight="1">
      <c r="A51" s="27" t="s">
        <v>41</v>
      </c>
      <c r="B51" s="22">
        <f>24461367394.98</f>
        <v>24461367394.98</v>
      </c>
      <c r="C51" s="22">
        <f>24422130748.2</f>
        <v>24422130748.2</v>
      </c>
      <c r="D51" s="22">
        <f>563924274.58</f>
        <v>563924274.58</v>
      </c>
      <c r="E51" s="22">
        <f>195917348.8</f>
        <v>195917348.8</v>
      </c>
      <c r="F51" s="22">
        <f>9858583.1</f>
        <v>9858583.1</v>
      </c>
      <c r="G51" s="22">
        <f>354849241.88</f>
        <v>354849241.88</v>
      </c>
      <c r="H51" s="22">
        <f>3299100.8</f>
        <v>3299100.8</v>
      </c>
      <c r="I51" s="22">
        <f>0</f>
        <v>0</v>
      </c>
      <c r="J51" s="22">
        <f>6137893</f>
        <v>6137893</v>
      </c>
      <c r="K51" s="22">
        <f>35565346.63</f>
        <v>35565346.63</v>
      </c>
      <c r="L51" s="22">
        <f>5670418695.15</f>
        <v>5670418695.15</v>
      </c>
      <c r="M51" s="22">
        <f>17905531153.39</f>
        <v>17905531153.39</v>
      </c>
      <c r="N51" s="22">
        <f>240553385.45</f>
        <v>240553385.45</v>
      </c>
      <c r="O51" s="22">
        <f>39236646.78</f>
        <v>39236646.78</v>
      </c>
      <c r="P51" s="22">
        <f>23525418.13</f>
        <v>23525418.13</v>
      </c>
      <c r="Q51" s="22">
        <f>15711228.65</f>
        <v>15711228.65</v>
      </c>
    </row>
    <row r="52" spans="1:17" ht="28.5" customHeight="1">
      <c r="A52" s="17" t="s">
        <v>34</v>
      </c>
      <c r="B52" s="23">
        <f>6326100916.41</f>
        <v>6326100916.41</v>
      </c>
      <c r="C52" s="23">
        <f>6324146184.6</f>
        <v>6324146184.6</v>
      </c>
      <c r="D52" s="23">
        <f>80600550.07</f>
        <v>80600550.07</v>
      </c>
      <c r="E52" s="23">
        <f>2946720.18</f>
        <v>2946720.18</v>
      </c>
      <c r="F52" s="23">
        <f>539544.75</f>
        <v>539544.75</v>
      </c>
      <c r="G52" s="23">
        <f>75733389.6</f>
        <v>75733389.6</v>
      </c>
      <c r="H52" s="23">
        <f>1380895.54</f>
        <v>1380895.54</v>
      </c>
      <c r="I52" s="23">
        <f>0</f>
        <v>0</v>
      </c>
      <c r="J52" s="23">
        <f>165513.55</f>
        <v>165513.55</v>
      </c>
      <c r="K52" s="23">
        <f>1486841.38</f>
        <v>1486841.38</v>
      </c>
      <c r="L52" s="23">
        <f>878639758.71</f>
        <v>878639758.71</v>
      </c>
      <c r="M52" s="23">
        <f>5209121940.17</f>
        <v>5209121940.17</v>
      </c>
      <c r="N52" s="23">
        <f>154131580.72</f>
        <v>154131580.72</v>
      </c>
      <c r="O52" s="23">
        <f>1954731.81</f>
        <v>1954731.81</v>
      </c>
      <c r="P52" s="23">
        <f>373447.77</f>
        <v>373447.77</v>
      </c>
      <c r="Q52" s="23">
        <f>1581284.04</f>
        <v>1581284.04</v>
      </c>
    </row>
    <row r="53" spans="1:17" ht="28.5" customHeight="1">
      <c r="A53" s="17" t="s">
        <v>35</v>
      </c>
      <c r="B53" s="23">
        <f>18135266478.57</f>
        <v>18135266478.57</v>
      </c>
      <c r="C53" s="23">
        <f>18097984563.6</f>
        <v>18097984563.6</v>
      </c>
      <c r="D53" s="23">
        <f>483323724.51</f>
        <v>483323724.51</v>
      </c>
      <c r="E53" s="23">
        <f>192970628.62</f>
        <v>192970628.62</v>
      </c>
      <c r="F53" s="23">
        <f>9319038.35</f>
        <v>9319038.35</v>
      </c>
      <c r="G53" s="23">
        <f>279115852.28</f>
        <v>279115852.28</v>
      </c>
      <c r="H53" s="23">
        <f>1918205.26</f>
        <v>1918205.26</v>
      </c>
      <c r="I53" s="23">
        <f>0</f>
        <v>0</v>
      </c>
      <c r="J53" s="23">
        <f>5972379.45</f>
        <v>5972379.45</v>
      </c>
      <c r="K53" s="23">
        <f>34078505.25</f>
        <v>34078505.25</v>
      </c>
      <c r="L53" s="23">
        <f>4791778936.44</f>
        <v>4791778936.44</v>
      </c>
      <c r="M53" s="23">
        <f>12696409213.22</f>
        <v>12696409213.22</v>
      </c>
      <c r="N53" s="23">
        <f>86421804.73</f>
        <v>86421804.73</v>
      </c>
      <c r="O53" s="23">
        <f>37281914.97</f>
        <v>37281914.97</v>
      </c>
      <c r="P53" s="23">
        <f>23151970.36</f>
        <v>23151970.36</v>
      </c>
      <c r="Q53" s="23">
        <f>14129944.61</f>
        <v>14129944.61</v>
      </c>
    </row>
    <row r="54" spans="1:17" ht="35.25" customHeight="1">
      <c r="A54" s="27" t="s">
        <v>42</v>
      </c>
      <c r="B54" s="22">
        <f>4265451549.76</f>
        <v>4265451549.76</v>
      </c>
      <c r="C54" s="22">
        <f>4252230513.52</f>
        <v>4252230513.52</v>
      </c>
      <c r="D54" s="22">
        <f>1005083844.23</f>
        <v>1005083844.23</v>
      </c>
      <c r="E54" s="22">
        <f>557873035.32</f>
        <v>557873035.32</v>
      </c>
      <c r="F54" s="22">
        <f>23283155.62</f>
        <v>23283155.62</v>
      </c>
      <c r="G54" s="22">
        <f>414042699.2</f>
        <v>414042699.2</v>
      </c>
      <c r="H54" s="22">
        <f>9884954.09</f>
        <v>9884954.09</v>
      </c>
      <c r="I54" s="22">
        <f>60004.42</f>
        <v>60004.42</v>
      </c>
      <c r="J54" s="22">
        <f>2245008.46</f>
        <v>2245008.46</v>
      </c>
      <c r="K54" s="22">
        <f>12811489.97</f>
        <v>12811489.97</v>
      </c>
      <c r="L54" s="22">
        <f>2134460409.91</f>
        <v>2134460409.91</v>
      </c>
      <c r="M54" s="22">
        <f>1030165943.86</f>
        <v>1030165943.86</v>
      </c>
      <c r="N54" s="22">
        <f>67403812.67</f>
        <v>67403812.67</v>
      </c>
      <c r="O54" s="22">
        <f>13221036.24</f>
        <v>13221036.24</v>
      </c>
      <c r="P54" s="22">
        <f>11692088.28</f>
        <v>11692088.28</v>
      </c>
      <c r="Q54" s="22">
        <f>1528947.96</f>
        <v>1528947.96</v>
      </c>
    </row>
    <row r="55" spans="1:17" ht="28.5" customHeight="1">
      <c r="A55" s="17" t="s">
        <v>36</v>
      </c>
      <c r="B55" s="23">
        <f>883970312.39</f>
        <v>883970312.39</v>
      </c>
      <c r="C55" s="23">
        <f>883897752.14</f>
        <v>883897752.14</v>
      </c>
      <c r="D55" s="23">
        <f>63001949.76</f>
        <v>63001949.76</v>
      </c>
      <c r="E55" s="23">
        <f>5190198.91</f>
        <v>5190198.91</v>
      </c>
      <c r="F55" s="23">
        <f>6604256.58</f>
        <v>6604256.58</v>
      </c>
      <c r="G55" s="23">
        <f>50209218.13</f>
        <v>50209218.13</v>
      </c>
      <c r="H55" s="23">
        <f>998276.14</f>
        <v>998276.14</v>
      </c>
      <c r="I55" s="23">
        <f>0</f>
        <v>0</v>
      </c>
      <c r="J55" s="23">
        <f>250575.23</f>
        <v>250575.23</v>
      </c>
      <c r="K55" s="23">
        <f>2333839.78</f>
        <v>2333839.78</v>
      </c>
      <c r="L55" s="23">
        <f>450372619.96</f>
        <v>450372619.96</v>
      </c>
      <c r="M55" s="23">
        <f>352739118.1</f>
        <v>352739118.1</v>
      </c>
      <c r="N55" s="23">
        <f>15199649.31</f>
        <v>15199649.31</v>
      </c>
      <c r="O55" s="23">
        <f>72560.25</f>
        <v>72560.25</v>
      </c>
      <c r="P55" s="23">
        <f>67088.5</f>
        <v>67088.5</v>
      </c>
      <c r="Q55" s="23">
        <f>5471.75</f>
        <v>5471.75</v>
      </c>
    </row>
    <row r="56" spans="1:17" ht="47.25" customHeight="1">
      <c r="A56" s="17" t="s">
        <v>76</v>
      </c>
      <c r="B56" s="23">
        <f>546430172.28</f>
        <v>546430172.28</v>
      </c>
      <c r="C56" s="23">
        <f>546400775.91</f>
        <v>546400775.91</v>
      </c>
      <c r="D56" s="23">
        <f>210590600.83</f>
        <v>210590600.83</v>
      </c>
      <c r="E56" s="23">
        <f>194827857.28</f>
        <v>194827857.28</v>
      </c>
      <c r="F56" s="23">
        <f>4374353.94</f>
        <v>4374353.94</v>
      </c>
      <c r="G56" s="23">
        <f>9954139.64</f>
        <v>9954139.64</v>
      </c>
      <c r="H56" s="23">
        <f>1434249.97</f>
        <v>1434249.97</v>
      </c>
      <c r="I56" s="23">
        <f>3349.9</f>
        <v>3349.9</v>
      </c>
      <c r="J56" s="23">
        <f>280400.51</f>
        <v>280400.51</v>
      </c>
      <c r="K56" s="23">
        <f>741676.57</f>
        <v>741676.57</v>
      </c>
      <c r="L56" s="23">
        <f>208264753.21</f>
        <v>208264753.21</v>
      </c>
      <c r="M56" s="23">
        <f>125022373.33</f>
        <v>125022373.33</v>
      </c>
      <c r="N56" s="23">
        <f>1497621.56</f>
        <v>1497621.56</v>
      </c>
      <c r="O56" s="23">
        <f>29396.37</f>
        <v>29396.37</v>
      </c>
      <c r="P56" s="23">
        <f>607.57</f>
        <v>607.57</v>
      </c>
      <c r="Q56" s="23">
        <f>28788.8</f>
        <v>28788.8</v>
      </c>
    </row>
    <row r="57" spans="1:17" ht="35.25" customHeight="1">
      <c r="A57" s="17" t="s">
        <v>37</v>
      </c>
      <c r="B57" s="23">
        <f>2835051065.09</f>
        <v>2835051065.09</v>
      </c>
      <c r="C57" s="23">
        <f>2821931985.47</f>
        <v>2821931985.47</v>
      </c>
      <c r="D57" s="23">
        <f>731491293.64</f>
        <v>731491293.64</v>
      </c>
      <c r="E57" s="23">
        <f>357854979.13</f>
        <v>357854979.13</v>
      </c>
      <c r="F57" s="23">
        <f>12304545.1</f>
        <v>12304545.1</v>
      </c>
      <c r="G57" s="23">
        <f>353879341.43</f>
        <v>353879341.43</v>
      </c>
      <c r="H57" s="23">
        <f>7452427.98</f>
        <v>7452427.98</v>
      </c>
      <c r="I57" s="23">
        <f>56654.52</f>
        <v>56654.52</v>
      </c>
      <c r="J57" s="23">
        <f>1714032.72</f>
        <v>1714032.72</v>
      </c>
      <c r="K57" s="23">
        <f>9735973.62</f>
        <v>9735973.62</v>
      </c>
      <c r="L57" s="23">
        <f>1475823036.74</f>
        <v>1475823036.74</v>
      </c>
      <c r="M57" s="23">
        <f>552404452.43</f>
        <v>552404452.43</v>
      </c>
      <c r="N57" s="23">
        <f>50706541.8</f>
        <v>50706541.8</v>
      </c>
      <c r="O57" s="23">
        <f>13119079.62</f>
        <v>13119079.62</v>
      </c>
      <c r="P57" s="23">
        <f>11624392.21</f>
        <v>11624392.21</v>
      </c>
      <c r="Q57" s="23">
        <f>1494687.41</f>
        <v>1494687.41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4649957502.23</f>
        <v>4649957502.23</v>
      </c>
      <c r="G78" s="21">
        <f>1424926366.94</f>
        <v>1424926366.94</v>
      </c>
      <c r="H78" s="21">
        <f>60951275.73</f>
        <v>60951275.73</v>
      </c>
      <c r="I78" s="21">
        <f>548911091.18</f>
        <v>548911091.18</v>
      </c>
      <c r="J78" s="21">
        <f>798626349.73</f>
        <v>798626349.73</v>
      </c>
      <c r="K78" s="21">
        <f>16437650.3</f>
        <v>16437650.3</v>
      </c>
      <c r="L78" s="21">
        <f>3225031135.29</f>
        <v>3225031135.29</v>
      </c>
    </row>
    <row r="79" spans="2:12" ht="33.75" customHeight="1">
      <c r="B79" s="47" t="s">
        <v>52</v>
      </c>
      <c r="C79" s="48"/>
      <c r="D79" s="48"/>
      <c r="E79" s="49"/>
      <c r="F79" s="24">
        <f>4440112.03</f>
        <v>4440112.03</v>
      </c>
      <c r="G79" s="24">
        <f>2369824.53</f>
        <v>2369824.53</v>
      </c>
      <c r="H79" s="24">
        <f>960078.25</f>
        <v>960078.25</v>
      </c>
      <c r="I79" s="24">
        <f>130008.43</f>
        <v>130008.43</v>
      </c>
      <c r="J79" s="24">
        <f>1279737.85</f>
        <v>1279737.85</v>
      </c>
      <c r="K79" s="24">
        <f>0</f>
        <v>0</v>
      </c>
      <c r="L79" s="24">
        <f>2070287.5</f>
        <v>2070287.5</v>
      </c>
    </row>
    <row r="80" spans="2:12" ht="33.75" customHeight="1">
      <c r="B80" s="47" t="s">
        <v>53</v>
      </c>
      <c r="C80" s="48"/>
      <c r="D80" s="48"/>
      <c r="E80" s="49"/>
      <c r="F80" s="24">
        <f>320570895.35</f>
        <v>320570895.35</v>
      </c>
      <c r="G80" s="24">
        <f>147388467.55</f>
        <v>147388467.55</v>
      </c>
      <c r="H80" s="24">
        <f>5958342.68</f>
        <v>5958342.68</v>
      </c>
      <c r="I80" s="24">
        <f>69997282.23</f>
        <v>69997282.23</v>
      </c>
      <c r="J80" s="24">
        <f>71358313.64</f>
        <v>71358313.64</v>
      </c>
      <c r="K80" s="24">
        <f>74529</f>
        <v>74529</v>
      </c>
      <c r="L80" s="24">
        <f>173182427.8</f>
        <v>173182427.8</v>
      </c>
    </row>
    <row r="81" spans="2:12" ht="22.5" customHeight="1">
      <c r="B81" s="47" t="s">
        <v>54</v>
      </c>
      <c r="C81" s="48"/>
      <c r="D81" s="48"/>
      <c r="E81" s="49"/>
      <c r="F81" s="24">
        <f>88733878.58</f>
        <v>88733878.58</v>
      </c>
      <c r="G81" s="24">
        <f>48677524.21</f>
        <v>48677524.21</v>
      </c>
      <c r="H81" s="24">
        <f>1178</f>
        <v>1178</v>
      </c>
      <c r="I81" s="24">
        <f>1823543.44</f>
        <v>1823543.44</v>
      </c>
      <c r="J81" s="24">
        <f>46852802.77</f>
        <v>46852802.77</v>
      </c>
      <c r="K81" s="24">
        <f>0</f>
        <v>0</v>
      </c>
      <c r="L81" s="24">
        <f>40056354.37</f>
        <v>40056354.37</v>
      </c>
    </row>
    <row r="82" spans="2:12" ht="33.75" customHeight="1">
      <c r="B82" s="47" t="s">
        <v>55</v>
      </c>
      <c r="C82" s="48"/>
      <c r="D82" s="48"/>
      <c r="E82" s="49"/>
      <c r="F82" s="24">
        <f>9309519.53</f>
        <v>9309519.53</v>
      </c>
      <c r="G82" s="24">
        <f>9246365.27</f>
        <v>9246365.27</v>
      </c>
      <c r="H82" s="24">
        <f>0</f>
        <v>0</v>
      </c>
      <c r="I82" s="24">
        <f>0</f>
        <v>0</v>
      </c>
      <c r="J82" s="24">
        <f>9246365.27</f>
        <v>9246365.27</v>
      </c>
      <c r="K82" s="24">
        <f>0</f>
        <v>0</v>
      </c>
      <c r="L82" s="24">
        <f>63154.26</f>
        <v>63154.26</v>
      </c>
    </row>
    <row r="83" spans="2:12" ht="33.75" customHeight="1">
      <c r="B83" s="47" t="s">
        <v>56</v>
      </c>
      <c r="C83" s="48"/>
      <c r="D83" s="48"/>
      <c r="E83" s="49"/>
      <c r="F83" s="24">
        <f>24484671.01</f>
        <v>24484671.01</v>
      </c>
      <c r="G83" s="24">
        <f>14650345.76</f>
        <v>14650345.76</v>
      </c>
      <c r="H83" s="24">
        <f>0</f>
        <v>0</v>
      </c>
      <c r="I83" s="24">
        <f>0</f>
        <v>0</v>
      </c>
      <c r="J83" s="24">
        <f>14650345.76</f>
        <v>14650345.76</v>
      </c>
      <c r="K83" s="24">
        <f>0</f>
        <v>0</v>
      </c>
      <c r="L83" s="24">
        <f>9834325.25</f>
        <v>9834325.25</v>
      </c>
    </row>
    <row r="84" spans="2:12" ht="33" customHeight="1">
      <c r="B84" s="50" t="s">
        <v>57</v>
      </c>
      <c r="C84" s="51"/>
      <c r="D84" s="51"/>
      <c r="E84" s="52"/>
      <c r="F84" s="21">
        <f>4154767.14</f>
        <v>4154767.14</v>
      </c>
      <c r="G84" s="21">
        <f>3767271.1</f>
        <v>3767271.1</v>
      </c>
      <c r="H84" s="21">
        <f>0</f>
        <v>0</v>
      </c>
      <c r="I84" s="21">
        <f>0</f>
        <v>0</v>
      </c>
      <c r="J84" s="21">
        <f>3767271.1</f>
        <v>3767271.1</v>
      </c>
      <c r="K84" s="21">
        <f>0</f>
        <v>0</v>
      </c>
      <c r="L84" s="21">
        <f>387496.04</f>
        <v>387496.04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817</f>
        <v>817</v>
      </c>
      <c r="H90" s="55"/>
      <c r="I90" s="56">
        <f>2771126418.58</f>
        <v>2771126418.58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1991</f>
        <v>1991</v>
      </c>
      <c r="H91" s="62"/>
      <c r="I91" s="63">
        <f>-10310975785.57</f>
        <v>-10310975785.57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2019-03-28T11:45:23Z</dcterms:modified>
  <cp:category/>
  <cp:version/>
  <cp:contentType/>
  <cp:contentStatus/>
</cp:coreProperties>
</file>