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r-win-003\homes_citrix\HHCY.MF\```ST7\Besti@\2022\IV kw 2022\Dane ostateczne\www\MF\Zestawienia zbiorcze\"/>
    </mc:Choice>
  </mc:AlternateContent>
  <bookViews>
    <workbookView xWindow="240" yWindow="120" windowWidth="14220" windowHeight="8835"/>
  </bookViews>
  <sheets>
    <sheet name="doch_wyd" sheetId="4" r:id="rId1"/>
  </sheets>
  <definedNames>
    <definedName name="_xlnm.Print_Area" localSheetId="0">doch_wyd!$A$1:$M$136</definedName>
  </definedNames>
  <calcPr calcId="152511"/>
</workbook>
</file>

<file path=xl/calcChain.xml><?xml version="1.0" encoding="utf-8"?>
<calcChain xmlns="http://schemas.openxmlformats.org/spreadsheetml/2006/main">
  <c r="C136" i="4" l="1"/>
  <c r="C135" i="4"/>
  <c r="C134" i="4"/>
  <c r="C133" i="4"/>
  <c r="D131" i="4"/>
  <c r="C131" i="4"/>
  <c r="D130" i="4"/>
  <c r="C130" i="4"/>
  <c r="D129" i="4"/>
  <c r="C129" i="4"/>
  <c r="D128" i="4"/>
  <c r="C128" i="4"/>
  <c r="D127" i="4"/>
  <c r="C127" i="4"/>
  <c r="D126" i="4"/>
  <c r="C126" i="4"/>
  <c r="D125" i="4"/>
  <c r="C125" i="4"/>
  <c r="D124" i="4"/>
  <c r="C124" i="4"/>
  <c r="D119" i="4"/>
  <c r="C119" i="4"/>
  <c r="D118" i="4"/>
  <c r="C118" i="4"/>
  <c r="D117" i="4"/>
  <c r="C117" i="4"/>
  <c r="D116" i="4"/>
  <c r="C116" i="4"/>
  <c r="D115" i="4"/>
  <c r="C115" i="4"/>
  <c r="D114" i="4"/>
  <c r="C114" i="4"/>
  <c r="D113" i="4"/>
  <c r="C113" i="4"/>
  <c r="D112" i="4"/>
  <c r="C112" i="4"/>
  <c r="D111" i="4"/>
  <c r="C111" i="4"/>
  <c r="D110" i="4"/>
  <c r="C110" i="4"/>
  <c r="D109" i="4"/>
  <c r="C109" i="4"/>
  <c r="D108" i="4"/>
  <c r="C108" i="4"/>
  <c r="D107" i="4"/>
  <c r="C107" i="4"/>
  <c r="D106" i="4"/>
  <c r="C106" i="4"/>
  <c r="I98" i="4"/>
  <c r="H98" i="4"/>
  <c r="G98" i="4"/>
  <c r="F98" i="4"/>
  <c r="E98" i="4"/>
  <c r="D98" i="4"/>
  <c r="C98" i="4"/>
  <c r="I97" i="4"/>
  <c r="H97" i="4"/>
  <c r="G97" i="4"/>
  <c r="F97" i="4"/>
  <c r="E97" i="4"/>
  <c r="D97" i="4"/>
  <c r="C97" i="4"/>
  <c r="I91" i="4"/>
  <c r="H91" i="4"/>
  <c r="G91" i="4"/>
  <c r="F91" i="4"/>
  <c r="E91" i="4"/>
  <c r="D91" i="4"/>
  <c r="C91" i="4"/>
  <c r="I90" i="4"/>
  <c r="H90" i="4"/>
  <c r="G90" i="4"/>
  <c r="F90" i="4"/>
  <c r="E90" i="4"/>
  <c r="D90" i="4"/>
  <c r="C90" i="4"/>
  <c r="I89" i="4"/>
  <c r="H89" i="4"/>
  <c r="G89" i="4"/>
  <c r="F89" i="4"/>
  <c r="E89" i="4"/>
  <c r="D89" i="4"/>
  <c r="C89" i="4"/>
  <c r="I88" i="4"/>
  <c r="H88" i="4"/>
  <c r="G88" i="4"/>
  <c r="F88" i="4"/>
  <c r="E88" i="4"/>
  <c r="D88" i="4"/>
  <c r="C88" i="4"/>
  <c r="I87" i="4"/>
  <c r="H87" i="4"/>
  <c r="G87" i="4"/>
  <c r="F87" i="4"/>
  <c r="E87" i="4"/>
  <c r="D87" i="4"/>
  <c r="C87" i="4"/>
  <c r="I85" i="4"/>
  <c r="H85" i="4"/>
  <c r="G85" i="4"/>
  <c r="F85" i="4"/>
  <c r="E85" i="4"/>
  <c r="D85" i="4"/>
  <c r="C85" i="4"/>
  <c r="I84" i="4"/>
  <c r="H84" i="4"/>
  <c r="G84" i="4"/>
  <c r="F84" i="4"/>
  <c r="E84" i="4"/>
  <c r="D84" i="4"/>
  <c r="C84" i="4"/>
  <c r="I83" i="4"/>
  <c r="H83" i="4"/>
  <c r="G83" i="4"/>
  <c r="F83" i="4"/>
  <c r="E83" i="4"/>
  <c r="D83" i="4"/>
  <c r="C83" i="4"/>
  <c r="I72" i="4"/>
  <c r="H72" i="4"/>
  <c r="G72" i="4"/>
  <c r="F72" i="4"/>
  <c r="E72" i="4"/>
  <c r="D72" i="4"/>
  <c r="C72" i="4"/>
  <c r="D69" i="4"/>
  <c r="C69" i="4"/>
  <c r="D68" i="4"/>
  <c r="C68" i="4"/>
  <c r="D66" i="4"/>
  <c r="C66" i="4"/>
  <c r="D65" i="4"/>
  <c r="C65" i="4"/>
  <c r="D64" i="4"/>
  <c r="C64" i="4"/>
  <c r="D62" i="4"/>
  <c r="C62" i="4"/>
  <c r="D61" i="4"/>
  <c r="C61" i="4"/>
  <c r="D59" i="4"/>
  <c r="C59" i="4"/>
  <c r="D58" i="4"/>
  <c r="C58" i="4"/>
  <c r="D57" i="4"/>
  <c r="C57" i="4"/>
  <c r="D56" i="4"/>
  <c r="C56" i="4"/>
  <c r="D55" i="4"/>
  <c r="C55" i="4"/>
  <c r="D54" i="4"/>
  <c r="C54" i="4"/>
  <c r="D53" i="4"/>
  <c r="C53" i="4"/>
  <c r="D52" i="4"/>
  <c r="C52" i="4"/>
  <c r="D51" i="4"/>
  <c r="C51" i="4"/>
  <c r="D50" i="4"/>
  <c r="C50" i="4"/>
  <c r="D49" i="4"/>
  <c r="C49" i="4"/>
  <c r="D48" i="4"/>
  <c r="C48" i="4"/>
  <c r="D47" i="4"/>
  <c r="C47" i="4"/>
  <c r="D46" i="4"/>
  <c r="C46" i="4"/>
  <c r="D45" i="4"/>
  <c r="C45" i="4"/>
  <c r="D44" i="4"/>
  <c r="C44" i="4"/>
  <c r="D43" i="4"/>
  <c r="C43" i="4"/>
  <c r="D42" i="4"/>
  <c r="C42" i="4"/>
  <c r="D41" i="4"/>
  <c r="C41" i="4"/>
  <c r="D40" i="4"/>
  <c r="C40" i="4"/>
  <c r="D38" i="4"/>
  <c r="C38" i="4"/>
  <c r="D37" i="4"/>
  <c r="C37" i="4"/>
  <c r="D36" i="4"/>
  <c r="K36" i="4" s="1"/>
  <c r="C36" i="4"/>
  <c r="D35" i="4"/>
  <c r="C35" i="4"/>
  <c r="D34" i="4"/>
  <c r="C34" i="4"/>
  <c r="D33" i="4"/>
  <c r="C33" i="4"/>
  <c r="D31" i="4"/>
  <c r="C31" i="4"/>
  <c r="D30" i="4"/>
  <c r="C30" i="4"/>
  <c r="D29" i="4"/>
  <c r="C29" i="4"/>
  <c r="D28" i="4"/>
  <c r="C28" i="4"/>
  <c r="D27" i="4"/>
  <c r="C27" i="4"/>
  <c r="D26" i="4"/>
  <c r="C26" i="4"/>
  <c r="I21" i="4"/>
  <c r="H21" i="4"/>
  <c r="G21" i="4"/>
  <c r="F21" i="4"/>
  <c r="E21" i="4"/>
  <c r="D21" i="4"/>
  <c r="C21" i="4"/>
  <c r="I20" i="4"/>
  <c r="H20" i="4"/>
  <c r="G20" i="4"/>
  <c r="F20" i="4"/>
  <c r="E20" i="4"/>
  <c r="D20" i="4"/>
  <c r="C20" i="4"/>
  <c r="I19" i="4"/>
  <c r="H19" i="4"/>
  <c r="G19" i="4"/>
  <c r="F19" i="4"/>
  <c r="E19" i="4"/>
  <c r="D19" i="4"/>
  <c r="C19" i="4"/>
  <c r="I18" i="4"/>
  <c r="H18" i="4"/>
  <c r="G18" i="4"/>
  <c r="F18" i="4"/>
  <c r="E18" i="4"/>
  <c r="D18" i="4"/>
  <c r="C18" i="4"/>
  <c r="I17" i="4"/>
  <c r="H17" i="4"/>
  <c r="G17" i="4"/>
  <c r="F17" i="4"/>
  <c r="E17" i="4"/>
  <c r="D17" i="4"/>
  <c r="C17" i="4"/>
  <c r="I16" i="4"/>
  <c r="H16" i="4"/>
  <c r="G16" i="4"/>
  <c r="F16" i="4"/>
  <c r="E16" i="4"/>
  <c r="D16" i="4"/>
  <c r="C16" i="4"/>
  <c r="I15" i="4"/>
  <c r="H15" i="4"/>
  <c r="G15" i="4"/>
  <c r="F15" i="4"/>
  <c r="E15" i="4"/>
  <c r="D15" i="4"/>
  <c r="C15" i="4"/>
  <c r="I14" i="4"/>
  <c r="H14" i="4"/>
  <c r="G14" i="4"/>
  <c r="F14" i="4"/>
  <c r="E14" i="4"/>
  <c r="D14" i="4"/>
  <c r="C14" i="4"/>
  <c r="I13" i="4"/>
  <c r="H13" i="4"/>
  <c r="G13" i="4"/>
  <c r="F13" i="4"/>
  <c r="E13" i="4"/>
  <c r="D13" i="4"/>
  <c r="C13" i="4"/>
  <c r="I12" i="4"/>
  <c r="H12" i="4"/>
  <c r="G12" i="4"/>
  <c r="F12" i="4"/>
  <c r="E12" i="4"/>
  <c r="D12" i="4"/>
  <c r="C12" i="4"/>
  <c r="I11" i="4"/>
  <c r="H11" i="4"/>
  <c r="G11" i="4"/>
  <c r="F11" i="4"/>
  <c r="E11" i="4"/>
  <c r="D11" i="4"/>
  <c r="C11" i="4"/>
  <c r="I10" i="4"/>
  <c r="H10" i="4"/>
  <c r="G10" i="4"/>
  <c r="F10" i="4"/>
  <c r="E10" i="4"/>
  <c r="D10" i="4"/>
  <c r="C10" i="4"/>
  <c r="I9" i="4"/>
  <c r="H9" i="4"/>
  <c r="G9" i="4"/>
  <c r="F9" i="4"/>
  <c r="E9" i="4"/>
  <c r="D9" i="4"/>
  <c r="C9" i="4"/>
  <c r="I8" i="4"/>
  <c r="H8" i="4"/>
  <c r="G8" i="4"/>
  <c r="F8" i="4"/>
  <c r="E8" i="4"/>
  <c r="D8" i="4"/>
  <c r="C8" i="4"/>
  <c r="I7" i="4"/>
  <c r="H7" i="4"/>
  <c r="G7" i="4"/>
  <c r="F7" i="4"/>
  <c r="E7" i="4"/>
  <c r="D7" i="4"/>
  <c r="C7" i="4"/>
  <c r="I5" i="4"/>
  <c r="H5" i="4"/>
  <c r="G5" i="4"/>
  <c r="F5" i="4"/>
  <c r="E5" i="4"/>
  <c r="D5" i="4"/>
  <c r="C5" i="4"/>
  <c r="D39" i="4"/>
  <c r="D133" i="4"/>
  <c r="B76" i="4" s="1"/>
  <c r="C71" i="4"/>
  <c r="K5" i="4"/>
  <c r="C93" i="4"/>
  <c r="E71" i="4"/>
  <c r="E73" i="4" s="1"/>
  <c r="E6" i="4"/>
  <c r="E22" i="4" s="1"/>
  <c r="G6" i="4"/>
  <c r="G22" i="4" s="1"/>
  <c r="G71" i="4"/>
  <c r="G73" i="4" s="1"/>
  <c r="I6" i="4"/>
  <c r="I22" i="4" s="1"/>
  <c r="I71" i="4"/>
  <c r="I73" i="4" s="1"/>
  <c r="K8" i="4"/>
  <c r="K10" i="4"/>
  <c r="K12" i="4"/>
  <c r="K14" i="4"/>
  <c r="J41" i="4"/>
  <c r="J28" i="4"/>
  <c r="J33" i="4"/>
  <c r="J17" i="4"/>
  <c r="J47" i="4"/>
  <c r="J36" i="4"/>
  <c r="J48" i="4"/>
  <c r="J30" i="4"/>
  <c r="J9" i="4"/>
  <c r="J44" i="4"/>
  <c r="J49" i="4"/>
  <c r="J7" i="4"/>
  <c r="J35" i="4"/>
  <c r="J72" i="4"/>
  <c r="J14" i="4"/>
  <c r="J40" i="4"/>
  <c r="J46" i="4"/>
  <c r="J16" i="4"/>
  <c r="D71" i="4"/>
  <c r="D73" i="4" s="1"/>
  <c r="J64" i="4"/>
  <c r="J69" i="4"/>
  <c r="J61" i="4"/>
  <c r="J13" i="4"/>
  <c r="J56" i="4"/>
  <c r="J43" i="4"/>
  <c r="J51" i="4"/>
  <c r="J31" i="4"/>
  <c r="J39" i="4"/>
  <c r="J5" i="4"/>
  <c r="J10" i="4"/>
  <c r="J8" i="4"/>
  <c r="J34" i="4"/>
  <c r="J42" i="4"/>
  <c r="J52" i="4"/>
  <c r="D93" i="4"/>
  <c r="J68" i="4"/>
  <c r="J21" i="4"/>
  <c r="J11" i="4"/>
  <c r="J45" i="4"/>
  <c r="J58" i="4"/>
  <c r="J50" i="4"/>
  <c r="J29" i="4"/>
  <c r="J12" i="4"/>
  <c r="J18" i="4"/>
  <c r="J62" i="4"/>
  <c r="J66" i="4"/>
  <c r="J20" i="4"/>
  <c r="J37" i="4"/>
  <c r="J65" i="4"/>
  <c r="J19" i="4"/>
  <c r="J57" i="4"/>
  <c r="J38" i="4"/>
  <c r="J54" i="4"/>
  <c r="J59" i="4"/>
  <c r="J55" i="4"/>
  <c r="J27" i="4"/>
  <c r="J26" i="4"/>
  <c r="J15" i="4"/>
  <c r="J53" i="4"/>
  <c r="J71" i="4"/>
  <c r="F71" i="4"/>
  <c r="F73" i="4" s="1"/>
  <c r="F6" i="4"/>
  <c r="F22" i="4" s="1"/>
  <c r="H6" i="4"/>
  <c r="H22" i="4" s="1"/>
  <c r="H71" i="4"/>
  <c r="H73" i="4"/>
  <c r="K7" i="4"/>
  <c r="K9" i="4"/>
  <c r="K11" i="4"/>
  <c r="K13" i="4"/>
  <c r="K16" i="4"/>
  <c r="K15" i="4"/>
  <c r="K17" i="4"/>
  <c r="K19" i="4"/>
  <c r="K21" i="4"/>
  <c r="D25" i="4"/>
  <c r="J25" i="4" s="1"/>
  <c r="D32" i="4"/>
  <c r="J32" i="4" s="1"/>
  <c r="D63" i="4"/>
  <c r="J63" i="4" s="1"/>
  <c r="D67" i="4"/>
  <c r="C86" i="4"/>
  <c r="K83" i="4"/>
  <c r="E86" i="4"/>
  <c r="E92" i="4" s="1"/>
  <c r="G86" i="4"/>
  <c r="G92" i="4" s="1"/>
  <c r="I86" i="4"/>
  <c r="I92" i="4" s="1"/>
  <c r="K85" i="4"/>
  <c r="K88" i="4"/>
  <c r="K90" i="4"/>
  <c r="C99" i="4"/>
  <c r="K97" i="4"/>
  <c r="E99" i="4"/>
  <c r="G99" i="4"/>
  <c r="I99" i="4"/>
  <c r="F106" i="4"/>
  <c r="F107" i="4"/>
  <c r="F108" i="4"/>
  <c r="F109" i="4"/>
  <c r="F110" i="4"/>
  <c r="F111" i="4"/>
  <c r="F112" i="4"/>
  <c r="F113" i="4"/>
  <c r="F115" i="4"/>
  <c r="F116" i="4"/>
  <c r="F117" i="4"/>
  <c r="F118" i="4"/>
  <c r="F119" i="4"/>
  <c r="K18" i="4"/>
  <c r="K20" i="4"/>
  <c r="K26" i="4"/>
  <c r="C25" i="4"/>
  <c r="K27" i="4"/>
  <c r="K28" i="4"/>
  <c r="K29" i="4"/>
  <c r="K30" i="4"/>
  <c r="K31" i="4"/>
  <c r="C32" i="4"/>
  <c r="K33" i="4"/>
  <c r="K34" i="4"/>
  <c r="K35" i="4"/>
  <c r="K37" i="4"/>
  <c r="K38" i="4"/>
  <c r="C39" i="4"/>
  <c r="K39" i="4" s="1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1" i="4"/>
  <c r="K62" i="4"/>
  <c r="C63" i="4"/>
  <c r="K63" i="4" s="1"/>
  <c r="K64" i="4"/>
  <c r="K65" i="4"/>
  <c r="K66" i="4"/>
  <c r="K68" i="4"/>
  <c r="C67" i="4"/>
  <c r="K69" i="4"/>
  <c r="K72" i="4"/>
  <c r="J87" i="4"/>
  <c r="J91" i="4"/>
  <c r="J83" i="4"/>
  <c r="J84" i="4"/>
  <c r="D86" i="4"/>
  <c r="D92" i="4" s="1"/>
  <c r="J92" i="4" s="1"/>
  <c r="J89" i="4"/>
  <c r="J85" i="4"/>
  <c r="J88" i="4"/>
  <c r="J90" i="4"/>
  <c r="F86" i="4"/>
  <c r="F92" i="4" s="1"/>
  <c r="H86" i="4"/>
  <c r="H92" i="4" s="1"/>
  <c r="K84" i="4"/>
  <c r="K87" i="4"/>
  <c r="K89" i="4"/>
  <c r="K91" i="4"/>
  <c r="D99" i="4"/>
  <c r="J97" i="4"/>
  <c r="J98" i="4"/>
  <c r="J99" i="4"/>
  <c r="F99" i="4"/>
  <c r="H99" i="4"/>
  <c r="K98" i="4"/>
  <c r="E111" i="4"/>
  <c r="E106" i="4"/>
  <c r="E113" i="4"/>
  <c r="E107" i="4"/>
  <c r="E108" i="4"/>
  <c r="E110" i="4"/>
  <c r="E109" i="4"/>
  <c r="E112" i="4"/>
  <c r="E119" i="4"/>
  <c r="E116" i="4"/>
  <c r="E117" i="4"/>
  <c r="E115" i="4"/>
  <c r="E118" i="4"/>
  <c r="J86" i="4"/>
  <c r="D60" i="4"/>
  <c r="J60" i="4" s="1"/>
  <c r="C92" i="4"/>
  <c r="K71" i="4"/>
  <c r="C73" i="4"/>
  <c r="C24" i="4"/>
  <c r="C23" i="4" s="1"/>
  <c r="K25" i="4"/>
  <c r="B1" i="4"/>
  <c r="C94" i="4"/>
  <c r="B101" i="4" l="1"/>
  <c r="K99" i="4"/>
  <c r="K86" i="4"/>
  <c r="K92" i="4"/>
  <c r="K67" i="4"/>
  <c r="J67" i="4"/>
  <c r="C60" i="4"/>
  <c r="C6" i="4" s="1"/>
  <c r="C22" i="4" s="1"/>
  <c r="D24" i="4"/>
  <c r="J24" i="4" s="1"/>
  <c r="K32" i="4"/>
  <c r="D94" i="4"/>
  <c r="J73" i="4"/>
  <c r="K73" i="4"/>
  <c r="K60" i="4" l="1"/>
  <c r="K24" i="4"/>
  <c r="D23" i="4"/>
  <c r="J23" i="4" s="1"/>
  <c r="K23" i="4" l="1"/>
  <c r="D6" i="4"/>
  <c r="J6" i="4" s="1"/>
  <c r="L6" i="4" l="1"/>
  <c r="L19" i="4"/>
  <c r="L13" i="4"/>
  <c r="L14" i="4"/>
  <c r="K6" i="4"/>
  <c r="L11" i="4"/>
  <c r="L16" i="4"/>
  <c r="D22" i="4"/>
  <c r="L22" i="4" s="1"/>
  <c r="L8" i="4"/>
  <c r="L12" i="4"/>
  <c r="L10" i="4"/>
  <c r="L20" i="4"/>
  <c r="L17" i="4"/>
  <c r="L9" i="4"/>
  <c r="L18" i="4"/>
  <c r="L7" i="4"/>
  <c r="L15" i="4"/>
  <c r="L21" i="4"/>
  <c r="K22" i="4" l="1"/>
  <c r="J22" i="4"/>
</calcChain>
</file>

<file path=xl/sharedStrings.xml><?xml version="1.0" encoding="utf-8"?>
<sst xmlns="http://schemas.openxmlformats.org/spreadsheetml/2006/main" count="385" uniqueCount="122">
  <si>
    <t xml:space="preserve">Wyszczególnienie </t>
  </si>
  <si>
    <t xml:space="preserve">Wykonanie </t>
  </si>
  <si>
    <t xml:space="preserve">Struktura </t>
  </si>
  <si>
    <t>Struktura dochodów  własnych</t>
  </si>
  <si>
    <t>w %%</t>
  </si>
  <si>
    <t>DOCHODY OGÓŁEM</t>
  </si>
  <si>
    <t>w tym:   inwestycyjne</t>
  </si>
  <si>
    <t>otrzymane z funduszy celowych</t>
  </si>
  <si>
    <t xml:space="preserve">na zadania realizowane na podstawie porozumień  z org. adm. rządowej </t>
  </si>
  <si>
    <t>na zadania realizowane na podstawie porozumień między jst</t>
  </si>
  <si>
    <t>Zobowiązania wg stanu na koniec 
okresu sprawozdawczego</t>
  </si>
  <si>
    <t>w tym:   wydatki na inwestycje</t>
  </si>
  <si>
    <t xml:space="preserve">wydatki majątkowe      </t>
  </si>
  <si>
    <t xml:space="preserve">WYNIK  </t>
  </si>
  <si>
    <t>Wyszczególnienie</t>
  </si>
  <si>
    <t>Plan (po zmianach)</t>
  </si>
  <si>
    <t>Wskaźnik 
(3:2)</t>
  </si>
  <si>
    <t xml:space="preserve">podatek rolny  </t>
  </si>
  <si>
    <t xml:space="preserve">podatek od nieruchomości </t>
  </si>
  <si>
    <t xml:space="preserve">podatek leśny        </t>
  </si>
  <si>
    <t>podatek od środków transportowych</t>
  </si>
  <si>
    <t>dochody z majątku</t>
  </si>
  <si>
    <t xml:space="preserve">pozostałe dochody </t>
  </si>
  <si>
    <t>Struktura</t>
  </si>
  <si>
    <t>Wskaźnik</t>
  </si>
  <si>
    <t xml:space="preserve">podatek od spadków i darowizn       </t>
  </si>
  <si>
    <t>podatek od czynności cywilnoprawnych</t>
  </si>
  <si>
    <t>inne cele</t>
  </si>
  <si>
    <t>w tym wymagalne:</t>
  </si>
  <si>
    <r>
      <t xml:space="preserve">Plan 
(po zmianach)
</t>
    </r>
    <r>
      <rPr>
        <b/>
        <sz val="10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</si>
  <si>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10"/>
        <color indexed="8"/>
        <rFont val="Arial"/>
        <family val="2"/>
        <charset val="238"/>
      </rPr>
      <t>R4</t>
    </r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</si>
  <si>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</si>
  <si>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</si>
  <si>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</si>
  <si>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</si>
  <si>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</si>
  <si>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>uzupełnienie subwencji ogólnej</t>
  </si>
  <si>
    <t xml:space="preserve">podatek od dział. gosp. osób fizycznych, opłacany w formie karty podatkowej </t>
  </si>
  <si>
    <t>część równoważąca</t>
  </si>
  <si>
    <t>część rekompensująca</t>
  </si>
  <si>
    <t>część oświatowa</t>
  </si>
  <si>
    <t>część wyrównawcza</t>
  </si>
  <si>
    <t>pozostałe wydatki</t>
  </si>
  <si>
    <t>wydatki na obsługę długu</t>
  </si>
  <si>
    <t>dotacje</t>
  </si>
  <si>
    <r>
      <t xml:space="preserve">powstałe w latach ubiegłych
</t>
    </r>
    <r>
      <rPr>
        <b/>
        <sz val="10"/>
        <rFont val="Arial"/>
        <family val="2"/>
        <charset val="238"/>
      </rPr>
      <t>R12U</t>
    </r>
  </si>
  <si>
    <r>
      <t xml:space="preserve">powstałe w roku bieżącym
</t>
    </r>
    <r>
      <rPr>
        <b/>
        <sz val="10"/>
        <rFont val="Arial"/>
        <family val="2"/>
        <charset val="238"/>
      </rPr>
      <t>R12B</t>
    </r>
  </si>
  <si>
    <r>
      <t xml:space="preserve">Plan 
(po zmianach)
</t>
    </r>
    <r>
      <rPr>
        <b/>
        <sz val="10"/>
        <rFont val="Arial"/>
        <family val="2"/>
        <charset val="238"/>
      </rPr>
      <t>R1</t>
    </r>
  </si>
  <si>
    <r>
      <t xml:space="preserve">Zaangażowanie
</t>
    </r>
    <r>
      <rPr>
        <b/>
        <sz val="10"/>
        <rFont val="Arial"/>
        <family val="2"/>
        <charset val="238"/>
      </rPr>
      <t>R10</t>
    </r>
  </si>
  <si>
    <r>
      <t xml:space="preserve">Wydatki
 wykonane
</t>
    </r>
    <r>
      <rPr>
        <b/>
        <sz val="10"/>
        <rFont val="Arial"/>
        <family val="2"/>
        <charset val="238"/>
      </rPr>
      <t>R4</t>
    </r>
  </si>
  <si>
    <r>
      <t xml:space="preserve">ogółem
</t>
    </r>
    <r>
      <rPr>
        <b/>
        <sz val="10"/>
        <rFont val="Arial"/>
        <family val="2"/>
        <charset val="238"/>
      </rPr>
      <t>R11</t>
    </r>
  </si>
  <si>
    <t>opłata skarbowa</t>
  </si>
  <si>
    <t>opłata eksploatacyjna</t>
  </si>
  <si>
    <t>opłata targowa</t>
  </si>
  <si>
    <t>- część gminna</t>
  </si>
  <si>
    <t>- część powiatowa</t>
  </si>
  <si>
    <t>- pozostałe</t>
  </si>
  <si>
    <t>#</t>
  </si>
  <si>
    <t>Razem dochody własne 
z tego:</t>
  </si>
  <si>
    <t>podatek dochodowy od osób prawnych - 
część gminna</t>
  </si>
  <si>
    <t>podatek dochodowy od osób prawnych - 
część powiatowa</t>
  </si>
  <si>
    <t>podatek dochodowy od osób fizycznych - 
część gminna</t>
  </si>
  <si>
    <t>podatek dochodowy od osób fizycznych - 
część powiatowa</t>
  </si>
  <si>
    <t>Dotacje celowe 
z tego:</t>
  </si>
  <si>
    <t>Subwencja ogólna 
z tego:</t>
  </si>
  <si>
    <t>WYDATKI OGÓŁEM 
z tego:</t>
  </si>
  <si>
    <t>wydatki bieżące 
z tego:</t>
  </si>
  <si>
    <t>Przychody ogółem 
z tego:</t>
  </si>
  <si>
    <t>Rozchody ogółem 
z tego:</t>
  </si>
  <si>
    <t>kwartał</t>
  </si>
  <si>
    <t>rok</t>
  </si>
  <si>
    <t>stanNa</t>
  </si>
  <si>
    <t>wydatki z tytułu udzielania poręczeń i gwarancji</t>
  </si>
  <si>
    <t>świadczenia na rzecz osób fizycznych</t>
  </si>
  <si>
    <t>tytul</t>
  </si>
  <si>
    <t>majątkowe</t>
  </si>
  <si>
    <t>bieżące</t>
  </si>
  <si>
    <t>wydatki majątkowe</t>
  </si>
  <si>
    <t>wydatki bieżące</t>
  </si>
  <si>
    <t>w złotych</t>
  </si>
  <si>
    <t>z tytułu pomocy finansowej udzielanej między jst na dofinansowanie własnych zadań</t>
  </si>
  <si>
    <t>inne źródła</t>
  </si>
  <si>
    <t>sprzedaż papierów wartościowych wyemitowanych przez jednostkę samorządu terytorialnego</t>
  </si>
  <si>
    <t>kredyty i pożyczki</t>
  </si>
  <si>
    <t>prywatyzacja majątku jednostki samorządu terytorialnego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</si>
  <si>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</si>
  <si>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r>
      <t xml:space="preserve">Wydatki, które nie wygasły 
z upływem roku budżetowego) 
(art.263 ust. 2 ustawy 
o finansach publicznych) 
</t>
    </r>
    <r>
      <rPr>
        <b/>
        <sz val="10"/>
        <rFont val="Arial"/>
        <family val="2"/>
        <charset val="238"/>
      </rPr>
      <t>R9</t>
    </r>
  </si>
  <si>
    <t>Dotacje §§ 200 i 620</t>
  </si>
  <si>
    <t>w tym: inwestycyjne § 620</t>
  </si>
  <si>
    <t>Dotacje §§ 205 i 625</t>
  </si>
  <si>
    <t>w tym: inwestycyjne § 625</t>
  </si>
  <si>
    <t>WYDATKI OGÓŁEM UE                    z tego:</t>
  </si>
  <si>
    <t>kredyty, pożyczki, emisja papierów wartościowych w tym:</t>
  </si>
  <si>
    <t>ze sprzedaży papierów wartościowych</t>
  </si>
  <si>
    <t>spłata  udzielonych pożyczek</t>
  </si>
  <si>
    <t>prywatyzacja majątku JST</t>
  </si>
  <si>
    <t>spłaty kredytów i pożyczek, wykup papierów wartościowych w tym:</t>
  </si>
  <si>
    <t>wykup papierów wartościowych</t>
  </si>
  <si>
    <t>wolne środki, o których mowa w art. 217 ust. 2 pkt 6 ustawy o finansach publicznych</t>
  </si>
  <si>
    <t>niewykorzystane środki pieniężne o których mowa w art.217 ust.2 pkt.8 ustawy o finansach publicznych</t>
  </si>
  <si>
    <t xml:space="preserve">otrzymane ze środków z Funduszu Przeciwdziałania COVID-19 (m.in. z Rządowego Funduszu Inwestycji Lokalnych) </t>
  </si>
  <si>
    <t>w tym: inwestycyjne</t>
  </si>
  <si>
    <t>na finansowanie lub dofinansowanie zadań inwestycyjnych obiektów zabytkowych oraz prac remontowych i konserwatorskich przy zabytkach</t>
  </si>
  <si>
    <t>nadwyżka z lat ubiegłych, pomniejszona o niewykorzystane środki pieniężne, o których mowa w art. 217 ust. 2 pkt 8 ustawy o finansach publicznych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</si>
  <si>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</si>
  <si>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spłaty udzielonych pożyczek w latach ubiegłych</t>
  </si>
  <si>
    <t>nadwyżka budżetu jednostki samorządu terytorialnego z lat ubiegłych, pomniejszona o środki określone w art. 217 ust. 2 pkt 8 ustawy o finansach publicznych</t>
  </si>
  <si>
    <t>wynagrodzenia i składki od nich naliczane</t>
  </si>
  <si>
    <t>FINANSOWANIE DEFICYTU (E1+E2+E3+E4+E5+E6+E7) 
z tego:</t>
  </si>
  <si>
    <t>Dotacje ogółem 
z tego:</t>
  </si>
  <si>
    <t>Subwencja ogólna dla gmin 
z tego:</t>
  </si>
  <si>
    <t>Subwencja ogólna dla powiatów 
z tego:</t>
  </si>
  <si>
    <t>Dochody bieżące 
minus 
Wydatki bieżące</t>
  </si>
  <si>
    <t>udzielone pożyczki</t>
  </si>
  <si>
    <t>WYDATKI Z UDZIAŁEM ŚRODKÓW, O KTÓRYCH MOWA W ART. 5 UST. 1 pkt 2</t>
  </si>
  <si>
    <t>na zadania z zakresu adm. Rządowej (*)</t>
  </si>
  <si>
    <t>na zadania własne (*)</t>
  </si>
  <si>
    <t>otrzymane z Funduszu Pomocy lub z innych środków (**)</t>
  </si>
  <si>
    <t>(**) na finansowanie lub dofinansowanie realizacji zadań w zakresie pomocy obywatelom Ukrainy</t>
  </si>
  <si>
    <t xml:space="preserve">(*) nie obejmuje zadań w zakresie pomocy obywatelom Ukrainy </t>
  </si>
  <si>
    <t>na zadania z zakresu adm. rządowej w zakresie pomocy obywatelom Ukrainy</t>
  </si>
  <si>
    <t>na zadania własne w zakresie pomocy obywatelom Ukrainy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</si>
</sst>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#,##0.0"/>
    <numFmt numFmtId="165" formatCode="dd/mm/yy\ h:mm;@"/>
  </numFmts>
  <fonts count="38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.5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charset val="238"/>
    </font>
    <font>
      <sz val="14"/>
      <name val="Arial"/>
      <family val="2"/>
      <charset val="238"/>
    </font>
    <font>
      <b/>
      <sz val="7"/>
      <color indexed="8"/>
      <name val="Arial"/>
      <family val="2"/>
      <charset val="238"/>
    </font>
    <font>
      <sz val="7"/>
      <color indexed="8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rgb="FF242424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2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3" borderId="0" applyNumberFormat="0" applyBorder="0" applyAlignment="0" applyProtection="0"/>
    <xf numFmtId="0" fontId="12" fillId="8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3" fillId="10" borderId="0" applyNumberFormat="0" applyBorder="0" applyAlignment="0" applyProtection="0"/>
    <xf numFmtId="0" fontId="13" fillId="3" borderId="0" applyNumberFormat="0" applyBorder="0" applyAlignment="0" applyProtection="0"/>
    <xf numFmtId="0" fontId="13" fillId="8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6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5" fillId="16" borderId="1" applyNumberFormat="0" applyAlignment="0" applyProtection="0"/>
    <xf numFmtId="0" fontId="16" fillId="17" borderId="2" applyNumberForma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18" borderId="0" applyNumberFormat="0" applyBorder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22" fillId="6" borderId="1" applyNumberFormat="0" applyAlignment="0" applyProtection="0"/>
    <xf numFmtId="0" fontId="23" fillId="0" borderId="7" applyNumberFormat="0" applyFill="0" applyAlignment="0" applyProtection="0"/>
    <xf numFmtId="0" fontId="24" fillId="8" borderId="0" applyNumberFormat="0" applyBorder="0" applyAlignment="0" applyProtection="0"/>
    <xf numFmtId="0" fontId="35" fillId="0" borderId="0"/>
    <xf numFmtId="0" fontId="35" fillId="0" borderId="0"/>
    <xf numFmtId="0" fontId="1" fillId="4" borderId="8" applyNumberFormat="0" applyFont="0" applyAlignment="0" applyProtection="0"/>
    <xf numFmtId="0" fontId="29" fillId="4" borderId="8" applyNumberFormat="0" applyFont="0" applyAlignment="0" applyProtection="0"/>
    <xf numFmtId="0" fontId="25" fillId="16" borderId="3" applyNumberFormat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</cellStyleXfs>
  <cellXfs count="129">
    <xf numFmtId="0" fontId="0" fillId="0" borderId="0" xfId="0"/>
    <xf numFmtId="164" fontId="5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 wrapText="1"/>
    </xf>
    <xf numFmtId="0" fontId="4" fillId="19" borderId="10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10" xfId="0" applyFont="1" applyFill="1" applyBorder="1" applyAlignment="1">
      <alignment horizontal="left" vertical="center" wrapText="1" indent="2"/>
    </xf>
    <xf numFmtId="0" fontId="6" fillId="19" borderId="10" xfId="0" applyNumberFormat="1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/>
    </xf>
    <xf numFmtId="0" fontId="10" fillId="19" borderId="10" xfId="0" applyFont="1" applyFill="1" applyBorder="1" applyAlignment="1">
      <alignment horizontal="center" vertical="center" wrapText="1"/>
    </xf>
    <xf numFmtId="0" fontId="6" fillId="19" borderId="1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64" fontId="31" fillId="21" borderId="10" xfId="0" applyNumberFormat="1" applyFont="1" applyFill="1" applyBorder="1" applyAlignment="1">
      <alignment horizontal="center" vertical="center"/>
    </xf>
    <xf numFmtId="4" fontId="32" fillId="0" borderId="10" xfId="0" applyNumberFormat="1" applyFont="1" applyBorder="1" applyAlignment="1">
      <alignment horizontal="center" vertical="center"/>
    </xf>
    <xf numFmtId="164" fontId="32" fillId="0" borderId="10" xfId="0" applyNumberFormat="1" applyFont="1" applyFill="1" applyBorder="1" applyAlignment="1">
      <alignment horizontal="center" vertical="center"/>
    </xf>
    <xf numFmtId="4" fontId="32" fillId="0" borderId="10" xfId="0" applyNumberFormat="1" applyFont="1" applyFill="1" applyBorder="1" applyAlignment="1">
      <alignment horizontal="center" vertical="center"/>
    </xf>
    <xf numFmtId="4" fontId="32" fillId="21" borderId="10" xfId="0" applyNumberFormat="1" applyFont="1" applyFill="1" applyBorder="1" applyAlignment="1">
      <alignment horizontal="center" vertical="center"/>
    </xf>
    <xf numFmtId="164" fontId="32" fillId="0" borderId="0" xfId="0" applyNumberFormat="1" applyFont="1" applyFill="1" applyBorder="1" applyAlignment="1">
      <alignment horizontal="center" vertical="center"/>
    </xf>
    <xf numFmtId="164" fontId="33" fillId="0" borderId="0" xfId="0" applyNumberFormat="1" applyFont="1" applyAlignment="1">
      <alignment horizontal="center" vertical="center"/>
    </xf>
    <xf numFmtId="164" fontId="32" fillId="20" borderId="10" xfId="0" applyNumberFormat="1" applyFont="1" applyFill="1" applyBorder="1" applyAlignment="1">
      <alignment horizontal="center" vertical="center"/>
    </xf>
    <xf numFmtId="4" fontId="32" fillId="22" borderId="10" xfId="0" applyNumberFormat="1" applyFont="1" applyFill="1" applyBorder="1" applyAlignment="1">
      <alignment horizontal="center" vertical="center"/>
    </xf>
    <xf numFmtId="164" fontId="32" fillId="22" borderId="1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164" fontId="33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4" fontId="32" fillId="0" borderId="0" xfId="0" applyNumberFormat="1" applyFont="1" applyFill="1" applyBorder="1" applyAlignment="1">
      <alignment horizontal="center" vertical="center"/>
    </xf>
    <xf numFmtId="164" fontId="33" fillId="0" borderId="0" xfId="0" applyNumberFormat="1" applyFont="1" applyFill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/>
    </xf>
    <xf numFmtId="0" fontId="2" fillId="0" borderId="0" xfId="0" applyFont="1" applyBorder="1" applyAlignment="1">
      <alignment horizontal="center"/>
    </xf>
    <xf numFmtId="164" fontId="34" fillId="21" borderId="10" xfId="0" applyNumberFormat="1" applyFont="1" applyFill="1" applyBorder="1" applyAlignment="1">
      <alignment horizontal="center" vertical="center"/>
    </xf>
    <xf numFmtId="4" fontId="33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3" fontId="31" fillId="0" borderId="0" xfId="0" applyNumberFormat="1" applyFont="1" applyBorder="1" applyAlignment="1">
      <alignment horizontal="center" vertical="center"/>
    </xf>
    <xf numFmtId="164" fontId="33" fillId="0" borderId="0" xfId="0" applyNumberFormat="1" applyFont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 applyBorder="1" applyAlignment="1">
      <alignment horizontal="center"/>
    </xf>
    <xf numFmtId="164" fontId="34" fillId="0" borderId="10" xfId="0" applyNumberFormat="1" applyFont="1" applyFill="1" applyBorder="1" applyAlignment="1">
      <alignment horizontal="center" vertical="center"/>
    </xf>
    <xf numFmtId="164" fontId="34" fillId="20" borderId="10" xfId="28" applyNumberFormat="1" applyFont="1" applyFill="1" applyBorder="1" applyAlignment="1">
      <alignment horizontal="center" vertical="center"/>
    </xf>
    <xf numFmtId="164" fontId="34" fillId="22" borderId="10" xfId="28" applyNumberFormat="1" applyFont="1" applyFill="1" applyBorder="1" applyAlignment="1">
      <alignment horizontal="center" vertical="center"/>
    </xf>
    <xf numFmtId="164" fontId="34" fillId="22" borderId="10" xfId="0" applyNumberFormat="1" applyFont="1" applyFill="1" applyBorder="1" applyAlignment="1">
      <alignment horizontal="center" vertical="center"/>
    </xf>
    <xf numFmtId="164" fontId="34" fillId="0" borderId="10" xfId="28" applyNumberFormat="1" applyFont="1" applyFill="1" applyBorder="1" applyAlignment="1">
      <alignment horizontal="center" vertical="center"/>
    </xf>
    <xf numFmtId="164" fontId="34" fillId="21" borderId="10" xfId="28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/>
    </xf>
    <xf numFmtId="0" fontId="6" fillId="19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4" fontId="34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4" fontId="31" fillId="0" borderId="0" xfId="0" applyNumberFormat="1" applyFont="1" applyFill="1" applyBorder="1" applyAlignment="1">
      <alignment horizontal="center" vertical="center" wrapText="1"/>
    </xf>
    <xf numFmtId="4" fontId="32" fillId="0" borderId="0" xfId="0" applyNumberFormat="1" applyFont="1" applyFill="1" applyBorder="1" applyAlignment="1">
      <alignment horizontal="center" vertical="center" wrapText="1"/>
    </xf>
    <xf numFmtId="3" fontId="31" fillId="0" borderId="14" xfId="0" applyNumberFormat="1" applyFont="1" applyBorder="1" applyAlignment="1">
      <alignment horizontal="center" vertical="center"/>
    </xf>
    <xf numFmtId="164" fontId="33" fillId="0" borderId="14" xfId="0" applyNumberFormat="1" applyFont="1" applyBorder="1" applyAlignment="1">
      <alignment horizontal="center"/>
    </xf>
    <xf numFmtId="0" fontId="33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4" fontId="31" fillId="0" borderId="12" xfId="0" applyNumberFormat="1" applyFont="1" applyFill="1" applyBorder="1" applyAlignment="1">
      <alignment horizontal="center" vertical="center" wrapText="1"/>
    </xf>
    <xf numFmtId="164" fontId="34" fillId="0" borderId="11" xfId="0" applyNumberFormat="1" applyFont="1" applyFill="1" applyBorder="1" applyAlignment="1">
      <alignment horizontal="center" vertical="center"/>
    </xf>
    <xf numFmtId="0" fontId="10" fillId="20" borderId="10" xfId="0" applyFont="1" applyFill="1" applyBorder="1" applyAlignment="1">
      <alignment horizontal="left" vertical="center" wrapText="1"/>
    </xf>
    <xf numFmtId="0" fontId="36" fillId="0" borderId="10" xfId="41" applyFont="1" applyFill="1" applyBorder="1" applyAlignment="1">
      <alignment horizontal="left" vertical="center" wrapText="1"/>
    </xf>
    <xf numFmtId="0" fontId="7" fillId="21" borderId="10" xfId="0" applyFont="1" applyFill="1" applyBorder="1" applyAlignment="1">
      <alignment horizontal="left" vertical="center" wrapText="1"/>
    </xf>
    <xf numFmtId="0" fontId="10" fillId="21" borderId="10" xfId="0" applyFont="1" applyFill="1" applyBorder="1" applyAlignment="1">
      <alignment horizontal="left" vertical="center" wrapText="1"/>
    </xf>
    <xf numFmtId="4" fontId="31" fillId="21" borderId="10" xfId="0" applyNumberFormat="1" applyFont="1" applyFill="1" applyBorder="1" applyAlignment="1">
      <alignment horizontal="right" vertical="center"/>
    </xf>
    <xf numFmtId="4" fontId="32" fillId="0" borderId="10" xfId="0" applyNumberFormat="1" applyFont="1" applyBorder="1" applyAlignment="1">
      <alignment horizontal="right" vertical="center"/>
    </xf>
    <xf numFmtId="4" fontId="32" fillId="0" borderId="10" xfId="0" applyNumberFormat="1" applyFont="1" applyFill="1" applyBorder="1" applyAlignment="1">
      <alignment horizontal="right" vertical="center"/>
    </xf>
    <xf numFmtId="4" fontId="33" fillId="0" borderId="10" xfId="0" applyNumberFormat="1" applyFont="1" applyFill="1" applyBorder="1" applyAlignment="1">
      <alignment horizontal="right" vertical="center"/>
    </xf>
    <xf numFmtId="4" fontId="33" fillId="0" borderId="10" xfId="0" applyNumberFormat="1" applyFont="1" applyBorder="1" applyAlignment="1">
      <alignment horizontal="right" vertical="center"/>
    </xf>
    <xf numFmtId="4" fontId="32" fillId="22" borderId="10" xfId="0" applyNumberFormat="1" applyFont="1" applyFill="1" applyBorder="1" applyAlignment="1">
      <alignment horizontal="right" vertical="center"/>
    </xf>
    <xf numFmtId="4" fontId="32" fillId="21" borderId="10" xfId="0" applyNumberFormat="1" applyFont="1" applyFill="1" applyBorder="1" applyAlignment="1">
      <alignment horizontal="right" vertical="center"/>
    </xf>
    <xf numFmtId="4" fontId="34" fillId="21" borderId="10" xfId="0" applyNumberFormat="1" applyFont="1" applyFill="1" applyBorder="1" applyAlignment="1">
      <alignment horizontal="right" vertical="center"/>
    </xf>
    <xf numFmtId="4" fontId="31" fillId="21" borderId="10" xfId="0" applyNumberFormat="1" applyFont="1" applyFill="1" applyBorder="1" applyAlignment="1">
      <alignment horizontal="right" vertical="center" wrapText="1"/>
    </xf>
    <xf numFmtId="4" fontId="32" fillId="0" borderId="10" xfId="0" applyNumberFormat="1" applyFont="1" applyFill="1" applyBorder="1" applyAlignment="1">
      <alignment horizontal="right" vertical="center" wrapText="1"/>
    </xf>
    <xf numFmtId="4" fontId="32" fillId="0" borderId="13" xfId="0" applyNumberFormat="1" applyFont="1" applyFill="1" applyBorder="1" applyAlignment="1">
      <alignment horizontal="right" vertical="center" wrapText="1"/>
    </xf>
    <xf numFmtId="4" fontId="32" fillId="21" borderId="15" xfId="0" applyNumberFormat="1" applyFont="1" applyFill="1" applyBorder="1" applyAlignment="1">
      <alignment horizontal="right" vertical="center" wrapText="1"/>
    </xf>
    <xf numFmtId="4" fontId="32" fillId="21" borderId="11" xfId="0" applyNumberFormat="1" applyFont="1" applyFill="1" applyBorder="1" applyAlignment="1">
      <alignment horizontal="right" vertical="center" wrapText="1"/>
    </xf>
    <xf numFmtId="4" fontId="32" fillId="0" borderId="16" xfId="0" applyNumberFormat="1" applyFont="1" applyFill="1" applyBorder="1" applyAlignment="1">
      <alignment horizontal="right" vertical="center" wrapText="1"/>
    </xf>
    <xf numFmtId="4" fontId="34" fillId="20" borderId="13" xfId="0" applyNumberFormat="1" applyFont="1" applyFill="1" applyBorder="1" applyAlignment="1">
      <alignment horizontal="right" vertical="center"/>
    </xf>
    <xf numFmtId="4" fontId="33" fillId="0" borderId="13" xfId="0" applyNumberFormat="1" applyFont="1" applyBorder="1" applyAlignment="1">
      <alignment horizontal="right" vertical="center"/>
    </xf>
    <xf numFmtId="4" fontId="33" fillId="0" borderId="13" xfId="0" applyNumberFormat="1" applyFont="1" applyFill="1" applyBorder="1" applyAlignment="1">
      <alignment horizontal="right" vertical="center"/>
    </xf>
    <xf numFmtId="4" fontId="34" fillId="21" borderId="13" xfId="0" applyNumberFormat="1" applyFont="1" applyFill="1" applyBorder="1" applyAlignment="1">
      <alignment horizontal="right" vertical="center"/>
    </xf>
    <xf numFmtId="0" fontId="6" fillId="0" borderId="17" xfId="0" applyFont="1" applyBorder="1" applyAlignment="1">
      <alignment horizontal="center"/>
    </xf>
    <xf numFmtId="165" fontId="6" fillId="0" borderId="11" xfId="0" applyNumberFormat="1" applyFont="1" applyBorder="1" applyAlignment="1">
      <alignment horizontal="center"/>
    </xf>
    <xf numFmtId="0" fontId="30" fillId="0" borderId="0" xfId="0" applyFont="1" applyAlignment="1">
      <alignment vertical="center"/>
    </xf>
    <xf numFmtId="0" fontId="7" fillId="21" borderId="10" xfId="0" applyFont="1" applyFill="1" applyBorder="1" applyAlignment="1">
      <alignment horizontal="left" vertical="center" wrapText="1" indent="1"/>
    </xf>
    <xf numFmtId="0" fontId="4" fillId="0" borderId="10" xfId="0" applyFont="1" applyBorder="1" applyAlignment="1">
      <alignment horizontal="left" vertical="center" wrapText="1" indent="2"/>
    </xf>
    <xf numFmtId="0" fontId="7" fillId="21" borderId="10" xfId="0" applyFont="1" applyFill="1" applyBorder="1" applyAlignment="1">
      <alignment horizontal="left" vertical="center" wrapText="1" indent="2"/>
    </xf>
    <xf numFmtId="0" fontId="7" fillId="20" borderId="10" xfId="0" quotePrefix="1" applyFont="1" applyFill="1" applyBorder="1" applyAlignment="1">
      <alignment horizontal="left" vertical="center" wrapText="1" indent="2"/>
    </xf>
    <xf numFmtId="0" fontId="7" fillId="21" borderId="10" xfId="0" quotePrefix="1" applyFont="1" applyFill="1" applyBorder="1" applyAlignment="1">
      <alignment horizontal="left" vertical="center" wrapText="1" indent="2"/>
    </xf>
    <xf numFmtId="0" fontId="4" fillId="0" borderId="10" xfId="0" applyFont="1" applyFill="1" applyBorder="1" applyAlignment="1">
      <alignment horizontal="left" vertical="center" wrapText="1" indent="3"/>
    </xf>
    <xf numFmtId="0" fontId="4" fillId="22" borderId="10" xfId="0" applyFont="1" applyFill="1" applyBorder="1" applyAlignment="1">
      <alignment horizontal="left" vertical="center" wrapText="1" indent="3"/>
    </xf>
    <xf numFmtId="0" fontId="4" fillId="0" borderId="10" xfId="0" applyFont="1" applyFill="1" applyBorder="1" applyAlignment="1">
      <alignment horizontal="left" vertical="center" wrapText="1" indent="4"/>
    </xf>
    <xf numFmtId="0" fontId="7" fillId="21" borderId="10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top" wrapText="1" indent="1"/>
    </xf>
    <xf numFmtId="0" fontId="6" fillId="0" borderId="10" xfId="0" applyFont="1" applyFill="1" applyBorder="1" applyAlignment="1">
      <alignment horizontal="left" vertical="top" wrapText="1" indent="1"/>
    </xf>
    <xf numFmtId="0" fontId="6" fillId="0" borderId="10" xfId="0" applyFont="1" applyFill="1" applyBorder="1" applyAlignment="1">
      <alignment horizontal="left" vertical="top" wrapText="1" indent="2"/>
    </xf>
    <xf numFmtId="0" fontId="7" fillId="0" borderId="10" xfId="0" applyFont="1" applyFill="1" applyBorder="1" applyAlignment="1">
      <alignment horizontal="right" vertical="center" wrapText="1"/>
    </xf>
    <xf numFmtId="0" fontId="7" fillId="0" borderId="10" xfId="0" applyFont="1" applyFill="1" applyBorder="1" applyAlignment="1">
      <alignment horizontal="right" vertical="center"/>
    </xf>
    <xf numFmtId="0" fontId="10" fillId="0" borderId="10" xfId="0" applyFont="1" applyFill="1" applyBorder="1" applyAlignment="1">
      <alignment horizontal="right"/>
    </xf>
    <xf numFmtId="0" fontId="36" fillId="0" borderId="10" xfId="41" applyFont="1" applyFill="1" applyBorder="1" applyAlignment="1">
      <alignment horizontal="left" vertical="center" wrapText="1" indent="1"/>
    </xf>
    <xf numFmtId="0" fontId="10" fillId="0" borderId="14" xfId="41" applyFont="1" applyFill="1" applyBorder="1" applyAlignment="1">
      <alignment horizontal="left" vertical="center"/>
    </xf>
    <xf numFmtId="0" fontId="37" fillId="0" borderId="0" xfId="0" applyFont="1"/>
    <xf numFmtId="0" fontId="37" fillId="0" borderId="0" xfId="0" applyFont="1"/>
    <xf numFmtId="0" fontId="6" fillId="19" borderId="10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7" fillId="19" borderId="10" xfId="0" applyFont="1" applyFill="1" applyBorder="1" applyAlignment="1">
      <alignment horizontal="center" vertical="center"/>
    </xf>
    <xf numFmtId="0" fontId="11" fillId="19" borderId="10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 wrapText="1"/>
    </xf>
    <xf numFmtId="0" fontId="6" fillId="19" borderId="13" xfId="0" applyFont="1" applyFill="1" applyBorder="1" applyAlignment="1">
      <alignment horizontal="center" vertical="center" wrapText="1"/>
    </xf>
    <xf numFmtId="0" fontId="6" fillId="19" borderId="17" xfId="0" applyFont="1" applyFill="1" applyBorder="1" applyAlignment="1">
      <alignment horizontal="center" vertical="center" wrapText="1"/>
    </xf>
    <xf numFmtId="0" fontId="6" fillId="19" borderId="18" xfId="0" applyFont="1" applyFill="1" applyBorder="1" applyAlignment="1">
      <alignment horizontal="center" vertical="center" wrapText="1"/>
    </xf>
    <xf numFmtId="0" fontId="6" fillId="19" borderId="11" xfId="0" applyFont="1" applyFill="1" applyBorder="1" applyAlignment="1">
      <alignment horizontal="center" vertical="center" wrapText="1"/>
    </xf>
    <xf numFmtId="0" fontId="4" fillId="19" borderId="13" xfId="0" applyFont="1" applyFill="1" applyBorder="1" applyAlignment="1">
      <alignment horizontal="center" vertical="center"/>
    </xf>
    <xf numFmtId="0" fontId="4" fillId="19" borderId="19" xfId="0" applyFont="1" applyFill="1" applyBorder="1" applyAlignment="1">
      <alignment horizontal="center" vertical="center"/>
    </xf>
    <xf numFmtId="0" fontId="4" fillId="19" borderId="16" xfId="0" applyFont="1" applyFill="1" applyBorder="1" applyAlignment="1">
      <alignment horizontal="center" vertical="center"/>
    </xf>
    <xf numFmtId="0" fontId="6" fillId="19" borderId="16" xfId="0" applyFont="1" applyFill="1" applyBorder="1" applyAlignment="1">
      <alignment horizontal="center" vertical="center" wrapText="1"/>
    </xf>
    <xf numFmtId="0" fontId="6" fillId="19" borderId="13" xfId="0" applyNumberFormat="1" applyFont="1" applyFill="1" applyBorder="1" applyAlignment="1">
      <alignment horizontal="center" vertical="center" wrapText="1"/>
    </xf>
    <xf numFmtId="0" fontId="6" fillId="19" borderId="16" xfId="0" applyNumberFormat="1" applyFont="1" applyFill="1" applyBorder="1" applyAlignment="1">
      <alignment horizontal="center" vertical="center" wrapText="1"/>
    </xf>
    <xf numFmtId="0" fontId="6" fillId="19" borderId="13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4" fillId="19" borderId="10" xfId="0" applyFont="1" applyFill="1" applyBorder="1" applyAlignment="1">
      <alignment horizontal="center" vertical="center"/>
    </xf>
    <xf numFmtId="165" fontId="6" fillId="0" borderId="13" xfId="0" applyNumberFormat="1" applyFont="1" applyBorder="1" applyAlignment="1">
      <alignment horizontal="center"/>
    </xf>
    <xf numFmtId="165" fontId="6" fillId="0" borderId="16" xfId="0" applyNumberFormat="1" applyFont="1" applyBorder="1" applyAlignment="1">
      <alignment horizontal="center"/>
    </xf>
    <xf numFmtId="0" fontId="6" fillId="19" borderId="16" xfId="0" applyFont="1" applyFill="1" applyBorder="1" applyAlignment="1">
      <alignment horizontal="center" vertical="center"/>
    </xf>
    <xf numFmtId="4" fontId="31" fillId="0" borderId="0" xfId="0" applyNumberFormat="1" applyFont="1" applyFill="1" applyBorder="1" applyAlignment="1">
      <alignment horizontal="center" vertical="center" wrapText="1"/>
    </xf>
  </cellXfs>
  <cellStyles count="4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Dziesiętny 2" xfId="28"/>
    <cellStyle name="Dziesiętny 2 2" xfId="29"/>
    <cellStyle name="Dziesiętny 3" xfId="30"/>
    <cellStyle name="Dziesiętny 3 2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rmalny" xfId="0" builtinId="0"/>
    <cellStyle name="Normalny 2" xfId="41"/>
    <cellStyle name="Normalny 2 2" xfId="42"/>
    <cellStyle name="Note" xfId="43"/>
    <cellStyle name="Note 2" xfId="44"/>
    <cellStyle name="Output" xfId="45"/>
    <cellStyle name="Title" xfId="46"/>
    <cellStyle name="Total" xfId="47"/>
    <cellStyle name="Warning Text" xfId="4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outlinePr summaryBelow="0"/>
  </sheetPr>
  <dimension ref="A1:Z136"/>
  <sheetViews>
    <sheetView tabSelected="1" topLeftCell="B1" zoomScaleNormal="100" workbookViewId="0">
      <selection activeCell="B2" sqref="B2:B3"/>
    </sheetView>
  </sheetViews>
  <sheetFormatPr defaultRowHeight="12.75" outlineLevelRow="1" outlineLevelCol="1" x14ac:dyDescent="0.2"/>
  <cols>
    <col min="1" max="1" width="5.7109375" style="15" hidden="1" customWidth="1"/>
    <col min="2" max="2" width="30.7109375" style="15" customWidth="1"/>
    <col min="3" max="4" width="14.5703125" style="15" customWidth="1"/>
    <col min="5" max="5" width="14.5703125" style="15" customWidth="1" outlineLevel="1"/>
    <col min="6" max="6" width="13.85546875" style="15" customWidth="1" outlineLevel="1"/>
    <col min="7" max="7" width="13" style="15" customWidth="1" outlineLevel="1"/>
    <col min="8" max="9" width="12.28515625" style="15" customWidth="1" outlineLevel="1"/>
    <col min="10" max="10" width="13" style="15" customWidth="1"/>
    <col min="11" max="11" width="7.42578125" style="15" customWidth="1"/>
    <col min="12" max="12" width="8.85546875" style="15" customWidth="1"/>
    <col min="13" max="13" width="8.140625" style="15" customWidth="1"/>
    <col min="14" max="16384" width="9.140625" style="15"/>
  </cols>
  <sheetData>
    <row r="1" spans="2:13" ht="27.75" customHeight="1" x14ac:dyDescent="0.2">
      <c r="B1" s="87" t="str">
        <f>CONCATENATE("Informacja z wykonania budżetów miast na prawach powiatu za ",$D$133," ",$C$134," rok    ",$C$136,"")</f>
        <v xml:space="preserve">Informacja z wykonania budżetów miast na prawach powiatu za IV Kwartały 2022 rok    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2:13" ht="63" customHeight="1" x14ac:dyDescent="0.2">
      <c r="B2" s="109" t="s">
        <v>0</v>
      </c>
      <c r="C2" s="5" t="s">
        <v>29</v>
      </c>
      <c r="D2" s="5" t="s">
        <v>30</v>
      </c>
      <c r="E2" s="5" t="s">
        <v>31</v>
      </c>
      <c r="F2" s="5" t="s">
        <v>32</v>
      </c>
      <c r="G2" s="5" t="s">
        <v>33</v>
      </c>
      <c r="H2" s="5" t="s">
        <v>34</v>
      </c>
      <c r="I2" s="5" t="s">
        <v>35</v>
      </c>
      <c r="J2" s="6" t="s">
        <v>2</v>
      </c>
      <c r="K2" s="5" t="s">
        <v>16</v>
      </c>
      <c r="L2" s="5" t="s">
        <v>3</v>
      </c>
    </row>
    <row r="3" spans="2:13" x14ac:dyDescent="0.2">
      <c r="B3" s="109"/>
      <c r="C3" s="116" t="s">
        <v>79</v>
      </c>
      <c r="D3" s="117"/>
      <c r="E3" s="117"/>
      <c r="F3" s="117"/>
      <c r="G3" s="117"/>
      <c r="H3" s="117"/>
      <c r="I3" s="118"/>
      <c r="J3" s="124" t="s">
        <v>4</v>
      </c>
      <c r="K3" s="124"/>
      <c r="L3" s="124"/>
    </row>
    <row r="4" spans="2:13" x14ac:dyDescent="0.2">
      <c r="B4" s="6">
        <v>1</v>
      </c>
      <c r="C4" s="8">
        <v>2</v>
      </c>
      <c r="D4" s="8">
        <v>3</v>
      </c>
      <c r="E4" s="8">
        <v>4</v>
      </c>
      <c r="F4" s="8">
        <v>5</v>
      </c>
      <c r="G4" s="8">
        <v>6</v>
      </c>
      <c r="H4" s="8">
        <v>7</v>
      </c>
      <c r="I4" s="8">
        <v>8</v>
      </c>
      <c r="J4" s="8">
        <v>9</v>
      </c>
      <c r="K4" s="8">
        <v>10</v>
      </c>
      <c r="L4" s="8">
        <v>11</v>
      </c>
    </row>
    <row r="5" spans="2:13" ht="12.95" customHeight="1" x14ac:dyDescent="0.2">
      <c r="B5" s="65" t="s">
        <v>5</v>
      </c>
      <c r="C5" s="67">
        <f>111176400206.36</f>
        <v>111176400206.36</v>
      </c>
      <c r="D5" s="67">
        <f>110196309613.51</f>
        <v>110196309613.50999</v>
      </c>
      <c r="E5" s="67">
        <f>530508047.67</f>
        <v>530508047.67000002</v>
      </c>
      <c r="F5" s="67">
        <f>137750597.5</f>
        <v>137750597.5</v>
      </c>
      <c r="G5" s="67">
        <f>29774137.13</f>
        <v>29774137.129999999</v>
      </c>
      <c r="H5" s="67">
        <f>75889359.59</f>
        <v>75889359.590000004</v>
      </c>
      <c r="I5" s="67">
        <f>2560577.77</f>
        <v>2560577.77</v>
      </c>
      <c r="J5" s="16">
        <f t="shared" ref="J5:J73" si="0">IF($D$5=0,"",100*$D5/$D$5)</f>
        <v>100</v>
      </c>
      <c r="K5" s="16">
        <f t="shared" ref="K5:K49" si="1">IF(C5=0,"",100*D5/C5)</f>
        <v>99.11843647479968</v>
      </c>
      <c r="L5" s="16"/>
    </row>
    <row r="6" spans="2:13" ht="25.5" customHeight="1" x14ac:dyDescent="0.2">
      <c r="B6" s="88" t="s">
        <v>58</v>
      </c>
      <c r="C6" s="67">
        <f>C5-C23-C60</f>
        <v>65720078582.200012</v>
      </c>
      <c r="D6" s="67">
        <f>D5-D23-D60</f>
        <v>66440674727.389984</v>
      </c>
      <c r="E6" s="67">
        <f>E5</f>
        <v>530508047.67000002</v>
      </c>
      <c r="F6" s="67">
        <f>F5</f>
        <v>137750597.5</v>
      </c>
      <c r="G6" s="67">
        <f>G5</f>
        <v>29774137.129999999</v>
      </c>
      <c r="H6" s="67">
        <f>H5</f>
        <v>75889359.590000004</v>
      </c>
      <c r="I6" s="67">
        <f>I5</f>
        <v>2560577.77</v>
      </c>
      <c r="J6" s="16">
        <f t="shared" si="0"/>
        <v>60.293012497801833</v>
      </c>
      <c r="K6" s="16">
        <f t="shared" si="1"/>
        <v>101.09646269562607</v>
      </c>
      <c r="L6" s="16">
        <f t="shared" ref="L6:L22" si="2">IF($D$6=0,"",100*$D6/$D$6)</f>
        <v>100</v>
      </c>
    </row>
    <row r="7" spans="2:13" ht="33.75" outlineLevel="1" x14ac:dyDescent="0.2">
      <c r="B7" s="89" t="s">
        <v>59</v>
      </c>
      <c r="C7" s="68">
        <f>2929560892</f>
        <v>2929560892</v>
      </c>
      <c r="D7" s="68">
        <f>2926546566.76</f>
        <v>2926546566.7600002</v>
      </c>
      <c r="E7" s="68">
        <f>0</f>
        <v>0</v>
      </c>
      <c r="F7" s="68">
        <f>0</f>
        <v>0</v>
      </c>
      <c r="G7" s="68">
        <f>0</f>
        <v>0</v>
      </c>
      <c r="H7" s="68">
        <f>0</f>
        <v>0</v>
      </c>
      <c r="I7" s="68">
        <f>0</f>
        <v>0</v>
      </c>
      <c r="J7" s="18">
        <f t="shared" si="0"/>
        <v>2.6557573271049062</v>
      </c>
      <c r="K7" s="18">
        <f t="shared" si="1"/>
        <v>99.897106585214473</v>
      </c>
      <c r="L7" s="18">
        <f t="shared" si="2"/>
        <v>4.4047514248881328</v>
      </c>
    </row>
    <row r="8" spans="2:13" ht="33.75" outlineLevel="1" x14ac:dyDescent="0.2">
      <c r="B8" s="10" t="s">
        <v>60</v>
      </c>
      <c r="C8" s="69">
        <f>613979714</f>
        <v>613979714</v>
      </c>
      <c r="D8" s="69">
        <f>613350789.77</f>
        <v>613350789.76999998</v>
      </c>
      <c r="E8" s="69">
        <f>0</f>
        <v>0</v>
      </c>
      <c r="F8" s="69">
        <f>0</f>
        <v>0</v>
      </c>
      <c r="G8" s="69">
        <f>0</f>
        <v>0</v>
      </c>
      <c r="H8" s="69">
        <f>0</f>
        <v>0</v>
      </c>
      <c r="I8" s="69">
        <f>0</f>
        <v>0</v>
      </c>
      <c r="J8" s="18">
        <f t="shared" si="0"/>
        <v>0.55659830344700001</v>
      </c>
      <c r="K8" s="18">
        <f t="shared" si="1"/>
        <v>99.897565959320929</v>
      </c>
      <c r="L8" s="18">
        <f t="shared" si="2"/>
        <v>0.9231555704191966</v>
      </c>
    </row>
    <row r="9" spans="2:13" ht="33.75" outlineLevel="1" x14ac:dyDescent="0.2">
      <c r="B9" s="10" t="s">
        <v>61</v>
      </c>
      <c r="C9" s="69">
        <f>20953018533.7</f>
        <v>20953018533.700001</v>
      </c>
      <c r="D9" s="69">
        <f>21298254548.29</f>
        <v>21298254548.290001</v>
      </c>
      <c r="E9" s="69">
        <f>0</f>
        <v>0</v>
      </c>
      <c r="F9" s="69">
        <f>0</f>
        <v>0</v>
      </c>
      <c r="G9" s="69">
        <f>0</f>
        <v>0</v>
      </c>
      <c r="H9" s="69">
        <f>0</f>
        <v>0</v>
      </c>
      <c r="I9" s="69">
        <f>0</f>
        <v>0</v>
      </c>
      <c r="J9" s="18">
        <f t="shared" si="0"/>
        <v>19.327556996227074</v>
      </c>
      <c r="K9" s="18">
        <f t="shared" si="1"/>
        <v>101.64766720381951</v>
      </c>
      <c r="L9" s="18">
        <f t="shared" si="2"/>
        <v>32.056047949058311</v>
      </c>
    </row>
    <row r="10" spans="2:13" ht="33.75" outlineLevel="1" x14ac:dyDescent="0.2">
      <c r="B10" s="10" t="s">
        <v>62</v>
      </c>
      <c r="C10" s="69">
        <f>5764488358.17</f>
        <v>5764488358.1700001</v>
      </c>
      <c r="D10" s="69">
        <f>5853267115.1</f>
        <v>5853267115.1000004</v>
      </c>
      <c r="E10" s="69">
        <f>0</f>
        <v>0</v>
      </c>
      <c r="F10" s="69">
        <f>0</f>
        <v>0</v>
      </c>
      <c r="G10" s="69">
        <f>0</f>
        <v>0</v>
      </c>
      <c r="H10" s="69">
        <f>0</f>
        <v>0</v>
      </c>
      <c r="I10" s="69">
        <f>0</f>
        <v>0</v>
      </c>
      <c r="J10" s="18">
        <f t="shared" si="0"/>
        <v>5.3116725375187999</v>
      </c>
      <c r="K10" s="18">
        <f t="shared" si="1"/>
        <v>101.54009777475176</v>
      </c>
      <c r="L10" s="18">
        <f t="shared" si="2"/>
        <v>8.8097647098201524</v>
      </c>
    </row>
    <row r="11" spans="2:13" ht="12.95" customHeight="1" outlineLevel="1" x14ac:dyDescent="0.2">
      <c r="B11" s="10" t="s">
        <v>17</v>
      </c>
      <c r="C11" s="69">
        <f>23369271</f>
        <v>23369271</v>
      </c>
      <c r="D11" s="69">
        <f>23598617.71</f>
        <v>23598617.710000001</v>
      </c>
      <c r="E11" s="69">
        <f>549907.91</f>
        <v>549907.91</v>
      </c>
      <c r="F11" s="69">
        <f>7950.35</f>
        <v>7950.35</v>
      </c>
      <c r="G11" s="69">
        <f>17629.77</f>
        <v>17629.77</v>
      </c>
      <c r="H11" s="69">
        <f>50737.52</f>
        <v>50737.52</v>
      </c>
      <c r="I11" s="69">
        <f>0</f>
        <v>0</v>
      </c>
      <c r="J11" s="18">
        <f t="shared" si="0"/>
        <v>2.1415070788456628E-2</v>
      </c>
      <c r="K11" s="18">
        <f t="shared" si="1"/>
        <v>100.9814029286579</v>
      </c>
      <c r="L11" s="18">
        <f t="shared" si="2"/>
        <v>3.551832940713881E-2</v>
      </c>
    </row>
    <row r="12" spans="2:13" ht="12.95" customHeight="1" outlineLevel="1" x14ac:dyDescent="0.2">
      <c r="B12" s="10" t="s">
        <v>18</v>
      </c>
      <c r="C12" s="69">
        <f>10512528917.06</f>
        <v>10512528917.059999</v>
      </c>
      <c r="D12" s="70">
        <f>10609844594.63</f>
        <v>10609844594.629999</v>
      </c>
      <c r="E12" s="69">
        <f>192059521.48</f>
        <v>192059521.47999999</v>
      </c>
      <c r="F12" s="69">
        <f>124805340.19</f>
        <v>124805340.19</v>
      </c>
      <c r="G12" s="69">
        <f>23897863.4</f>
        <v>23897863.399999999</v>
      </c>
      <c r="H12" s="69">
        <f>58055246.95</f>
        <v>58055246.950000003</v>
      </c>
      <c r="I12" s="69">
        <f>1868303.7</f>
        <v>1868303.7</v>
      </c>
      <c r="J12" s="18">
        <f t="shared" si="0"/>
        <v>9.6281305897100928</v>
      </c>
      <c r="K12" s="18">
        <f t="shared" si="1"/>
        <v>100.92571139007354</v>
      </c>
      <c r="L12" s="18">
        <f t="shared" si="2"/>
        <v>15.968899530540318</v>
      </c>
    </row>
    <row r="13" spans="2:13" ht="12.95" customHeight="1" outlineLevel="1" x14ac:dyDescent="0.2">
      <c r="B13" s="10" t="s">
        <v>19</v>
      </c>
      <c r="C13" s="69">
        <f>4651606</f>
        <v>4651606</v>
      </c>
      <c r="D13" s="70">
        <f>4995972.96</f>
        <v>4995972.96</v>
      </c>
      <c r="E13" s="69">
        <f>0</f>
        <v>0</v>
      </c>
      <c r="F13" s="69">
        <f>28145.28</f>
        <v>28145.279999999999</v>
      </c>
      <c r="G13" s="69">
        <f>1484.33</f>
        <v>1484.33</v>
      </c>
      <c r="H13" s="69">
        <f>256.78</f>
        <v>256.77999999999997</v>
      </c>
      <c r="I13" s="69">
        <f>0</f>
        <v>0</v>
      </c>
      <c r="J13" s="18">
        <f t="shared" si="0"/>
        <v>4.5337026053978643E-3</v>
      </c>
      <c r="K13" s="18">
        <f t="shared" si="1"/>
        <v>107.40318419057849</v>
      </c>
      <c r="L13" s="18">
        <f t="shared" si="2"/>
        <v>7.519449464501636E-3</v>
      </c>
    </row>
    <row r="14" spans="2:13" ht="12.95" customHeight="1" outlineLevel="1" x14ac:dyDescent="0.2">
      <c r="B14" s="10" t="s">
        <v>20</v>
      </c>
      <c r="C14" s="69">
        <f>371250534</f>
        <v>371250534</v>
      </c>
      <c r="D14" s="70">
        <f>365807614.84</f>
        <v>365807614.83999997</v>
      </c>
      <c r="E14" s="69">
        <f>334444994.03</f>
        <v>334444994.02999997</v>
      </c>
      <c r="F14" s="69">
        <f>388078.75</f>
        <v>388078.75</v>
      </c>
      <c r="G14" s="69">
        <f>148311.88</f>
        <v>148311.88</v>
      </c>
      <c r="H14" s="69">
        <f>712442.64</f>
        <v>712442.64</v>
      </c>
      <c r="I14" s="69">
        <f>0</f>
        <v>0</v>
      </c>
      <c r="J14" s="18">
        <f t="shared" si="0"/>
        <v>0.33195995049470534</v>
      </c>
      <c r="K14" s="18">
        <f t="shared" si="1"/>
        <v>98.53389593777662</v>
      </c>
      <c r="L14" s="18">
        <f t="shared" si="2"/>
        <v>0.55057781448025667</v>
      </c>
    </row>
    <row r="15" spans="2:13" ht="33.75" outlineLevel="1" x14ac:dyDescent="0.2">
      <c r="B15" s="10" t="s">
        <v>37</v>
      </c>
      <c r="C15" s="69">
        <f>72794200</f>
        <v>72794200</v>
      </c>
      <c r="D15" s="70">
        <f>96521394.45</f>
        <v>96521394.450000003</v>
      </c>
      <c r="E15" s="69">
        <f>0</f>
        <v>0</v>
      </c>
      <c r="F15" s="69">
        <f>0</f>
        <v>0</v>
      </c>
      <c r="G15" s="69">
        <f>25210.53</f>
        <v>25210.53</v>
      </c>
      <c r="H15" s="69">
        <f>481105.41</f>
        <v>481105.41</v>
      </c>
      <c r="I15" s="69">
        <f>0</f>
        <v>0</v>
      </c>
      <c r="J15" s="18">
        <f t="shared" si="0"/>
        <v>8.75904055122428E-2</v>
      </c>
      <c r="K15" s="18">
        <f t="shared" si="1"/>
        <v>132.59489691486411</v>
      </c>
      <c r="L15" s="18">
        <f t="shared" si="2"/>
        <v>0.14527455485067392</v>
      </c>
    </row>
    <row r="16" spans="2:13" ht="12.95" customHeight="1" outlineLevel="1" x14ac:dyDescent="0.2">
      <c r="B16" s="10" t="s">
        <v>25</v>
      </c>
      <c r="C16" s="69">
        <f>220714089.62</f>
        <v>220714089.62</v>
      </c>
      <c r="D16" s="70">
        <f>293394886.1</f>
        <v>293394886.10000002</v>
      </c>
      <c r="E16" s="69">
        <f>0</f>
        <v>0</v>
      </c>
      <c r="F16" s="69">
        <f>0</f>
        <v>0</v>
      </c>
      <c r="G16" s="69">
        <f>1194420.9</f>
        <v>1194420.8999999999</v>
      </c>
      <c r="H16" s="69">
        <f>8528698.47</f>
        <v>8528698.4700000007</v>
      </c>
      <c r="I16" s="69">
        <f>0</f>
        <v>0</v>
      </c>
      <c r="J16" s="18">
        <f t="shared" si="0"/>
        <v>0.26624746974650959</v>
      </c>
      <c r="K16" s="18">
        <f t="shared" si="1"/>
        <v>132.9298399595302</v>
      </c>
      <c r="L16" s="18">
        <f t="shared" si="2"/>
        <v>0.44158926335985688</v>
      </c>
    </row>
    <row r="17" spans="2:12" ht="22.5" customHeight="1" outlineLevel="1" x14ac:dyDescent="0.2">
      <c r="B17" s="10" t="s">
        <v>26</v>
      </c>
      <c r="C17" s="69">
        <f>2033825775.44</f>
        <v>2033825775.4400001</v>
      </c>
      <c r="D17" s="70">
        <f>2206908914.23</f>
        <v>2206908914.23</v>
      </c>
      <c r="E17" s="69">
        <f>0</f>
        <v>0</v>
      </c>
      <c r="F17" s="69">
        <f>0</f>
        <v>0</v>
      </c>
      <c r="G17" s="69">
        <f>51901</f>
        <v>51901</v>
      </c>
      <c r="H17" s="69">
        <f>497416.83</f>
        <v>497416.83</v>
      </c>
      <c r="I17" s="69">
        <f>0</f>
        <v>0</v>
      </c>
      <c r="J17" s="18">
        <f t="shared" si="0"/>
        <v>2.002706734889999</v>
      </c>
      <c r="K17" s="18">
        <f t="shared" si="1"/>
        <v>108.51022446859072</v>
      </c>
      <c r="L17" s="18">
        <f t="shared" si="2"/>
        <v>3.3216232726188855</v>
      </c>
    </row>
    <row r="18" spans="2:12" ht="12.95" customHeight="1" outlineLevel="1" x14ac:dyDescent="0.2">
      <c r="B18" s="10" t="s">
        <v>51</v>
      </c>
      <c r="C18" s="69">
        <f>372956500</f>
        <v>372956500</v>
      </c>
      <c r="D18" s="70">
        <f>421684426.67</f>
        <v>421684426.67000002</v>
      </c>
      <c r="E18" s="69">
        <f>0</f>
        <v>0</v>
      </c>
      <c r="F18" s="69">
        <f>0</f>
        <v>0</v>
      </c>
      <c r="G18" s="69">
        <f>5222</f>
        <v>5222</v>
      </c>
      <c r="H18" s="69">
        <f>198</f>
        <v>198</v>
      </c>
      <c r="I18" s="69">
        <f>0</f>
        <v>0</v>
      </c>
      <c r="J18" s="18">
        <f t="shared" si="0"/>
        <v>0.38266655947823297</v>
      </c>
      <c r="K18" s="18">
        <f t="shared" si="1"/>
        <v>113.06531101348281</v>
      </c>
      <c r="L18" s="18">
        <f t="shared" si="2"/>
        <v>0.63467812209944607</v>
      </c>
    </row>
    <row r="19" spans="2:12" ht="12.95" customHeight="1" outlineLevel="1" x14ac:dyDescent="0.2">
      <c r="B19" s="10" t="s">
        <v>52</v>
      </c>
      <c r="C19" s="69">
        <f>9561008.34</f>
        <v>9561008.3399999999</v>
      </c>
      <c r="D19" s="70">
        <f>9527513.19</f>
        <v>9527513.1899999995</v>
      </c>
      <c r="E19" s="69">
        <f>0</f>
        <v>0</v>
      </c>
      <c r="F19" s="69">
        <f>0</f>
        <v>0</v>
      </c>
      <c r="G19" s="69">
        <f>0</f>
        <v>0</v>
      </c>
      <c r="H19" s="69">
        <f>0</f>
        <v>0</v>
      </c>
      <c r="I19" s="69">
        <f>0</f>
        <v>0</v>
      </c>
      <c r="J19" s="18">
        <f t="shared" si="0"/>
        <v>8.6459457883986471E-3</v>
      </c>
      <c r="K19" s="18">
        <f t="shared" si="1"/>
        <v>99.649669273272494</v>
      </c>
      <c r="L19" s="18">
        <f t="shared" si="2"/>
        <v>1.4339880245184069E-2</v>
      </c>
    </row>
    <row r="20" spans="2:12" ht="12.95" customHeight="1" outlineLevel="1" x14ac:dyDescent="0.2">
      <c r="B20" s="10" t="s">
        <v>53</v>
      </c>
      <c r="C20" s="69">
        <f>15844259</f>
        <v>15844259</v>
      </c>
      <c r="D20" s="70">
        <f>13889731.73</f>
        <v>13889731.73</v>
      </c>
      <c r="E20" s="69">
        <f>0</f>
        <v>0</v>
      </c>
      <c r="F20" s="69">
        <f>0</f>
        <v>0</v>
      </c>
      <c r="G20" s="69">
        <f>4300</f>
        <v>4300</v>
      </c>
      <c r="H20" s="69">
        <f>0</f>
        <v>0</v>
      </c>
      <c r="I20" s="69">
        <f>0</f>
        <v>0</v>
      </c>
      <c r="J20" s="18">
        <f t="shared" si="0"/>
        <v>1.2604534379341073E-2</v>
      </c>
      <c r="K20" s="18">
        <f t="shared" si="1"/>
        <v>87.664129512146957</v>
      </c>
      <c r="L20" s="18">
        <f t="shared" si="2"/>
        <v>2.0905464592270308E-2</v>
      </c>
    </row>
    <row r="21" spans="2:12" ht="12.95" customHeight="1" outlineLevel="1" x14ac:dyDescent="0.2">
      <c r="B21" s="10" t="s">
        <v>21</v>
      </c>
      <c r="C21" s="69">
        <f>5297121635.47</f>
        <v>5297121635.4700003</v>
      </c>
      <c r="D21" s="70">
        <f>5015677092.78001</f>
        <v>5015677092.7800102</v>
      </c>
      <c r="E21" s="69">
        <f>0</f>
        <v>0</v>
      </c>
      <c r="F21" s="69">
        <f>0</f>
        <v>0</v>
      </c>
      <c r="G21" s="69">
        <f>0</f>
        <v>0</v>
      </c>
      <c r="H21" s="69">
        <f>0</f>
        <v>0</v>
      </c>
      <c r="I21" s="69">
        <f>0</f>
        <v>0</v>
      </c>
      <c r="J21" s="18">
        <f t="shared" si="0"/>
        <v>4.5515835424719988</v>
      </c>
      <c r="K21" s="18">
        <f t="shared" si="1"/>
        <v>94.686840098112683</v>
      </c>
      <c r="L21" s="18">
        <f t="shared" si="2"/>
        <v>7.5491061964069903</v>
      </c>
    </row>
    <row r="22" spans="2:12" ht="12.95" customHeight="1" outlineLevel="1" x14ac:dyDescent="0.2">
      <c r="B22" s="10" t="s">
        <v>22</v>
      </c>
      <c r="C22" s="69">
        <f>C6-SUM(C7:C21)</f>
        <v>16524413288.400009</v>
      </c>
      <c r="D22" s="69">
        <f t="shared" ref="D22:I22" si="3">D6-SUM(D7:D21)</f>
        <v>16687404948.179977</v>
      </c>
      <c r="E22" s="69">
        <f t="shared" si="3"/>
        <v>3453624.2500000596</v>
      </c>
      <c r="F22" s="69">
        <f t="shared" si="3"/>
        <v>12521082.930000007</v>
      </c>
      <c r="G22" s="69">
        <f t="shared" si="3"/>
        <v>4427793.320000004</v>
      </c>
      <c r="H22" s="69">
        <f t="shared" si="3"/>
        <v>7563256.9899999946</v>
      </c>
      <c r="I22" s="69">
        <f t="shared" si="3"/>
        <v>692274.07000000007</v>
      </c>
      <c r="J22" s="18">
        <f t="shared" si="0"/>
        <v>15.14334282763868</v>
      </c>
      <c r="K22" s="18">
        <f t="shared" si="1"/>
        <v>100.98636881646132</v>
      </c>
      <c r="L22" s="18">
        <f t="shared" si="2"/>
        <v>25.11624846774869</v>
      </c>
    </row>
    <row r="23" spans="2:12" ht="26.25" customHeight="1" x14ac:dyDescent="0.2">
      <c r="B23" s="88" t="s">
        <v>109</v>
      </c>
      <c r="C23" s="67">
        <f>C24+C56+C58</f>
        <v>24287077777.159996</v>
      </c>
      <c r="D23" s="67">
        <f>D24+D56+D58</f>
        <v>22564193880.120003</v>
      </c>
      <c r="E23" s="20" t="s">
        <v>57</v>
      </c>
      <c r="F23" s="20" t="s">
        <v>57</v>
      </c>
      <c r="G23" s="20" t="s">
        <v>57</v>
      </c>
      <c r="H23" s="20" t="s">
        <v>57</v>
      </c>
      <c r="I23" s="20" t="s">
        <v>57</v>
      </c>
      <c r="J23" s="16">
        <f t="shared" si="0"/>
        <v>20.476360741352494</v>
      </c>
      <c r="K23" s="16">
        <f t="shared" si="1"/>
        <v>92.906170462960262</v>
      </c>
      <c r="L23" s="21"/>
    </row>
    <row r="24" spans="2:12" ht="25.5" customHeight="1" outlineLevel="1" x14ac:dyDescent="0.2">
      <c r="B24" s="90" t="s">
        <v>63</v>
      </c>
      <c r="C24" s="67">
        <f>C25+C32+C39</f>
        <v>18932893836.689999</v>
      </c>
      <c r="D24" s="67">
        <f>D25+D32+D39</f>
        <v>18170578522.940002</v>
      </c>
      <c r="E24" s="20" t="s">
        <v>57</v>
      </c>
      <c r="F24" s="20" t="s">
        <v>57</v>
      </c>
      <c r="G24" s="20" t="s">
        <v>57</v>
      </c>
      <c r="H24" s="20" t="s">
        <v>57</v>
      </c>
      <c r="I24" s="20" t="s">
        <v>57</v>
      </c>
      <c r="J24" s="16">
        <f t="shared" si="0"/>
        <v>16.489280436585783</v>
      </c>
      <c r="K24" s="16">
        <f t="shared" si="1"/>
        <v>95.973593258772155</v>
      </c>
      <c r="L24" s="22"/>
    </row>
    <row r="25" spans="2:12" ht="13.5" customHeight="1" outlineLevel="1" x14ac:dyDescent="0.2">
      <c r="B25" s="91" t="s">
        <v>54</v>
      </c>
      <c r="C25" s="67">
        <f>C26+C28+C30</f>
        <v>11200609679.099998</v>
      </c>
      <c r="D25" s="67">
        <f>D26+D28+D30</f>
        <v>11035886996.700001</v>
      </c>
      <c r="E25" s="20" t="s">
        <v>57</v>
      </c>
      <c r="F25" s="20" t="s">
        <v>57</v>
      </c>
      <c r="G25" s="20" t="s">
        <v>57</v>
      </c>
      <c r="H25" s="20" t="s">
        <v>57</v>
      </c>
      <c r="I25" s="20" t="s">
        <v>57</v>
      </c>
      <c r="J25" s="16">
        <f t="shared" si="0"/>
        <v>10.014751887251048</v>
      </c>
      <c r="K25" s="16">
        <f t="shared" si="1"/>
        <v>98.529341820496015</v>
      </c>
      <c r="L25" s="22"/>
    </row>
    <row r="26" spans="2:12" ht="22.5" customHeight="1" outlineLevel="1" x14ac:dyDescent="0.2">
      <c r="B26" s="93" t="s">
        <v>115</v>
      </c>
      <c r="C26" s="68">
        <f>9476546889.5</f>
        <v>9476546889.5</v>
      </c>
      <c r="D26" s="71">
        <f>9391095227</f>
        <v>9391095227</v>
      </c>
      <c r="E26" s="17" t="s">
        <v>57</v>
      </c>
      <c r="F26" s="17" t="s">
        <v>57</v>
      </c>
      <c r="G26" s="17" t="s">
        <v>57</v>
      </c>
      <c r="H26" s="17" t="s">
        <v>57</v>
      </c>
      <c r="I26" s="17" t="s">
        <v>57</v>
      </c>
      <c r="J26" s="18">
        <f t="shared" si="0"/>
        <v>8.5221503877373568</v>
      </c>
      <c r="K26" s="18">
        <f t="shared" si="1"/>
        <v>99.098282702587795</v>
      </c>
      <c r="L26" s="22"/>
    </row>
    <row r="27" spans="2:12" ht="12.95" customHeight="1" outlineLevel="1" x14ac:dyDescent="0.2">
      <c r="B27" s="95" t="s">
        <v>6</v>
      </c>
      <c r="C27" s="69">
        <f>2803912.32</f>
        <v>2803912.32</v>
      </c>
      <c r="D27" s="69">
        <f>2774164.54</f>
        <v>2774164.54</v>
      </c>
      <c r="E27" s="19" t="s">
        <v>57</v>
      </c>
      <c r="F27" s="19" t="s">
        <v>57</v>
      </c>
      <c r="G27" s="19" t="s">
        <v>57</v>
      </c>
      <c r="H27" s="19" t="s">
        <v>57</v>
      </c>
      <c r="I27" s="19" t="s">
        <v>57</v>
      </c>
      <c r="J27" s="18">
        <f t="shared" si="0"/>
        <v>2.5174749950608957E-3</v>
      </c>
      <c r="K27" s="18">
        <f t="shared" si="1"/>
        <v>98.939061689346985</v>
      </c>
      <c r="L27" s="22"/>
    </row>
    <row r="28" spans="2:12" ht="13.5" customHeight="1" outlineLevel="1" x14ac:dyDescent="0.2">
      <c r="B28" s="93" t="s">
        <v>116</v>
      </c>
      <c r="C28" s="69">
        <f>1695517902.72</f>
        <v>1695517902.72</v>
      </c>
      <c r="D28" s="70">
        <f>1617268678.18</f>
        <v>1617268678.1800001</v>
      </c>
      <c r="E28" s="19" t="s">
        <v>57</v>
      </c>
      <c r="F28" s="19" t="s">
        <v>57</v>
      </c>
      <c r="G28" s="19" t="s">
        <v>57</v>
      </c>
      <c r="H28" s="19" t="s">
        <v>57</v>
      </c>
      <c r="I28" s="19" t="s">
        <v>57</v>
      </c>
      <c r="J28" s="18">
        <f t="shared" si="0"/>
        <v>1.467625080959811</v>
      </c>
      <c r="K28" s="18">
        <f t="shared" si="1"/>
        <v>95.384936696069659</v>
      </c>
      <c r="L28" s="22"/>
    </row>
    <row r="29" spans="2:12" ht="12.95" customHeight="1" outlineLevel="1" x14ac:dyDescent="0.2">
      <c r="B29" s="95" t="s">
        <v>6</v>
      </c>
      <c r="C29" s="69">
        <f>247105867.75</f>
        <v>247105867.75</v>
      </c>
      <c r="D29" s="69">
        <f>199331593.07</f>
        <v>199331593.06999999</v>
      </c>
      <c r="E29" s="19" t="s">
        <v>57</v>
      </c>
      <c r="F29" s="19" t="s">
        <v>57</v>
      </c>
      <c r="G29" s="19" t="s">
        <v>57</v>
      </c>
      <c r="H29" s="19" t="s">
        <v>57</v>
      </c>
      <c r="I29" s="19" t="s">
        <v>57</v>
      </c>
      <c r="J29" s="18">
        <f t="shared" si="0"/>
        <v>0.18088772098549666</v>
      </c>
      <c r="K29" s="18">
        <f t="shared" si="1"/>
        <v>80.666475015342897</v>
      </c>
      <c r="L29" s="22"/>
    </row>
    <row r="30" spans="2:12" ht="33.75" outlineLevel="1" x14ac:dyDescent="0.2">
      <c r="B30" s="93" t="s">
        <v>8</v>
      </c>
      <c r="C30" s="69">
        <f>28544886.88</f>
        <v>28544886.879999999</v>
      </c>
      <c r="D30" s="70">
        <f>27523091.52</f>
        <v>27523091.52</v>
      </c>
      <c r="E30" s="19" t="s">
        <v>57</v>
      </c>
      <c r="F30" s="19" t="s">
        <v>57</v>
      </c>
      <c r="G30" s="19" t="s">
        <v>57</v>
      </c>
      <c r="H30" s="19" t="s">
        <v>57</v>
      </c>
      <c r="I30" s="19" t="s">
        <v>57</v>
      </c>
      <c r="J30" s="18">
        <f t="shared" si="0"/>
        <v>2.4976418553880216E-2</v>
      </c>
      <c r="K30" s="18">
        <f t="shared" si="1"/>
        <v>96.420390929221298</v>
      </c>
      <c r="L30" s="22"/>
    </row>
    <row r="31" spans="2:12" ht="12.95" customHeight="1" outlineLevel="1" x14ac:dyDescent="0.2">
      <c r="B31" s="95" t="s">
        <v>6</v>
      </c>
      <c r="C31" s="69">
        <f>3041350.11</f>
        <v>3041350.11</v>
      </c>
      <c r="D31" s="69">
        <f>3116363.76</f>
        <v>3116363.76</v>
      </c>
      <c r="E31" s="19" t="s">
        <v>57</v>
      </c>
      <c r="F31" s="19" t="s">
        <v>57</v>
      </c>
      <c r="G31" s="19" t="s">
        <v>57</v>
      </c>
      <c r="H31" s="19" t="s">
        <v>57</v>
      </c>
      <c r="I31" s="19" t="s">
        <v>57</v>
      </c>
      <c r="J31" s="18">
        <f t="shared" si="0"/>
        <v>2.8280110023012383E-3</v>
      </c>
      <c r="K31" s="18">
        <f t="shared" si="1"/>
        <v>102.46645888460372</v>
      </c>
      <c r="L31" s="22"/>
    </row>
    <row r="32" spans="2:12" ht="13.5" customHeight="1" outlineLevel="1" x14ac:dyDescent="0.2">
      <c r="B32" s="92" t="s">
        <v>55</v>
      </c>
      <c r="C32" s="67">
        <f>C33+C35+C37</f>
        <v>2321193294.3800001</v>
      </c>
      <c r="D32" s="67">
        <f>D33+D35+D37</f>
        <v>2278870989.79</v>
      </c>
      <c r="E32" s="20" t="s">
        <v>57</v>
      </c>
      <c r="F32" s="20" t="s">
        <v>57</v>
      </c>
      <c r="G32" s="20" t="s">
        <v>57</v>
      </c>
      <c r="H32" s="20" t="s">
        <v>57</v>
      </c>
      <c r="I32" s="20" t="s">
        <v>57</v>
      </c>
      <c r="J32" s="16">
        <f t="shared" si="0"/>
        <v>2.0680102607634074</v>
      </c>
      <c r="K32" s="16">
        <f t="shared" si="1"/>
        <v>98.176700549132661</v>
      </c>
      <c r="L32" s="22"/>
    </row>
    <row r="33" spans="2:12" ht="22.5" outlineLevel="1" x14ac:dyDescent="0.2">
      <c r="B33" s="93" t="s">
        <v>115</v>
      </c>
      <c r="C33" s="69">
        <f>2055032793.48</f>
        <v>2055032793.48</v>
      </c>
      <c r="D33" s="69">
        <f>2032681587.67</f>
        <v>2032681587.6700001</v>
      </c>
      <c r="E33" s="19" t="s">
        <v>57</v>
      </c>
      <c r="F33" s="19" t="s">
        <v>57</v>
      </c>
      <c r="G33" s="19" t="s">
        <v>57</v>
      </c>
      <c r="H33" s="19" t="s">
        <v>57</v>
      </c>
      <c r="I33" s="19" t="s">
        <v>57</v>
      </c>
      <c r="J33" s="18">
        <f t="shared" si="0"/>
        <v>1.8446004179261504</v>
      </c>
      <c r="K33" s="18">
        <f t="shared" si="1"/>
        <v>98.912367438567713</v>
      </c>
      <c r="L33" s="22"/>
    </row>
    <row r="34" spans="2:12" ht="12.95" customHeight="1" outlineLevel="1" x14ac:dyDescent="0.2">
      <c r="B34" s="95" t="s">
        <v>6</v>
      </c>
      <c r="C34" s="69">
        <f>17780843.76</f>
        <v>17780843.760000002</v>
      </c>
      <c r="D34" s="70">
        <f>9118524.74</f>
        <v>9118524.7400000002</v>
      </c>
      <c r="E34" s="19" t="s">
        <v>57</v>
      </c>
      <c r="F34" s="19" t="s">
        <v>57</v>
      </c>
      <c r="G34" s="19" t="s">
        <v>57</v>
      </c>
      <c r="H34" s="19" t="s">
        <v>57</v>
      </c>
      <c r="I34" s="19" t="s">
        <v>57</v>
      </c>
      <c r="J34" s="18">
        <f t="shared" si="0"/>
        <v>8.2748004647172635E-3</v>
      </c>
      <c r="K34" s="18">
        <f t="shared" si="1"/>
        <v>51.282857343998167</v>
      </c>
      <c r="L34" s="22"/>
    </row>
    <row r="35" spans="2:12" ht="12.95" customHeight="1" outlineLevel="1" x14ac:dyDescent="0.2">
      <c r="B35" s="93" t="s">
        <v>116</v>
      </c>
      <c r="C35" s="69">
        <f>195747185.48</f>
        <v>195747185.47999999</v>
      </c>
      <c r="D35" s="69">
        <f>194896132.16</f>
        <v>194896132.16</v>
      </c>
      <c r="E35" s="19" t="s">
        <v>57</v>
      </c>
      <c r="F35" s="19" t="s">
        <v>57</v>
      </c>
      <c r="G35" s="19" t="s">
        <v>57</v>
      </c>
      <c r="H35" s="19" t="s">
        <v>57</v>
      </c>
      <c r="I35" s="19" t="s">
        <v>57</v>
      </c>
      <c r="J35" s="18">
        <f t="shared" si="0"/>
        <v>0.17686266703808551</v>
      </c>
      <c r="K35" s="18">
        <f t="shared" si="1"/>
        <v>99.565228323506631</v>
      </c>
      <c r="L35" s="22"/>
    </row>
    <row r="36" spans="2:12" ht="12.95" customHeight="1" outlineLevel="1" x14ac:dyDescent="0.2">
      <c r="B36" s="95" t="s">
        <v>6</v>
      </c>
      <c r="C36" s="69">
        <f>21908708</f>
        <v>21908708</v>
      </c>
      <c r="D36" s="70">
        <f>21608705.63</f>
        <v>21608705.629999999</v>
      </c>
      <c r="E36" s="19" t="s">
        <v>57</v>
      </c>
      <c r="F36" s="19" t="s">
        <v>57</v>
      </c>
      <c r="G36" s="19" t="s">
        <v>57</v>
      </c>
      <c r="H36" s="19" t="s">
        <v>57</v>
      </c>
      <c r="I36" s="19" t="s">
        <v>57</v>
      </c>
      <c r="J36" s="18">
        <f t="shared" si="0"/>
        <v>1.9609282475781555E-2</v>
      </c>
      <c r="K36" s="18">
        <f t="shared" si="1"/>
        <v>98.630670644750026</v>
      </c>
      <c r="L36" s="22"/>
    </row>
    <row r="37" spans="2:12" ht="33.75" outlineLevel="1" x14ac:dyDescent="0.2">
      <c r="B37" s="93" t="s">
        <v>8</v>
      </c>
      <c r="C37" s="69">
        <f>70413315.42</f>
        <v>70413315.420000002</v>
      </c>
      <c r="D37" s="69">
        <f>51293269.96</f>
        <v>51293269.960000001</v>
      </c>
      <c r="E37" s="19" t="s">
        <v>57</v>
      </c>
      <c r="F37" s="19" t="s">
        <v>57</v>
      </c>
      <c r="G37" s="19" t="s">
        <v>57</v>
      </c>
      <c r="H37" s="19" t="s">
        <v>57</v>
      </c>
      <c r="I37" s="19" t="s">
        <v>57</v>
      </c>
      <c r="J37" s="18">
        <f t="shared" si="0"/>
        <v>4.6547175799171663E-2</v>
      </c>
      <c r="K37" s="18">
        <f t="shared" si="1"/>
        <v>72.84598041442429</v>
      </c>
      <c r="L37" s="22"/>
    </row>
    <row r="38" spans="2:12" ht="12.95" customHeight="1" outlineLevel="1" x14ac:dyDescent="0.2">
      <c r="B38" s="95" t="s">
        <v>6</v>
      </c>
      <c r="C38" s="69">
        <f>78575</f>
        <v>78575</v>
      </c>
      <c r="D38" s="70">
        <f>78575</f>
        <v>78575</v>
      </c>
      <c r="E38" s="19" t="s">
        <v>57</v>
      </c>
      <c r="F38" s="19" t="s">
        <v>57</v>
      </c>
      <c r="G38" s="19" t="s">
        <v>57</v>
      </c>
      <c r="H38" s="19" t="s">
        <v>57</v>
      </c>
      <c r="I38" s="19" t="s">
        <v>57</v>
      </c>
      <c r="J38" s="18">
        <f t="shared" si="0"/>
        <v>7.1304565711487997E-5</v>
      </c>
      <c r="K38" s="18">
        <f t="shared" si="1"/>
        <v>100</v>
      </c>
      <c r="L38" s="22"/>
    </row>
    <row r="39" spans="2:12" ht="13.5" customHeight="1" outlineLevel="1" x14ac:dyDescent="0.2">
      <c r="B39" s="91" t="s">
        <v>56</v>
      </c>
      <c r="C39" s="67">
        <f>C40+C42+C44+C48+C50+C46+C52+C54</f>
        <v>5411090863.21</v>
      </c>
      <c r="D39" s="67">
        <f>D40+D42+D44+D48+D50+D46+D52+D54</f>
        <v>4855820536.4500008</v>
      </c>
      <c r="E39" s="20" t="s">
        <v>57</v>
      </c>
      <c r="F39" s="20" t="s">
        <v>57</v>
      </c>
      <c r="G39" s="20" t="s">
        <v>57</v>
      </c>
      <c r="H39" s="20" t="s">
        <v>57</v>
      </c>
      <c r="I39" s="20" t="s">
        <v>57</v>
      </c>
      <c r="J39" s="16">
        <f t="shared" si="0"/>
        <v>4.4065182885713261</v>
      </c>
      <c r="K39" s="16">
        <f t="shared" si="1"/>
        <v>89.738292318554812</v>
      </c>
      <c r="L39" s="22"/>
    </row>
    <row r="40" spans="2:12" ht="33.75" outlineLevel="1" x14ac:dyDescent="0.2">
      <c r="B40" s="93" t="s">
        <v>120</v>
      </c>
      <c r="C40" s="68">
        <f>177795</f>
        <v>177795</v>
      </c>
      <c r="D40" s="71">
        <f>177795</f>
        <v>177795</v>
      </c>
      <c r="E40" s="19" t="s">
        <v>57</v>
      </c>
      <c r="F40" s="19" t="s">
        <v>57</v>
      </c>
      <c r="G40" s="19" t="s">
        <v>57</v>
      </c>
      <c r="H40" s="19" t="s">
        <v>57</v>
      </c>
      <c r="I40" s="19" t="s">
        <v>57</v>
      </c>
      <c r="J40" s="18">
        <f t="shared" si="0"/>
        <v>1.6134387859591484E-4</v>
      </c>
      <c r="K40" s="18">
        <f t="shared" si="1"/>
        <v>100</v>
      </c>
      <c r="L40" s="22"/>
    </row>
    <row r="41" spans="2:12" ht="13.5" customHeight="1" outlineLevel="1" x14ac:dyDescent="0.2">
      <c r="B41" s="95" t="s">
        <v>6</v>
      </c>
      <c r="C41" s="68">
        <f>0</f>
        <v>0</v>
      </c>
      <c r="D41" s="71">
        <f>0</f>
        <v>0</v>
      </c>
      <c r="E41" s="19" t="s">
        <v>57</v>
      </c>
      <c r="F41" s="19" t="s">
        <v>57</v>
      </c>
      <c r="G41" s="19" t="s">
        <v>57</v>
      </c>
      <c r="H41" s="19" t="s">
        <v>57</v>
      </c>
      <c r="I41" s="19" t="s">
        <v>57</v>
      </c>
      <c r="J41" s="18">
        <f t="shared" si="0"/>
        <v>0</v>
      </c>
      <c r="K41" s="18" t="str">
        <f t="shared" si="1"/>
        <v/>
      </c>
      <c r="L41" s="22"/>
    </row>
    <row r="42" spans="2:12" ht="22.5" outlineLevel="1" x14ac:dyDescent="0.2">
      <c r="B42" s="93" t="s">
        <v>121</v>
      </c>
      <c r="C42" s="68">
        <f>4500877</f>
        <v>4500877</v>
      </c>
      <c r="D42" s="71">
        <f>3813749.67</f>
        <v>3813749.67</v>
      </c>
      <c r="E42" s="19" t="s">
        <v>57</v>
      </c>
      <c r="F42" s="19" t="s">
        <v>57</v>
      </c>
      <c r="G42" s="19" t="s">
        <v>57</v>
      </c>
      <c r="H42" s="19" t="s">
        <v>57</v>
      </c>
      <c r="I42" s="19" t="s">
        <v>57</v>
      </c>
      <c r="J42" s="18">
        <f t="shared" si="0"/>
        <v>3.460868774440734E-3</v>
      </c>
      <c r="K42" s="18">
        <f t="shared" si="1"/>
        <v>84.73347905308232</v>
      </c>
      <c r="L42" s="22"/>
    </row>
    <row r="43" spans="2:12" ht="13.5" customHeight="1" outlineLevel="1" x14ac:dyDescent="0.2">
      <c r="B43" s="95" t="s">
        <v>6</v>
      </c>
      <c r="C43" s="68">
        <f>444000</f>
        <v>444000</v>
      </c>
      <c r="D43" s="71">
        <f>444000</f>
        <v>444000</v>
      </c>
      <c r="E43" s="19" t="s">
        <v>57</v>
      </c>
      <c r="F43" s="19" t="s">
        <v>57</v>
      </c>
      <c r="G43" s="19" t="s">
        <v>57</v>
      </c>
      <c r="H43" s="19" t="s">
        <v>57</v>
      </c>
      <c r="I43" s="19" t="s">
        <v>57</v>
      </c>
      <c r="J43" s="18">
        <f t="shared" si="0"/>
        <v>4.0291730417945493E-4</v>
      </c>
      <c r="K43" s="18">
        <f t="shared" si="1"/>
        <v>100</v>
      </c>
      <c r="L43" s="22"/>
    </row>
    <row r="44" spans="2:12" ht="22.5" outlineLevel="1" x14ac:dyDescent="0.2">
      <c r="B44" s="93" t="s">
        <v>9</v>
      </c>
      <c r="C44" s="68">
        <f>550076647.92</f>
        <v>550076647.91999996</v>
      </c>
      <c r="D44" s="71">
        <f>540682974.22</f>
        <v>540682974.22000003</v>
      </c>
      <c r="E44" s="17" t="s">
        <v>57</v>
      </c>
      <c r="F44" s="17" t="s">
        <v>57</v>
      </c>
      <c r="G44" s="17" t="s">
        <v>57</v>
      </c>
      <c r="H44" s="17" t="s">
        <v>57</v>
      </c>
      <c r="I44" s="17" t="s">
        <v>57</v>
      </c>
      <c r="J44" s="18">
        <f t="shared" si="0"/>
        <v>0.49065433871273001</v>
      </c>
      <c r="K44" s="18">
        <f t="shared" si="1"/>
        <v>98.292297312470879</v>
      </c>
      <c r="L44" s="22"/>
    </row>
    <row r="45" spans="2:12" ht="12.95" customHeight="1" outlineLevel="1" x14ac:dyDescent="0.2">
      <c r="B45" s="95" t="s">
        <v>6</v>
      </c>
      <c r="C45" s="69">
        <f>3769613.02</f>
        <v>3769613.02</v>
      </c>
      <c r="D45" s="69">
        <f>2873870.79</f>
        <v>2873870.79</v>
      </c>
      <c r="E45" s="19" t="s">
        <v>57</v>
      </c>
      <c r="F45" s="19" t="s">
        <v>57</v>
      </c>
      <c r="G45" s="19" t="s">
        <v>57</v>
      </c>
      <c r="H45" s="19" t="s">
        <v>57</v>
      </c>
      <c r="I45" s="19" t="s">
        <v>57</v>
      </c>
      <c r="J45" s="18">
        <f t="shared" si="0"/>
        <v>2.6079555659163974E-3</v>
      </c>
      <c r="K45" s="18">
        <f t="shared" si="1"/>
        <v>76.237820029600812</v>
      </c>
      <c r="L45" s="22"/>
    </row>
    <row r="46" spans="2:12" ht="33.75" outlineLevel="1" x14ac:dyDescent="0.2">
      <c r="B46" s="93" t="s">
        <v>80</v>
      </c>
      <c r="C46" s="69">
        <f>87449728.02</f>
        <v>87449728.019999996</v>
      </c>
      <c r="D46" s="69">
        <f>73950154.32</f>
        <v>73950154.319999993</v>
      </c>
      <c r="E46" s="19" t="s">
        <v>57</v>
      </c>
      <c r="F46" s="19" t="s">
        <v>57</v>
      </c>
      <c r="G46" s="19" t="s">
        <v>57</v>
      </c>
      <c r="H46" s="19" t="s">
        <v>57</v>
      </c>
      <c r="I46" s="19" t="s">
        <v>57</v>
      </c>
      <c r="J46" s="18">
        <f>IF($D$5=0,"",100*$D46/$D$5)</f>
        <v>6.7107650500606006E-2</v>
      </c>
      <c r="K46" s="18">
        <f>IF(C46=0,"",100*D46/C46)</f>
        <v>84.563046671897467</v>
      </c>
      <c r="L46" s="22"/>
    </row>
    <row r="47" spans="2:12" ht="12.95" customHeight="1" outlineLevel="1" x14ac:dyDescent="0.2">
      <c r="B47" s="95" t="s">
        <v>6</v>
      </c>
      <c r="C47" s="69">
        <f>66987980.34</f>
        <v>66987980.340000004</v>
      </c>
      <c r="D47" s="69">
        <f>53826844.02</f>
        <v>53826844.020000003</v>
      </c>
      <c r="E47" s="19" t="s">
        <v>57</v>
      </c>
      <c r="F47" s="19" t="s">
        <v>57</v>
      </c>
      <c r="G47" s="19" t="s">
        <v>57</v>
      </c>
      <c r="H47" s="19" t="s">
        <v>57</v>
      </c>
      <c r="I47" s="19" t="s">
        <v>57</v>
      </c>
      <c r="J47" s="18">
        <f>IF($D$5=0,"",100*$D47/$D$5)</f>
        <v>4.8846321813122554E-2</v>
      </c>
      <c r="K47" s="18">
        <f>IF(C47=0,"",100*D47/C47)</f>
        <v>80.352988322382373</v>
      </c>
      <c r="L47" s="22"/>
    </row>
    <row r="48" spans="2:12" ht="12.95" customHeight="1" outlineLevel="1" x14ac:dyDescent="0.2">
      <c r="B48" s="93" t="s">
        <v>7</v>
      </c>
      <c r="C48" s="69">
        <f>162846104.6</f>
        <v>162846104.59999999</v>
      </c>
      <c r="D48" s="70">
        <f>162204816.88</f>
        <v>162204816.88</v>
      </c>
      <c r="E48" s="19" t="s">
        <v>57</v>
      </c>
      <c r="F48" s="19" t="s">
        <v>57</v>
      </c>
      <c r="G48" s="19" t="s">
        <v>57</v>
      </c>
      <c r="H48" s="19" t="s">
        <v>57</v>
      </c>
      <c r="I48" s="19" t="s">
        <v>57</v>
      </c>
      <c r="J48" s="18">
        <f t="shared" si="0"/>
        <v>0.14719623320317959</v>
      </c>
      <c r="K48" s="18">
        <f t="shared" si="1"/>
        <v>99.606200147326092</v>
      </c>
      <c r="L48" s="22"/>
    </row>
    <row r="49" spans="2:12" ht="12.95" customHeight="1" outlineLevel="1" x14ac:dyDescent="0.2">
      <c r="B49" s="95" t="s">
        <v>6</v>
      </c>
      <c r="C49" s="69">
        <f>128668661.37</f>
        <v>128668661.37</v>
      </c>
      <c r="D49" s="69">
        <f>129051913.65</f>
        <v>129051913.65000001</v>
      </c>
      <c r="E49" s="19" t="s">
        <v>57</v>
      </c>
      <c r="F49" s="19" t="s">
        <v>57</v>
      </c>
      <c r="G49" s="19" t="s">
        <v>57</v>
      </c>
      <c r="H49" s="19" t="s">
        <v>57</v>
      </c>
      <c r="I49" s="19" t="s">
        <v>57</v>
      </c>
      <c r="J49" s="18">
        <f t="shared" si="0"/>
        <v>0.11711092150238243</v>
      </c>
      <c r="K49" s="18">
        <f t="shared" si="1"/>
        <v>100.29785984863705</v>
      </c>
      <c r="L49" s="22"/>
    </row>
    <row r="50" spans="2:12" ht="67.5" outlineLevel="1" x14ac:dyDescent="0.2">
      <c r="B50" s="93" t="s">
        <v>102</v>
      </c>
      <c r="C50" s="69">
        <f>1284730.97</f>
        <v>1284730.97</v>
      </c>
      <c r="D50" s="69">
        <f>1283157.86</f>
        <v>1283157.8600000001</v>
      </c>
      <c r="E50" s="19" t="s">
        <v>57</v>
      </c>
      <c r="F50" s="19" t="s">
        <v>57</v>
      </c>
      <c r="G50" s="19" t="s">
        <v>57</v>
      </c>
      <c r="H50" s="19" t="s">
        <v>57</v>
      </c>
      <c r="I50" s="19" t="s">
        <v>57</v>
      </c>
      <c r="J50" s="18">
        <f t="shared" si="0"/>
        <v>1.1644290670898164E-3</v>
      </c>
      <c r="K50" s="18">
        <f>IF(C50=0,"",100*D50/C50)</f>
        <v>99.877553352668087</v>
      </c>
      <c r="L50" s="22"/>
    </row>
    <row r="51" spans="2:12" ht="12.95" customHeight="1" outlineLevel="1" x14ac:dyDescent="0.2">
      <c r="B51" s="95" t="s">
        <v>101</v>
      </c>
      <c r="C51" s="69">
        <f>1104730.97</f>
        <v>1104730.97</v>
      </c>
      <c r="D51" s="69">
        <f>1103157.86</f>
        <v>1103157.8600000001</v>
      </c>
      <c r="E51" s="19" t="s">
        <v>57</v>
      </c>
      <c r="F51" s="19" t="s">
        <v>57</v>
      </c>
      <c r="G51" s="19" t="s">
        <v>57</v>
      </c>
      <c r="H51" s="19" t="s">
        <v>57</v>
      </c>
      <c r="I51" s="19" t="s">
        <v>57</v>
      </c>
      <c r="J51" s="18">
        <f t="shared" si="0"/>
        <v>1.0010842140440914E-3</v>
      </c>
      <c r="K51" s="18">
        <f>IF(C51=0,"",100*D51/C51)</f>
        <v>99.85760243509786</v>
      </c>
      <c r="L51" s="22"/>
    </row>
    <row r="52" spans="2:12" ht="45" outlineLevel="1" x14ac:dyDescent="0.2">
      <c r="B52" s="94" t="s">
        <v>100</v>
      </c>
      <c r="C52" s="72">
        <f>1904346533.9</f>
        <v>1904346533.9000001</v>
      </c>
      <c r="D52" s="72">
        <f>1440594622.15</f>
        <v>1440594622.1500001</v>
      </c>
      <c r="E52" s="24" t="s">
        <v>57</v>
      </c>
      <c r="F52" s="24" t="s">
        <v>57</v>
      </c>
      <c r="G52" s="24" t="s">
        <v>57</v>
      </c>
      <c r="H52" s="24" t="s">
        <v>57</v>
      </c>
      <c r="I52" s="24" t="s">
        <v>57</v>
      </c>
      <c r="J52" s="25">
        <f>IF($D$5=0,"",100*$D52/$D$5)</f>
        <v>1.3072984269641859</v>
      </c>
      <c r="K52" s="25">
        <f>IF(C52=0,"",100*D52/C52)</f>
        <v>75.647714137391745</v>
      </c>
      <c r="L52" s="22"/>
    </row>
    <row r="53" spans="2:12" ht="12.95" customHeight="1" outlineLevel="1" x14ac:dyDescent="0.2">
      <c r="B53" s="95" t="s">
        <v>101</v>
      </c>
      <c r="C53" s="69">
        <f>273190911.71</f>
        <v>273190911.70999998</v>
      </c>
      <c r="D53" s="69">
        <f>178843748.62</f>
        <v>178843748.62</v>
      </c>
      <c r="E53" s="19" t="s">
        <v>57</v>
      </c>
      <c r="F53" s="19" t="s">
        <v>57</v>
      </c>
      <c r="G53" s="19" t="s">
        <v>57</v>
      </c>
      <c r="H53" s="19" t="s">
        <v>57</v>
      </c>
      <c r="I53" s="19" t="s">
        <v>57</v>
      </c>
      <c r="J53" s="18">
        <f t="shared" si="0"/>
        <v>0.1622955879804471</v>
      </c>
      <c r="K53" s="18">
        <f t="shared" ref="K53:K69" si="4">IF(C53=0,"",100*D53/C53)</f>
        <v>65.464750456211291</v>
      </c>
      <c r="L53" s="22"/>
    </row>
    <row r="54" spans="2:12" ht="22.5" outlineLevel="1" x14ac:dyDescent="0.2">
      <c r="B54" s="94" t="s">
        <v>117</v>
      </c>
      <c r="C54" s="69">
        <f>2700408445.8</f>
        <v>2700408445.8000002</v>
      </c>
      <c r="D54" s="69">
        <f>2633113266.35</f>
        <v>2633113266.3499999</v>
      </c>
      <c r="E54" s="19" t="s">
        <v>57</v>
      </c>
      <c r="F54" s="19" t="s">
        <v>57</v>
      </c>
      <c r="G54" s="19" t="s">
        <v>57</v>
      </c>
      <c r="H54" s="19" t="s">
        <v>57</v>
      </c>
      <c r="I54" s="19" t="s">
        <v>57</v>
      </c>
      <c r="J54" s="18">
        <f t="shared" si="0"/>
        <v>2.3894749974704981</v>
      </c>
      <c r="K54" s="18">
        <f t="shared" si="4"/>
        <v>97.507962932249541</v>
      </c>
      <c r="L54" s="22"/>
    </row>
    <row r="55" spans="2:12" ht="12.95" customHeight="1" outlineLevel="1" x14ac:dyDescent="0.2">
      <c r="B55" s="95" t="s">
        <v>6</v>
      </c>
      <c r="C55" s="69">
        <f>4410879.07</f>
        <v>4410879.07</v>
      </c>
      <c r="D55" s="69">
        <f>4465105.57</f>
        <v>4465105.57</v>
      </c>
      <c r="E55" s="19" t="s">
        <v>57</v>
      </c>
      <c r="F55" s="19" t="s">
        <v>57</v>
      </c>
      <c r="G55" s="19" t="s">
        <v>57</v>
      </c>
      <c r="H55" s="19" t="s">
        <v>57</v>
      </c>
      <c r="I55" s="19" t="s">
        <v>57</v>
      </c>
      <c r="J55" s="18">
        <f t="shared" si="0"/>
        <v>4.0519556286960998E-3</v>
      </c>
      <c r="K55" s="18">
        <f t="shared" si="4"/>
        <v>101.22938079098141</v>
      </c>
      <c r="L55" s="22"/>
    </row>
    <row r="56" spans="2:12" ht="13.5" customHeight="1" outlineLevel="1" x14ac:dyDescent="0.2">
      <c r="B56" s="90" t="s">
        <v>87</v>
      </c>
      <c r="C56" s="67">
        <f>309202558.53</f>
        <v>309202558.52999997</v>
      </c>
      <c r="D56" s="67">
        <f>150559308.51</f>
        <v>150559308.50999999</v>
      </c>
      <c r="E56" s="20" t="s">
        <v>57</v>
      </c>
      <c r="F56" s="20" t="s">
        <v>57</v>
      </c>
      <c r="G56" s="20" t="s">
        <v>57</v>
      </c>
      <c r="H56" s="20" t="s">
        <v>57</v>
      </c>
      <c r="I56" s="20" t="s">
        <v>57</v>
      </c>
      <c r="J56" s="16">
        <f t="shared" si="0"/>
        <v>0.13662826735128844</v>
      </c>
      <c r="K56" s="16">
        <f t="shared" si="4"/>
        <v>48.692775773196644</v>
      </c>
      <c r="L56" s="22"/>
    </row>
    <row r="57" spans="2:12" ht="12.95" customHeight="1" outlineLevel="1" x14ac:dyDescent="0.2">
      <c r="B57" s="93" t="s">
        <v>88</v>
      </c>
      <c r="C57" s="69">
        <f>246354803.68</f>
        <v>246354803.68000001</v>
      </c>
      <c r="D57" s="69">
        <f>103635778.92</f>
        <v>103635778.92</v>
      </c>
      <c r="E57" s="19" t="s">
        <v>57</v>
      </c>
      <c r="F57" s="19" t="s">
        <v>57</v>
      </c>
      <c r="G57" s="19" t="s">
        <v>57</v>
      </c>
      <c r="H57" s="19" t="s">
        <v>57</v>
      </c>
      <c r="I57" s="19" t="s">
        <v>57</v>
      </c>
      <c r="J57" s="18">
        <f t="shared" si="0"/>
        <v>9.4046505988703566E-2</v>
      </c>
      <c r="K57" s="18">
        <f t="shared" si="4"/>
        <v>42.06769154565243</v>
      </c>
      <c r="L57" s="22"/>
    </row>
    <row r="58" spans="2:12" ht="13.5" customHeight="1" outlineLevel="1" x14ac:dyDescent="0.2">
      <c r="B58" s="90" t="s">
        <v>89</v>
      </c>
      <c r="C58" s="73">
        <f>5044981381.94</f>
        <v>5044981381.9399996</v>
      </c>
      <c r="D58" s="73">
        <f>4243056048.67</f>
        <v>4243056048.6700001</v>
      </c>
      <c r="E58" s="20" t="s">
        <v>57</v>
      </c>
      <c r="F58" s="20" t="s">
        <v>57</v>
      </c>
      <c r="G58" s="20" t="s">
        <v>57</v>
      </c>
      <c r="H58" s="20" t="s">
        <v>57</v>
      </c>
      <c r="I58" s="20" t="s">
        <v>57</v>
      </c>
      <c r="J58" s="23">
        <f t="shared" si="0"/>
        <v>3.8504520374154199</v>
      </c>
      <c r="K58" s="23">
        <f t="shared" si="4"/>
        <v>84.104493702578807</v>
      </c>
      <c r="L58" s="22"/>
    </row>
    <row r="59" spans="2:12" ht="12.95" customHeight="1" outlineLevel="1" x14ac:dyDescent="0.2">
      <c r="B59" s="94" t="s">
        <v>90</v>
      </c>
      <c r="C59" s="72">
        <f>4452731203</f>
        <v>4452731203</v>
      </c>
      <c r="D59" s="72">
        <f>3769242971.8</f>
        <v>3769242971.8000002</v>
      </c>
      <c r="E59" s="24" t="s">
        <v>57</v>
      </c>
      <c r="F59" s="24" t="s">
        <v>57</v>
      </c>
      <c r="G59" s="24" t="s">
        <v>57</v>
      </c>
      <c r="H59" s="24" t="s">
        <v>57</v>
      </c>
      <c r="I59" s="24" t="s">
        <v>57</v>
      </c>
      <c r="J59" s="25">
        <f t="shared" si="0"/>
        <v>3.4204802184572372</v>
      </c>
      <c r="K59" s="25">
        <f t="shared" si="4"/>
        <v>84.650134938765135</v>
      </c>
      <c r="L59" s="22"/>
    </row>
    <row r="60" spans="2:12" s="26" customFormat="1" ht="25.5" customHeight="1" x14ac:dyDescent="0.2">
      <c r="B60" s="88" t="s">
        <v>64</v>
      </c>
      <c r="C60" s="67">
        <f>C61+C62+C63+C67</f>
        <v>21169243847</v>
      </c>
      <c r="D60" s="67">
        <f>D61+D62+D63+D67</f>
        <v>21191441006</v>
      </c>
      <c r="E60" s="20" t="s">
        <v>57</v>
      </c>
      <c r="F60" s="20" t="s">
        <v>57</v>
      </c>
      <c r="G60" s="20" t="s">
        <v>57</v>
      </c>
      <c r="H60" s="20" t="s">
        <v>57</v>
      </c>
      <c r="I60" s="20" t="s">
        <v>57</v>
      </c>
      <c r="J60" s="16">
        <f t="shared" si="0"/>
        <v>19.230626760845666</v>
      </c>
      <c r="K60" s="16">
        <f t="shared" si="4"/>
        <v>100.10485570084803</v>
      </c>
      <c r="L60" s="27"/>
    </row>
    <row r="61" spans="2:12" ht="12.95" customHeight="1" outlineLevel="1" x14ac:dyDescent="0.2">
      <c r="B61" s="10" t="s">
        <v>40</v>
      </c>
      <c r="C61" s="69">
        <f>19561602631</f>
        <v>19561602631</v>
      </c>
      <c r="D61" s="69">
        <f>19562799790</f>
        <v>19562799790</v>
      </c>
      <c r="E61" s="19" t="s">
        <v>57</v>
      </c>
      <c r="F61" s="19" t="s">
        <v>57</v>
      </c>
      <c r="G61" s="19" t="s">
        <v>57</v>
      </c>
      <c r="H61" s="19" t="s">
        <v>57</v>
      </c>
      <c r="I61" s="19" t="s">
        <v>57</v>
      </c>
      <c r="J61" s="18">
        <f t="shared" si="0"/>
        <v>17.75268142700272</v>
      </c>
      <c r="K61" s="18">
        <f t="shared" si="4"/>
        <v>100.00611994335323</v>
      </c>
      <c r="L61" s="22"/>
    </row>
    <row r="62" spans="2:12" s="26" customFormat="1" ht="12.95" customHeight="1" outlineLevel="1" x14ac:dyDescent="0.2">
      <c r="B62" s="10" t="s">
        <v>36</v>
      </c>
      <c r="C62" s="68">
        <f>234686155</f>
        <v>234686155</v>
      </c>
      <c r="D62" s="71">
        <f>255686155</f>
        <v>255686155</v>
      </c>
      <c r="E62" s="17" t="s">
        <v>57</v>
      </c>
      <c r="F62" s="17" t="s">
        <v>57</v>
      </c>
      <c r="G62" s="17" t="s">
        <v>57</v>
      </c>
      <c r="H62" s="17" t="s">
        <v>57</v>
      </c>
      <c r="I62" s="17" t="s">
        <v>57</v>
      </c>
      <c r="J62" s="18">
        <f t="shared" si="0"/>
        <v>0.23202787452389698</v>
      </c>
      <c r="K62" s="18">
        <f t="shared" si="4"/>
        <v>108.94812052291708</v>
      </c>
      <c r="L62" s="27"/>
    </row>
    <row r="63" spans="2:12" s="26" customFormat="1" ht="25.5" customHeight="1" outlineLevel="1" x14ac:dyDescent="0.2">
      <c r="B63" s="90" t="s">
        <v>110</v>
      </c>
      <c r="C63" s="67">
        <f>C64+C65+C66</f>
        <v>385525824</v>
      </c>
      <c r="D63" s="67">
        <f>D64+D65+D66</f>
        <v>385525824</v>
      </c>
      <c r="E63" s="20" t="s">
        <v>57</v>
      </c>
      <c r="F63" s="20" t="s">
        <v>57</v>
      </c>
      <c r="G63" s="20" t="s">
        <v>57</v>
      </c>
      <c r="H63" s="20" t="s">
        <v>57</v>
      </c>
      <c r="I63" s="20" t="s">
        <v>57</v>
      </c>
      <c r="J63" s="16">
        <f t="shared" si="0"/>
        <v>0.34985366148117791</v>
      </c>
      <c r="K63" s="16">
        <f t="shared" si="4"/>
        <v>100</v>
      </c>
      <c r="L63" s="27"/>
    </row>
    <row r="64" spans="2:12" ht="12.95" customHeight="1" outlineLevel="1" x14ac:dyDescent="0.2">
      <c r="B64" s="93" t="s">
        <v>41</v>
      </c>
      <c r="C64" s="68">
        <f>286421192</f>
        <v>286421192</v>
      </c>
      <c r="D64" s="71">
        <f>286421192</f>
        <v>286421192</v>
      </c>
      <c r="E64" s="17" t="s">
        <v>57</v>
      </c>
      <c r="F64" s="17" t="s">
        <v>57</v>
      </c>
      <c r="G64" s="17" t="s">
        <v>57</v>
      </c>
      <c r="H64" s="17" t="s">
        <v>57</v>
      </c>
      <c r="I64" s="17" t="s">
        <v>57</v>
      </c>
      <c r="J64" s="18">
        <f t="shared" si="0"/>
        <v>0.25991904175789654</v>
      </c>
      <c r="K64" s="18">
        <f t="shared" si="4"/>
        <v>100</v>
      </c>
      <c r="L64" s="22"/>
    </row>
    <row r="65" spans="1:26" ht="12.95" customHeight="1" outlineLevel="1" x14ac:dyDescent="0.2">
      <c r="B65" s="93" t="s">
        <v>39</v>
      </c>
      <c r="C65" s="69">
        <f>3163087</f>
        <v>3163087</v>
      </c>
      <c r="D65" s="69">
        <f>3163087</f>
        <v>3163087</v>
      </c>
      <c r="E65" s="19" t="s">
        <v>57</v>
      </c>
      <c r="F65" s="19" t="s">
        <v>57</v>
      </c>
      <c r="G65" s="19" t="s">
        <v>57</v>
      </c>
      <c r="H65" s="19" t="s">
        <v>57</v>
      </c>
      <c r="I65" s="19" t="s">
        <v>57</v>
      </c>
      <c r="J65" s="18">
        <f t="shared" si="0"/>
        <v>2.8704110065880168E-3</v>
      </c>
      <c r="K65" s="18">
        <f t="shared" si="4"/>
        <v>100</v>
      </c>
      <c r="L65" s="22"/>
    </row>
    <row r="66" spans="1:26" ht="12.95" customHeight="1" outlineLevel="1" x14ac:dyDescent="0.2">
      <c r="B66" s="93" t="s">
        <v>38</v>
      </c>
      <c r="C66" s="68">
        <f>95941545</f>
        <v>95941545</v>
      </c>
      <c r="D66" s="71">
        <f>95941545</f>
        <v>95941545</v>
      </c>
      <c r="E66" s="17" t="s">
        <v>57</v>
      </c>
      <c r="F66" s="17" t="s">
        <v>57</v>
      </c>
      <c r="G66" s="17" t="s">
        <v>57</v>
      </c>
      <c r="H66" s="17" t="s">
        <v>57</v>
      </c>
      <c r="I66" s="17" t="s">
        <v>57</v>
      </c>
      <c r="J66" s="18">
        <f t="shared" si="0"/>
        <v>8.7064208716693389E-2</v>
      </c>
      <c r="K66" s="18">
        <f t="shared" si="4"/>
        <v>100</v>
      </c>
      <c r="L66" s="22"/>
    </row>
    <row r="67" spans="1:26" s="26" customFormat="1" ht="40.5" customHeight="1" outlineLevel="1" x14ac:dyDescent="0.2">
      <c r="B67" s="90" t="s">
        <v>111</v>
      </c>
      <c r="C67" s="67">
        <f>C68+C69</f>
        <v>987429237</v>
      </c>
      <c r="D67" s="67">
        <f>D68+D69</f>
        <v>987429237</v>
      </c>
      <c r="E67" s="20" t="s">
        <v>57</v>
      </c>
      <c r="F67" s="20" t="s">
        <v>57</v>
      </c>
      <c r="G67" s="20" t="s">
        <v>57</v>
      </c>
      <c r="H67" s="20" t="s">
        <v>57</v>
      </c>
      <c r="I67" s="20" t="s">
        <v>57</v>
      </c>
      <c r="J67" s="16">
        <f t="shared" si="0"/>
        <v>0.89606379783787404</v>
      </c>
      <c r="K67" s="16">
        <f t="shared" si="4"/>
        <v>100</v>
      </c>
      <c r="L67" s="27"/>
    </row>
    <row r="68" spans="1:26" ht="12.95" customHeight="1" outlineLevel="1" x14ac:dyDescent="0.2">
      <c r="B68" s="93" t="s">
        <v>38</v>
      </c>
      <c r="C68" s="68">
        <f>841010099</f>
        <v>841010099</v>
      </c>
      <c r="D68" s="71">
        <f>841010099</f>
        <v>841010099</v>
      </c>
      <c r="E68" s="17" t="s">
        <v>57</v>
      </c>
      <c r="F68" s="17" t="s">
        <v>57</v>
      </c>
      <c r="G68" s="17" t="s">
        <v>57</v>
      </c>
      <c r="H68" s="17" t="s">
        <v>57</v>
      </c>
      <c r="I68" s="17" t="s">
        <v>57</v>
      </c>
      <c r="J68" s="18">
        <f t="shared" si="0"/>
        <v>0.76319261683958672</v>
      </c>
      <c r="K68" s="18">
        <f t="shared" si="4"/>
        <v>100</v>
      </c>
      <c r="L68" s="22"/>
    </row>
    <row r="69" spans="1:26" ht="12.95" customHeight="1" outlineLevel="1" x14ac:dyDescent="0.2">
      <c r="B69" s="93" t="s">
        <v>41</v>
      </c>
      <c r="C69" s="69">
        <f>146419138</f>
        <v>146419138</v>
      </c>
      <c r="D69" s="69">
        <f>146419138</f>
        <v>146419138</v>
      </c>
      <c r="E69" s="19" t="s">
        <v>57</v>
      </c>
      <c r="F69" s="19" t="s">
        <v>57</v>
      </c>
      <c r="G69" s="19" t="s">
        <v>57</v>
      </c>
      <c r="H69" s="19" t="s">
        <v>57</v>
      </c>
      <c r="I69" s="19" t="s">
        <v>57</v>
      </c>
      <c r="J69" s="18">
        <f t="shared" si="0"/>
        <v>0.13287118099828735</v>
      </c>
      <c r="K69" s="18">
        <f t="shared" si="4"/>
        <v>100</v>
      </c>
      <c r="L69" s="22"/>
    </row>
    <row r="70" spans="1:26" ht="11.25" customHeight="1" x14ac:dyDescent="0.2">
      <c r="B70" s="28"/>
      <c r="C70" s="29"/>
      <c r="D70" s="29"/>
      <c r="E70" s="29"/>
      <c r="F70" s="29"/>
      <c r="G70" s="29"/>
      <c r="H70" s="29"/>
      <c r="I70" s="29"/>
      <c r="J70" s="21"/>
      <c r="K70" s="21"/>
      <c r="L70" s="22"/>
    </row>
    <row r="71" spans="1:26" ht="13.5" customHeight="1" x14ac:dyDescent="0.2">
      <c r="B71" s="65" t="s">
        <v>5</v>
      </c>
      <c r="C71" s="20">
        <f t="shared" ref="C71:I71" si="5">+C5</f>
        <v>111176400206.36</v>
      </c>
      <c r="D71" s="20">
        <f t="shared" si="5"/>
        <v>110196309613.50999</v>
      </c>
      <c r="E71" s="20">
        <f t="shared" si="5"/>
        <v>530508047.67000002</v>
      </c>
      <c r="F71" s="20">
        <f t="shared" si="5"/>
        <v>137750597.5</v>
      </c>
      <c r="G71" s="20">
        <f t="shared" si="5"/>
        <v>29774137.129999999</v>
      </c>
      <c r="H71" s="20">
        <f t="shared" si="5"/>
        <v>75889359.590000004</v>
      </c>
      <c r="I71" s="20">
        <f t="shared" si="5"/>
        <v>2560577.77</v>
      </c>
      <c r="J71" s="16">
        <f t="shared" si="0"/>
        <v>100</v>
      </c>
      <c r="K71" s="16">
        <f>IF(C71=0,"",100*D71/C71)</f>
        <v>99.11843647479968</v>
      </c>
      <c r="L71" s="22"/>
    </row>
    <row r="72" spans="1:26" x14ac:dyDescent="0.2">
      <c r="B72" s="100" t="s">
        <v>75</v>
      </c>
      <c r="C72" s="19">
        <f>9011588374.43</f>
        <v>9011588374.4300003</v>
      </c>
      <c r="D72" s="19">
        <f>7729814773.27001</f>
        <v>7729814773.27001</v>
      </c>
      <c r="E72" s="19">
        <f>0</f>
        <v>0</v>
      </c>
      <c r="F72" s="19">
        <f>0</f>
        <v>0</v>
      </c>
      <c r="G72" s="19">
        <f>0</f>
        <v>0</v>
      </c>
      <c r="H72" s="19">
        <f>0</f>
        <v>0</v>
      </c>
      <c r="I72" s="19">
        <f>0</f>
        <v>0</v>
      </c>
      <c r="J72" s="18">
        <f t="shared" si="0"/>
        <v>7.0145858789470203</v>
      </c>
      <c r="K72" s="18">
        <f>IF(C72=0,"",100*D72/C72)</f>
        <v>85.776385383991027</v>
      </c>
      <c r="L72" s="22"/>
    </row>
    <row r="73" spans="1:26" s="26" customFormat="1" x14ac:dyDescent="0.2">
      <c r="A73" s="9"/>
      <c r="B73" s="100" t="s">
        <v>76</v>
      </c>
      <c r="C73" s="19">
        <f>C71-C72</f>
        <v>102164811831.92999</v>
      </c>
      <c r="D73" s="19">
        <f t="shared" ref="D73:I73" si="6">D71-D72</f>
        <v>102466494840.23999</v>
      </c>
      <c r="E73" s="19">
        <f t="shared" si="6"/>
        <v>530508047.67000002</v>
      </c>
      <c r="F73" s="19">
        <f t="shared" si="6"/>
        <v>137750597.5</v>
      </c>
      <c r="G73" s="19">
        <f t="shared" si="6"/>
        <v>29774137.129999999</v>
      </c>
      <c r="H73" s="19">
        <f t="shared" si="6"/>
        <v>75889359.590000004</v>
      </c>
      <c r="I73" s="19">
        <f t="shared" si="6"/>
        <v>2560577.77</v>
      </c>
      <c r="J73" s="18">
        <f t="shared" si="0"/>
        <v>92.985414121052997</v>
      </c>
      <c r="K73" s="18">
        <f>IF(C73=0,"",100*D73/C73)</f>
        <v>100.2952905241056</v>
      </c>
      <c r="L73" s="30"/>
    </row>
    <row r="74" spans="1:26" s="26" customFormat="1" x14ac:dyDescent="0.2">
      <c r="A74" s="9"/>
      <c r="B74" s="106" t="s">
        <v>119</v>
      </c>
      <c r="C74" s="29"/>
      <c r="D74" s="29"/>
      <c r="E74" s="29"/>
      <c r="F74" s="29"/>
      <c r="G74" s="29"/>
      <c r="H74" s="29"/>
      <c r="I74" s="29"/>
      <c r="J74" s="21"/>
      <c r="K74" s="21"/>
      <c r="L74" s="30"/>
    </row>
    <row r="75" spans="1:26" s="26" customFormat="1" x14ac:dyDescent="0.2">
      <c r="A75" s="9"/>
      <c r="B75" s="105" t="s">
        <v>118</v>
      </c>
      <c r="C75" s="29"/>
      <c r="D75" s="29"/>
      <c r="E75" s="29"/>
      <c r="F75" s="29"/>
      <c r="G75" s="29"/>
      <c r="H75" s="29"/>
      <c r="I75" s="29"/>
      <c r="J75" s="21"/>
      <c r="K75" s="21"/>
      <c r="L75" s="30"/>
    </row>
    <row r="76" spans="1:26" ht="18" x14ac:dyDescent="0.2">
      <c r="B76" s="87" t="str">
        <f>CONCATENATE("Informacja z wykonania budżetów miast na prawach powiatu za ",$D$133," ",$C$134," rok    ",$C$136,"")</f>
        <v xml:space="preserve">Informacja z wykonania budżetów miast na prawach powiatu za IV Kwartały 2022 rok    </v>
      </c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</row>
    <row r="77" spans="1:26" s="26" customFormat="1" x14ac:dyDescent="0.2">
      <c r="B77" s="31"/>
      <c r="C77" s="32"/>
      <c r="D77" s="32"/>
      <c r="E77" s="32"/>
      <c r="F77" s="33"/>
      <c r="G77" s="33"/>
      <c r="H77" s="33"/>
      <c r="I77" s="33"/>
      <c r="J77" s="33"/>
      <c r="K77" s="1"/>
      <c r="L77" s="1"/>
      <c r="M77" s="34"/>
    </row>
    <row r="78" spans="1:26" ht="29.25" customHeight="1" x14ac:dyDescent="0.2">
      <c r="B78" s="110" t="s">
        <v>0</v>
      </c>
      <c r="C78" s="107" t="s">
        <v>47</v>
      </c>
      <c r="D78" s="107" t="s">
        <v>49</v>
      </c>
      <c r="E78" s="107" t="s">
        <v>48</v>
      </c>
      <c r="F78" s="107" t="s">
        <v>10</v>
      </c>
      <c r="G78" s="107"/>
      <c r="H78" s="107"/>
      <c r="I78" s="113" t="s">
        <v>86</v>
      </c>
      <c r="J78" s="107" t="s">
        <v>2</v>
      </c>
      <c r="K78" s="111" t="s">
        <v>16</v>
      </c>
      <c r="M78" s="35"/>
      <c r="N78" s="52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spans="1:26" ht="18" customHeight="1" x14ac:dyDescent="0.2">
      <c r="B79" s="110"/>
      <c r="C79" s="107"/>
      <c r="D79" s="107"/>
      <c r="E79" s="108"/>
      <c r="F79" s="112" t="s">
        <v>50</v>
      </c>
      <c r="G79" s="127" t="s">
        <v>28</v>
      </c>
      <c r="H79" s="108"/>
      <c r="I79" s="114"/>
      <c r="J79" s="107"/>
      <c r="K79" s="111"/>
      <c r="L79" s="2"/>
      <c r="M79" s="3"/>
      <c r="N79" s="52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spans="1:26" ht="58.5" customHeight="1" x14ac:dyDescent="0.2">
      <c r="B80" s="110"/>
      <c r="C80" s="107"/>
      <c r="D80" s="107"/>
      <c r="E80" s="108"/>
      <c r="F80" s="108"/>
      <c r="G80" s="7" t="s">
        <v>45</v>
      </c>
      <c r="H80" s="7" t="s">
        <v>46</v>
      </c>
      <c r="I80" s="115"/>
      <c r="J80" s="107"/>
      <c r="K80" s="111"/>
      <c r="L80" s="2"/>
      <c r="M80" s="35"/>
      <c r="N80" s="52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spans="2:26" ht="13.5" customHeight="1" x14ac:dyDescent="0.2">
      <c r="B81" s="110"/>
      <c r="C81" s="116" t="s">
        <v>79</v>
      </c>
      <c r="D81" s="117"/>
      <c r="E81" s="117"/>
      <c r="F81" s="117"/>
      <c r="G81" s="117"/>
      <c r="H81" s="117"/>
      <c r="I81" s="118"/>
      <c r="J81" s="124" t="s">
        <v>4</v>
      </c>
      <c r="K81" s="124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spans="2:26" ht="11.25" customHeight="1" x14ac:dyDescent="0.2">
      <c r="B82" s="6">
        <v>1</v>
      </c>
      <c r="C82" s="8">
        <v>2</v>
      </c>
      <c r="D82" s="8">
        <v>3</v>
      </c>
      <c r="E82" s="8">
        <v>4</v>
      </c>
      <c r="F82" s="6">
        <v>5</v>
      </c>
      <c r="G82" s="6">
        <v>6</v>
      </c>
      <c r="H82" s="8">
        <v>7</v>
      </c>
      <c r="I82" s="8">
        <v>8</v>
      </c>
      <c r="J82" s="6">
        <v>9</v>
      </c>
      <c r="K82" s="8">
        <v>10</v>
      </c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spans="2:26" ht="25.5" customHeight="1" x14ac:dyDescent="0.2">
      <c r="B83" s="65" t="s">
        <v>65</v>
      </c>
      <c r="C83" s="74">
        <f>121726675704.45</f>
        <v>121726675704.45</v>
      </c>
      <c r="D83" s="74">
        <f>114568096518.72</f>
        <v>114568096518.72</v>
      </c>
      <c r="E83" s="74">
        <f>114636867741.65</f>
        <v>114636867741.64999</v>
      </c>
      <c r="F83" s="74">
        <f>5567266597.32</f>
        <v>5567266597.3199997</v>
      </c>
      <c r="G83" s="74">
        <f>497917.04</f>
        <v>497917.04</v>
      </c>
      <c r="H83" s="74">
        <f>1020766.09</f>
        <v>1020766.09</v>
      </c>
      <c r="I83" s="74">
        <f>384772036.45</f>
        <v>384772036.44999999</v>
      </c>
      <c r="J83" s="43">
        <f>IF($D$83=0,"",100*$D83/$D$83)</f>
        <v>100</v>
      </c>
      <c r="K83" s="43">
        <f>IF(C83=0,"",100*D83/C83)</f>
        <v>94.119136874228872</v>
      </c>
      <c r="N83" s="53"/>
      <c r="O83" s="54"/>
    </row>
    <row r="84" spans="2:26" x14ac:dyDescent="0.2">
      <c r="B84" s="88" t="s">
        <v>12</v>
      </c>
      <c r="C84" s="75">
        <f>20444623809</f>
        <v>20444623809</v>
      </c>
      <c r="D84" s="75">
        <f>17257835248.66</f>
        <v>17257835248.66</v>
      </c>
      <c r="E84" s="75">
        <f>17318687097.4</f>
        <v>17318687097.400002</v>
      </c>
      <c r="F84" s="75">
        <f>552116864.43</f>
        <v>552116864.42999995</v>
      </c>
      <c r="G84" s="75">
        <f>567.01</f>
        <v>567.01</v>
      </c>
      <c r="H84" s="75">
        <f>127273.5</f>
        <v>127273.5</v>
      </c>
      <c r="I84" s="75">
        <f>355811972.37</f>
        <v>355811972.37</v>
      </c>
      <c r="J84" s="43">
        <f t="shared" ref="J84:J92" si="7">IF($D$83=0,"",100*$D84/$D$83)</f>
        <v>15.063386556169355</v>
      </c>
      <c r="K84" s="43">
        <f t="shared" ref="K84:K92" si="8">IF(C84=0,"",100*D84/C84)</f>
        <v>84.412584011757986</v>
      </c>
      <c r="N84" s="55"/>
      <c r="O84" s="54"/>
    </row>
    <row r="85" spans="2:26" ht="12.95" customHeight="1" outlineLevel="1" x14ac:dyDescent="0.2">
      <c r="B85" s="10" t="s">
        <v>11</v>
      </c>
      <c r="C85" s="69">
        <f>17844254149.77</f>
        <v>17844254149.77</v>
      </c>
      <c r="D85" s="69">
        <f>14720432648.73</f>
        <v>14720432648.73</v>
      </c>
      <c r="E85" s="69">
        <f>14781284497.47</f>
        <v>14781284497.469999</v>
      </c>
      <c r="F85" s="69">
        <f>527526130.77</f>
        <v>527526130.76999998</v>
      </c>
      <c r="G85" s="69">
        <f>567.01</f>
        <v>567.01</v>
      </c>
      <c r="H85" s="69">
        <f>127273.5</f>
        <v>127273.5</v>
      </c>
      <c r="I85" s="69">
        <f>355811972.37</f>
        <v>355811972.37</v>
      </c>
      <c r="J85" s="43">
        <f t="shared" si="7"/>
        <v>12.848631596427664</v>
      </c>
      <c r="K85" s="43">
        <f t="shared" si="8"/>
        <v>82.493964304581127</v>
      </c>
      <c r="N85" s="29"/>
      <c r="O85" s="54"/>
    </row>
    <row r="86" spans="2:26" ht="25.5" customHeight="1" x14ac:dyDescent="0.2">
      <c r="B86" s="88" t="s">
        <v>66</v>
      </c>
      <c r="C86" s="75">
        <f t="shared" ref="C86:I86" si="9">C83-C84</f>
        <v>101282051895.45</v>
      </c>
      <c r="D86" s="75">
        <f t="shared" si="9"/>
        <v>97310261270.059998</v>
      </c>
      <c r="E86" s="75">
        <f>E83-E84</f>
        <v>97318180644.25</v>
      </c>
      <c r="F86" s="75">
        <f t="shared" si="9"/>
        <v>5015149732.8899994</v>
      </c>
      <c r="G86" s="75">
        <f t="shared" si="9"/>
        <v>497350.02999999997</v>
      </c>
      <c r="H86" s="75">
        <f t="shared" si="9"/>
        <v>893492.59</v>
      </c>
      <c r="I86" s="75">
        <f t="shared" si="9"/>
        <v>28960064.079999983</v>
      </c>
      <c r="J86" s="43">
        <f t="shared" si="7"/>
        <v>84.936613443830637</v>
      </c>
      <c r="K86" s="43">
        <f t="shared" si="8"/>
        <v>96.078485229061172</v>
      </c>
      <c r="N86" s="55"/>
      <c r="O86" s="54"/>
    </row>
    <row r="87" spans="2:26" ht="24" customHeight="1" outlineLevel="1" x14ac:dyDescent="0.2">
      <c r="B87" s="10" t="s">
        <v>107</v>
      </c>
      <c r="C87" s="69">
        <f>38030891758.7699</f>
        <v>38030891758.769897</v>
      </c>
      <c r="D87" s="69">
        <f>37417389505.9799</f>
        <v>37417389505.979897</v>
      </c>
      <c r="E87" s="69">
        <f>37417464387.3699</f>
        <v>37417464387.369904</v>
      </c>
      <c r="F87" s="69">
        <f>3326356242.9</f>
        <v>3326356242.9000001</v>
      </c>
      <c r="G87" s="69">
        <f>7532.45</f>
        <v>7532.45</v>
      </c>
      <c r="H87" s="69">
        <f>481.04</f>
        <v>481.04</v>
      </c>
      <c r="I87" s="69">
        <f>50187</f>
        <v>50187</v>
      </c>
      <c r="J87" s="43">
        <f t="shared" si="7"/>
        <v>32.659519223020375</v>
      </c>
      <c r="K87" s="43">
        <f t="shared" si="8"/>
        <v>98.386831797998724</v>
      </c>
      <c r="N87" s="29"/>
      <c r="O87" s="54"/>
    </row>
    <row r="88" spans="2:26" ht="12.95" customHeight="1" outlineLevel="1" x14ac:dyDescent="0.2">
      <c r="B88" s="10" t="s">
        <v>44</v>
      </c>
      <c r="C88" s="76">
        <f>12142184942.16</f>
        <v>12142184942.16</v>
      </c>
      <c r="D88" s="76">
        <f>11962292623.9</f>
        <v>11962292623.9</v>
      </c>
      <c r="E88" s="76">
        <f>11964542950.46</f>
        <v>11964542950.459999</v>
      </c>
      <c r="F88" s="76">
        <f>1501981.32</f>
        <v>1501981.32</v>
      </c>
      <c r="G88" s="76">
        <f>0</f>
        <v>0</v>
      </c>
      <c r="H88" s="76">
        <f>65284.68</f>
        <v>65284.68</v>
      </c>
      <c r="I88" s="76">
        <f>0</f>
        <v>0</v>
      </c>
      <c r="J88" s="43">
        <f t="shared" si="7"/>
        <v>10.441207445517266</v>
      </c>
      <c r="K88" s="43">
        <f t="shared" si="8"/>
        <v>98.518451834518032</v>
      </c>
      <c r="N88" s="56"/>
      <c r="O88" s="54"/>
    </row>
    <row r="89" spans="2:26" ht="12.95" customHeight="1" outlineLevel="1" x14ac:dyDescent="0.2">
      <c r="B89" s="10" t="s">
        <v>43</v>
      </c>
      <c r="C89" s="69">
        <f>1976598980.37</f>
        <v>1976598980.3699999</v>
      </c>
      <c r="D89" s="69">
        <f>1922207593.95</f>
        <v>1922207593.95</v>
      </c>
      <c r="E89" s="69">
        <f>1922207594.83</f>
        <v>1922207594.8299999</v>
      </c>
      <c r="F89" s="69">
        <f>78027556.11</f>
        <v>78027556.109999999</v>
      </c>
      <c r="G89" s="69">
        <f>0</f>
        <v>0</v>
      </c>
      <c r="H89" s="69">
        <f>0</f>
        <v>0</v>
      </c>
      <c r="I89" s="69">
        <f>0</f>
        <v>0</v>
      </c>
      <c r="J89" s="43">
        <f t="shared" si="7"/>
        <v>1.677786096093443</v>
      </c>
      <c r="K89" s="43">
        <f t="shared" si="8"/>
        <v>97.248233609337476</v>
      </c>
      <c r="N89" s="29"/>
      <c r="O89" s="54"/>
    </row>
    <row r="90" spans="2:26" ht="22.5" customHeight="1" outlineLevel="1" x14ac:dyDescent="0.2">
      <c r="B90" s="10" t="s">
        <v>72</v>
      </c>
      <c r="C90" s="76">
        <f>50776061.26</f>
        <v>50776061.259999998</v>
      </c>
      <c r="D90" s="76">
        <f>17578304.92</f>
        <v>17578304.920000002</v>
      </c>
      <c r="E90" s="76">
        <f>17578304.92</f>
        <v>17578304.920000002</v>
      </c>
      <c r="F90" s="76">
        <f>0</f>
        <v>0</v>
      </c>
      <c r="G90" s="76">
        <f>0</f>
        <v>0</v>
      </c>
      <c r="H90" s="76">
        <f>0</f>
        <v>0</v>
      </c>
      <c r="I90" s="76">
        <f>0</f>
        <v>0</v>
      </c>
      <c r="J90" s="43">
        <f t="shared" si="7"/>
        <v>1.5343106374406572E-2</v>
      </c>
      <c r="K90" s="43">
        <f t="shared" si="8"/>
        <v>34.619276256954798</v>
      </c>
      <c r="N90" s="56"/>
      <c r="O90" s="54"/>
    </row>
    <row r="91" spans="2:26" ht="22.5" customHeight="1" outlineLevel="1" x14ac:dyDescent="0.2">
      <c r="B91" s="10" t="s">
        <v>73</v>
      </c>
      <c r="C91" s="76">
        <f>13659943728.95</f>
        <v>13659943728.950001</v>
      </c>
      <c r="D91" s="76">
        <f>13100753585.64</f>
        <v>13100753585.639999</v>
      </c>
      <c r="E91" s="76">
        <f>13101821016.1</f>
        <v>13101821016.1</v>
      </c>
      <c r="F91" s="76">
        <f>62032803.36</f>
        <v>62032803.359999999</v>
      </c>
      <c r="G91" s="76">
        <f>13514.02</f>
        <v>13514.02</v>
      </c>
      <c r="H91" s="76">
        <f>257418.03</f>
        <v>257418.03</v>
      </c>
      <c r="I91" s="77">
        <f>0</f>
        <v>0</v>
      </c>
      <c r="J91" s="43">
        <f t="shared" si="7"/>
        <v>11.434905513595039</v>
      </c>
      <c r="K91" s="43">
        <f t="shared" si="8"/>
        <v>95.90635104795571</v>
      </c>
      <c r="N91" s="56"/>
      <c r="O91" s="54"/>
    </row>
    <row r="92" spans="2:26" ht="12.95" customHeight="1" outlineLevel="1" x14ac:dyDescent="0.2">
      <c r="B92" s="10" t="s">
        <v>42</v>
      </c>
      <c r="C92" s="69">
        <f t="shared" ref="C92:I92" si="10">C86-C87-C88-C89-C90-C91</f>
        <v>35421656423.940094</v>
      </c>
      <c r="D92" s="69">
        <f t="shared" si="10"/>
        <v>32890039655.670105</v>
      </c>
      <c r="E92" s="69">
        <f>E86-E87-E88-E89-E90-E91</f>
        <v>32894566390.570099</v>
      </c>
      <c r="F92" s="69">
        <f t="shared" si="10"/>
        <v>1547231149.1999996</v>
      </c>
      <c r="G92" s="69">
        <f t="shared" si="10"/>
        <v>476303.55999999994</v>
      </c>
      <c r="H92" s="69">
        <f t="shared" si="10"/>
        <v>570308.83999999985</v>
      </c>
      <c r="I92" s="77">
        <f t="shared" si="10"/>
        <v>28909877.079999983</v>
      </c>
      <c r="J92" s="43">
        <f t="shared" si="7"/>
        <v>28.707852059230117</v>
      </c>
      <c r="K92" s="43">
        <f t="shared" si="8"/>
        <v>92.852912529073691</v>
      </c>
      <c r="N92" s="29"/>
      <c r="O92" s="54"/>
    </row>
    <row r="93" spans="2:26" x14ac:dyDescent="0.2">
      <c r="B93" s="65" t="s">
        <v>13</v>
      </c>
      <c r="C93" s="75">
        <f>C5-C83</f>
        <v>-10550275498.089996</v>
      </c>
      <c r="D93" s="75">
        <f>D5-D83</f>
        <v>-4371786905.2100067</v>
      </c>
      <c r="E93" s="61"/>
      <c r="F93" s="55"/>
      <c r="G93" s="55"/>
      <c r="H93" s="55"/>
      <c r="I93" s="128"/>
      <c r="J93" s="128"/>
      <c r="K93" s="37"/>
      <c r="L93" s="37"/>
      <c r="M93" s="4"/>
      <c r="N93" s="54"/>
      <c r="O93" s="55"/>
    </row>
    <row r="94" spans="2:26" ht="38.25" x14ac:dyDescent="0.2">
      <c r="B94" s="96" t="s">
        <v>112</v>
      </c>
      <c r="C94" s="75">
        <f>+C73-C86</f>
        <v>882759936.47999573</v>
      </c>
      <c r="D94" s="75">
        <f>+D73-D86</f>
        <v>5156233570.1799927</v>
      </c>
      <c r="E94" s="61"/>
      <c r="F94" s="55"/>
      <c r="G94" s="55"/>
      <c r="H94" s="55"/>
      <c r="I94" s="55"/>
      <c r="J94" s="55"/>
      <c r="K94" s="37"/>
      <c r="L94" s="37"/>
      <c r="M94" s="4"/>
      <c r="N94" s="54"/>
      <c r="O94" s="55"/>
    </row>
    <row r="95" spans="2:26" ht="8.25" customHeight="1" x14ac:dyDescent="0.2">
      <c r="B95" s="38"/>
      <c r="C95" s="39"/>
      <c r="D95" s="39"/>
      <c r="E95" s="39"/>
      <c r="F95" s="40"/>
      <c r="G95" s="40"/>
      <c r="H95" s="40"/>
      <c r="I95" s="40"/>
      <c r="J95" s="41"/>
      <c r="K95" s="41"/>
      <c r="L95" s="42"/>
      <c r="M95" s="35"/>
    </row>
    <row r="96" spans="2:26" x14ac:dyDescent="0.2">
      <c r="B96" s="104" t="s">
        <v>114</v>
      </c>
      <c r="C96" s="57"/>
      <c r="D96" s="57"/>
      <c r="E96" s="57"/>
      <c r="F96" s="58"/>
      <c r="G96" s="58"/>
      <c r="H96" s="58"/>
      <c r="I96" s="58"/>
      <c r="J96" s="59"/>
      <c r="K96" s="59"/>
      <c r="L96" s="42"/>
      <c r="M96" s="35"/>
    </row>
    <row r="97" spans="2:13" ht="26.25" customHeight="1" x14ac:dyDescent="0.2">
      <c r="B97" s="65" t="s">
        <v>91</v>
      </c>
      <c r="C97" s="78">
        <f>7638407175.54</f>
        <v>7638407175.54</v>
      </c>
      <c r="D97" s="79">
        <f>6279733429.43</f>
        <v>6279733429.4300003</v>
      </c>
      <c r="E97" s="79">
        <f>6321853100.28</f>
        <v>6321853100.2799997</v>
      </c>
      <c r="F97" s="79">
        <f>184572875.97</f>
        <v>184572875.97</v>
      </c>
      <c r="G97" s="79">
        <f>0</f>
        <v>0</v>
      </c>
      <c r="H97" s="79">
        <f>0</f>
        <v>0</v>
      </c>
      <c r="I97" s="79">
        <f>66117558.48</f>
        <v>66117558.479999997</v>
      </c>
      <c r="J97" s="62">
        <f>IF($D$97=0,"",100*$D97/$D$97)</f>
        <v>100</v>
      </c>
      <c r="K97" s="43">
        <f>IF(C97=0,"",100*D97/C97)</f>
        <v>82.212603820587134</v>
      </c>
      <c r="L97" s="35"/>
    </row>
    <row r="98" spans="2:13" ht="15" customHeight="1" x14ac:dyDescent="0.2">
      <c r="B98" s="101" t="s">
        <v>77</v>
      </c>
      <c r="C98" s="80">
        <f>6686638290.55</f>
        <v>6686638290.5500002</v>
      </c>
      <c r="D98" s="76">
        <f>5586822466.9</f>
        <v>5586822466.8999996</v>
      </c>
      <c r="E98" s="76">
        <f>5628421426.1</f>
        <v>5628421426.1000004</v>
      </c>
      <c r="F98" s="76">
        <f>175600356.81</f>
        <v>175600356.81</v>
      </c>
      <c r="G98" s="76">
        <f>0</f>
        <v>0</v>
      </c>
      <c r="H98" s="76">
        <f>0</f>
        <v>0</v>
      </c>
      <c r="I98" s="76">
        <f>65353683.48</f>
        <v>65353683.479999997</v>
      </c>
      <c r="J98" s="62">
        <f>IF($D$97=0,"",100*$D98/$D$97)</f>
        <v>88.96591757728649</v>
      </c>
      <c r="K98" s="62">
        <f>IF(C98=0,"",100*D98/C98)</f>
        <v>83.552036526271607</v>
      </c>
      <c r="L98" s="35"/>
    </row>
    <row r="99" spans="2:13" x14ac:dyDescent="0.2">
      <c r="B99" s="102" t="s">
        <v>78</v>
      </c>
      <c r="C99" s="80">
        <f>C97-C98</f>
        <v>951768884.98999977</v>
      </c>
      <c r="D99" s="76">
        <f t="shared" ref="D99:I99" si="11">D97-D98</f>
        <v>692910962.53000069</v>
      </c>
      <c r="E99" s="76">
        <f t="shared" si="11"/>
        <v>693431674.17999935</v>
      </c>
      <c r="F99" s="76">
        <f t="shared" si="11"/>
        <v>8972519.1599999964</v>
      </c>
      <c r="G99" s="76">
        <f t="shared" si="11"/>
        <v>0</v>
      </c>
      <c r="H99" s="76">
        <f t="shared" si="11"/>
        <v>0</v>
      </c>
      <c r="I99" s="76">
        <f t="shared" si="11"/>
        <v>763875</v>
      </c>
      <c r="J99" s="62">
        <f>IF($D$97=0,"",100*$D99/$D$97)</f>
        <v>11.034082422713521</v>
      </c>
      <c r="K99" s="62">
        <f>IF(C99=0,"",100*D99/C99)</f>
        <v>72.802439064529935</v>
      </c>
    </row>
    <row r="100" spans="2:13" ht="6" customHeight="1" x14ac:dyDescent="0.2"/>
    <row r="101" spans="2:13" ht="18" x14ac:dyDescent="0.2">
      <c r="B101" s="87" t="str">
        <f>CONCATENATE("Informacja z wykonania budżetów miast na prawach powiatu za ",$D$133," ",$C$134," rok    ",$C$136,"")</f>
        <v xml:space="preserve">Informacja z wykonania budżetów miast na prawach powiatu za IV Kwartały 2022 rok    </v>
      </c>
      <c r="C101" s="87"/>
      <c r="D101" s="87"/>
      <c r="E101" s="87"/>
      <c r="F101" s="87"/>
      <c r="G101" s="87"/>
      <c r="H101" s="87"/>
      <c r="I101" s="87"/>
      <c r="J101" s="87"/>
      <c r="K101" s="87"/>
      <c r="L101" s="87"/>
      <c r="M101" s="87"/>
    </row>
    <row r="102" spans="2:13" ht="6.75" customHeight="1" x14ac:dyDescent="0.2"/>
    <row r="103" spans="2:13" x14ac:dyDescent="0.2">
      <c r="B103" s="13" t="s">
        <v>14</v>
      </c>
      <c r="C103" s="51" t="s">
        <v>15</v>
      </c>
      <c r="D103" s="8" t="s">
        <v>1</v>
      </c>
      <c r="E103" s="8" t="s">
        <v>23</v>
      </c>
      <c r="F103" s="8" t="s">
        <v>24</v>
      </c>
    </row>
    <row r="104" spans="2:13" x14ac:dyDescent="0.2">
      <c r="B104" s="13"/>
      <c r="C104" s="112" t="s">
        <v>79</v>
      </c>
      <c r="D104" s="119"/>
      <c r="E104" s="122" t="s">
        <v>4</v>
      </c>
      <c r="F104" s="123"/>
    </row>
    <row r="105" spans="2:13" x14ac:dyDescent="0.2">
      <c r="B105" s="11">
        <v>1</v>
      </c>
      <c r="C105" s="14">
        <v>2</v>
      </c>
      <c r="D105" s="12">
        <v>3</v>
      </c>
      <c r="E105" s="12">
        <v>4</v>
      </c>
      <c r="F105" s="12">
        <v>5</v>
      </c>
    </row>
    <row r="106" spans="2:13" ht="25.5" x14ac:dyDescent="0.2">
      <c r="B106" s="63" t="s">
        <v>67</v>
      </c>
      <c r="C106" s="81">
        <f>16719565387.07</f>
        <v>16719565387.07</v>
      </c>
      <c r="D106" s="74">
        <f>17923496684.3</f>
        <v>17923496684.299999</v>
      </c>
      <c r="E106" s="44">
        <f>IF($D$106=0,"",100*$D106/$D$106)</f>
        <v>100</v>
      </c>
      <c r="F106" s="36">
        <f t="shared" ref="F106:F113" si="12">IF(C106=0,"",100*D106/C106)</f>
        <v>107.20073320901663</v>
      </c>
    </row>
    <row r="107" spans="2:13" ht="22.5" x14ac:dyDescent="0.2">
      <c r="B107" s="97" t="s">
        <v>92</v>
      </c>
      <c r="C107" s="82">
        <f>5458358487.85</f>
        <v>5458358487.8500004</v>
      </c>
      <c r="D107" s="71">
        <f>4220445265.06</f>
        <v>4220445265.0599999</v>
      </c>
      <c r="E107" s="45">
        <f t="shared" ref="E107:E113" si="13">IF($D$106=0,"",100*$D107/$D$106)</f>
        <v>23.546997214873137</v>
      </c>
      <c r="F107" s="46">
        <f t="shared" si="12"/>
        <v>77.320778297256851</v>
      </c>
    </row>
    <row r="108" spans="2:13" ht="22.5" x14ac:dyDescent="0.2">
      <c r="B108" s="99" t="s">
        <v>93</v>
      </c>
      <c r="C108" s="83">
        <f>965426000</f>
        <v>965426000</v>
      </c>
      <c r="D108" s="70">
        <f>965426000</f>
        <v>965426000</v>
      </c>
      <c r="E108" s="47">
        <f t="shared" si="13"/>
        <v>5.3863708460730226</v>
      </c>
      <c r="F108" s="43">
        <f t="shared" si="12"/>
        <v>100</v>
      </c>
    </row>
    <row r="109" spans="2:13" ht="12.95" customHeight="1" x14ac:dyDescent="0.2">
      <c r="B109" s="98" t="s">
        <v>94</v>
      </c>
      <c r="C109" s="83">
        <f>35697280.71</f>
        <v>35697280.710000001</v>
      </c>
      <c r="D109" s="70">
        <f>37574478.24</f>
        <v>37574478.240000002</v>
      </c>
      <c r="E109" s="47">
        <f t="shared" si="13"/>
        <v>0.20963810188283843</v>
      </c>
      <c r="F109" s="43">
        <f t="shared" si="12"/>
        <v>105.25865694154719</v>
      </c>
    </row>
    <row r="110" spans="2:13" ht="45.75" customHeight="1" x14ac:dyDescent="0.2">
      <c r="B110" s="98" t="s">
        <v>103</v>
      </c>
      <c r="C110" s="83">
        <f>123894090.64</f>
        <v>123894090.64</v>
      </c>
      <c r="D110" s="70">
        <f>182051612.39</f>
        <v>182051612.38999999</v>
      </c>
      <c r="E110" s="47">
        <f t="shared" si="13"/>
        <v>1.0157148217036647</v>
      </c>
      <c r="F110" s="43">
        <f t="shared" si="12"/>
        <v>146.94132016270959</v>
      </c>
    </row>
    <row r="111" spans="2:13" ht="35.25" customHeight="1" x14ac:dyDescent="0.2">
      <c r="B111" s="98" t="s">
        <v>99</v>
      </c>
      <c r="C111" s="83">
        <f>1404700554.31</f>
        <v>1404700554.3099999</v>
      </c>
      <c r="D111" s="70">
        <f>1683837948.74</f>
        <v>1683837948.74</v>
      </c>
      <c r="E111" s="47">
        <f t="shared" si="13"/>
        <v>9.3945839832411142</v>
      </c>
      <c r="F111" s="43">
        <f t="shared" si="12"/>
        <v>119.87166542887246</v>
      </c>
    </row>
    <row r="112" spans="2:13" ht="12.95" customHeight="1" x14ac:dyDescent="0.2">
      <c r="B112" s="98" t="s">
        <v>95</v>
      </c>
      <c r="C112" s="83">
        <f>0</f>
        <v>0</v>
      </c>
      <c r="D112" s="70">
        <f>348143.76</f>
        <v>348143.76</v>
      </c>
      <c r="E112" s="47">
        <f t="shared" si="13"/>
        <v>1.9423875046935169E-3</v>
      </c>
      <c r="F112" s="43" t="str">
        <f t="shared" si="12"/>
        <v/>
      </c>
    </row>
    <row r="113" spans="2:8" ht="35.25" customHeight="1" x14ac:dyDescent="0.2">
      <c r="B113" s="98" t="s">
        <v>98</v>
      </c>
      <c r="C113" s="83">
        <f>9531012678.25</f>
        <v>9531012678.25</v>
      </c>
      <c r="D113" s="70">
        <f>11641836940.8</f>
        <v>11641836940.799999</v>
      </c>
      <c r="E113" s="47">
        <f t="shared" si="13"/>
        <v>64.952933826788453</v>
      </c>
      <c r="F113" s="43">
        <f t="shared" si="12"/>
        <v>122.14690436166298</v>
      </c>
    </row>
    <row r="114" spans="2:8" ht="12.95" customHeight="1" x14ac:dyDescent="0.2">
      <c r="B114" s="98" t="s">
        <v>81</v>
      </c>
      <c r="C114" s="83">
        <f>165902295.31</f>
        <v>165902295.31</v>
      </c>
      <c r="D114" s="70">
        <f>157402295.31</f>
        <v>157402295.31</v>
      </c>
      <c r="E114" s="47"/>
      <c r="F114" s="43"/>
    </row>
    <row r="115" spans="2:8" ht="25.5" x14ac:dyDescent="0.2">
      <c r="B115" s="66" t="s">
        <v>68</v>
      </c>
      <c r="C115" s="84">
        <f>6160192656.98</f>
        <v>6160192656.9799995</v>
      </c>
      <c r="D115" s="74">
        <f>6084689966.1</f>
        <v>6084689966.1000004</v>
      </c>
      <c r="E115" s="48">
        <f>IF($D$115=0,"",100*$D115/$D$115)</f>
        <v>100</v>
      </c>
      <c r="F115" s="36">
        <f>IF(C115=0,"",100*D115/C115)</f>
        <v>98.774345299177469</v>
      </c>
    </row>
    <row r="116" spans="2:8" ht="22.5" x14ac:dyDescent="0.2">
      <c r="B116" s="98" t="s">
        <v>96</v>
      </c>
      <c r="C116" s="83">
        <f>3575797661.36</f>
        <v>3575797661.3600001</v>
      </c>
      <c r="D116" s="70">
        <f>3533528316.35</f>
        <v>3533528316.3499999</v>
      </c>
      <c r="E116" s="47">
        <f>IF($D$115=0,"",100*$D116/$D$115)</f>
        <v>58.07244635366073</v>
      </c>
      <c r="F116" s="43">
        <f>IF(C116=0,"",100*D116/C116)</f>
        <v>98.817904450613582</v>
      </c>
    </row>
    <row r="117" spans="2:8" ht="12.95" customHeight="1" x14ac:dyDescent="0.2">
      <c r="B117" s="99" t="s">
        <v>97</v>
      </c>
      <c r="C117" s="83">
        <f>527757000</f>
        <v>527757000</v>
      </c>
      <c r="D117" s="70">
        <f>527757000</f>
        <v>527757000</v>
      </c>
      <c r="E117" s="47">
        <f>IF($D$115=0,"",100*$D117/$D$115)</f>
        <v>8.6735232680765062</v>
      </c>
      <c r="F117" s="43">
        <f>IF(C117=0,"",100*D117/C117)</f>
        <v>100</v>
      </c>
    </row>
    <row r="118" spans="2:8" ht="12.95" customHeight="1" x14ac:dyDescent="0.2">
      <c r="B118" s="98" t="s">
        <v>113</v>
      </c>
      <c r="C118" s="83">
        <f>49776697</f>
        <v>49776697</v>
      </c>
      <c r="D118" s="70">
        <f>46994408.92</f>
        <v>46994408.920000002</v>
      </c>
      <c r="E118" s="47">
        <f>IF($D$115=0,"",100*$D118/$D$115)</f>
        <v>0.77233859377918646</v>
      </c>
      <c r="F118" s="43">
        <f>IF(C118=0,"",100*D118/C118)</f>
        <v>94.410460621764443</v>
      </c>
    </row>
    <row r="119" spans="2:8" ht="12.95" customHeight="1" x14ac:dyDescent="0.2">
      <c r="B119" s="98" t="s">
        <v>27</v>
      </c>
      <c r="C119" s="83">
        <f>2534618298.62</f>
        <v>2534618298.6199999</v>
      </c>
      <c r="D119" s="70">
        <f>2504167240.83</f>
        <v>2504167240.8299999</v>
      </c>
      <c r="E119" s="47">
        <f>IF($D$115=0,"",100*$D119/$D$115)</f>
        <v>41.155215052560074</v>
      </c>
      <c r="F119" s="43">
        <f>IF(C119=0,"",100*D119/C119)</f>
        <v>98.798593941873648</v>
      </c>
    </row>
    <row r="120" spans="2:8" x14ac:dyDescent="0.2">
      <c r="B120" s="26"/>
      <c r="C120" s="26"/>
      <c r="D120" s="26"/>
      <c r="E120" s="26"/>
      <c r="F120" s="26"/>
      <c r="G120" s="26"/>
      <c r="H120" s="26"/>
    </row>
    <row r="121" spans="2:8" x14ac:dyDescent="0.2">
      <c r="B121" s="13" t="s">
        <v>14</v>
      </c>
      <c r="C121" s="11" t="s">
        <v>15</v>
      </c>
      <c r="D121" s="11" t="s">
        <v>1</v>
      </c>
      <c r="E121" s="60"/>
    </row>
    <row r="122" spans="2:8" x14ac:dyDescent="0.2">
      <c r="B122" s="13"/>
      <c r="C122" s="120" t="s">
        <v>79</v>
      </c>
      <c r="D122" s="121"/>
      <c r="E122" s="60"/>
    </row>
    <row r="123" spans="2:8" x14ac:dyDescent="0.2">
      <c r="B123" s="11">
        <v>1</v>
      </c>
      <c r="C123" s="11">
        <v>2</v>
      </c>
      <c r="D123" s="11">
        <v>3</v>
      </c>
      <c r="E123" s="60"/>
    </row>
    <row r="124" spans="2:8" ht="36" customHeight="1" x14ac:dyDescent="0.2">
      <c r="B124" s="64" t="s">
        <v>108</v>
      </c>
      <c r="C124" s="83">
        <f>10619370645.09</f>
        <v>10619370645.09</v>
      </c>
      <c r="D124" s="70">
        <f>5101180582.37</f>
        <v>5101180582.3699999</v>
      </c>
      <c r="E124" s="60"/>
    </row>
    <row r="125" spans="2:8" ht="33.75" x14ac:dyDescent="0.2">
      <c r="B125" s="103" t="s">
        <v>82</v>
      </c>
      <c r="C125" s="83">
        <f>662792104</f>
        <v>662792104</v>
      </c>
      <c r="D125" s="70">
        <f>624112871.8</f>
        <v>624112871.79999995</v>
      </c>
      <c r="E125" s="60"/>
    </row>
    <row r="126" spans="2:8" ht="12.95" customHeight="1" x14ac:dyDescent="0.2">
      <c r="B126" s="103" t="s">
        <v>83</v>
      </c>
      <c r="C126" s="83">
        <f>3146618031.83</f>
        <v>3146618031.8299999</v>
      </c>
      <c r="D126" s="70">
        <f>1472976625.96</f>
        <v>1472976625.96</v>
      </c>
      <c r="E126" s="60"/>
    </row>
    <row r="127" spans="2:8" ht="22.5" x14ac:dyDescent="0.2">
      <c r="B127" s="103" t="s">
        <v>84</v>
      </c>
      <c r="C127" s="83">
        <f>0</f>
        <v>0</v>
      </c>
      <c r="D127" s="70">
        <f>0</f>
        <v>0</v>
      </c>
      <c r="E127" s="60"/>
    </row>
    <row r="128" spans="2:8" ht="58.5" customHeight="1" x14ac:dyDescent="0.2">
      <c r="B128" s="103" t="s">
        <v>106</v>
      </c>
      <c r="C128" s="83">
        <f>70943698.61</f>
        <v>70943698.609999999</v>
      </c>
      <c r="D128" s="70">
        <f>48632903.29</f>
        <v>48632903.289999999</v>
      </c>
      <c r="E128" s="60"/>
    </row>
    <row r="129" spans="2:8" ht="78.75" x14ac:dyDescent="0.2">
      <c r="B129" s="103" t="s">
        <v>85</v>
      </c>
      <c r="C129" s="83">
        <f>5337815866.05</f>
        <v>5337815866.0500002</v>
      </c>
      <c r="D129" s="70">
        <f>1979391568.67</f>
        <v>1979391568.6700001</v>
      </c>
      <c r="E129" s="60"/>
    </row>
    <row r="130" spans="2:8" ht="147" customHeight="1" x14ac:dyDescent="0.2">
      <c r="B130" s="103" t="s">
        <v>104</v>
      </c>
      <c r="C130" s="83">
        <f>1398754244.6</f>
        <v>1398754244.5999999</v>
      </c>
      <c r="D130" s="70">
        <f>975134787.81</f>
        <v>975134787.80999994</v>
      </c>
      <c r="E130" s="35"/>
    </row>
    <row r="131" spans="2:8" ht="22.5" x14ac:dyDescent="0.2">
      <c r="B131" s="103" t="s">
        <v>105</v>
      </c>
      <c r="C131" s="83">
        <f>2446700</f>
        <v>2446700</v>
      </c>
      <c r="D131" s="70">
        <f>931824.84</f>
        <v>931824.84</v>
      </c>
      <c r="E131" s="35"/>
    </row>
    <row r="132" spans="2:8" x14ac:dyDescent="0.2">
      <c r="B132" s="49"/>
      <c r="C132" s="41"/>
      <c r="D132" s="41"/>
      <c r="E132" s="41"/>
      <c r="F132" s="41"/>
      <c r="G132" s="41"/>
      <c r="H132" s="41"/>
    </row>
    <row r="133" spans="2:8" ht="12" customHeight="1" x14ac:dyDescent="0.2">
      <c r="B133" s="50" t="s">
        <v>69</v>
      </c>
      <c r="C133" s="50">
        <f>4</f>
        <v>4</v>
      </c>
      <c r="D133" s="50" t="str">
        <f>IF(C133=1,"I Kwartał",IF(C133=2,"II Kwartały",IF(C133=3,"III Kwartały",IF(C133=4,"IV Kwartały",IF(C133="M1","Styczeń",IF(C133="M11","Listopad",IF(C133="M12","Grudzień","-")))))))</f>
        <v>IV Kwartały</v>
      </c>
    </row>
    <row r="134" spans="2:8" x14ac:dyDescent="0.2">
      <c r="B134" s="50" t="s">
        <v>70</v>
      </c>
      <c r="C134" s="85">
        <f>2022</f>
        <v>2022</v>
      </c>
      <c r="D134" s="49"/>
    </row>
    <row r="135" spans="2:8" x14ac:dyDescent="0.2">
      <c r="B135" s="50" t="s">
        <v>71</v>
      </c>
      <c r="C135" s="125" t="str">
        <f>"Mar 23 2023 12:00AM"</f>
        <v>Mar 23 2023 12:00AM</v>
      </c>
      <c r="D135" s="126"/>
    </row>
    <row r="136" spans="2:8" hidden="1" x14ac:dyDescent="0.2">
      <c r="B136" s="50" t="s">
        <v>74</v>
      </c>
      <c r="C136" s="86" t="str">
        <f>""</f>
        <v/>
      </c>
      <c r="D136" s="49"/>
    </row>
  </sheetData>
  <mergeCells count="20">
    <mergeCell ref="C104:D104"/>
    <mergeCell ref="C122:D122"/>
    <mergeCell ref="E104:F104"/>
    <mergeCell ref="J81:K81"/>
    <mergeCell ref="C135:D135"/>
    <mergeCell ref="I93:J93"/>
    <mergeCell ref="K78:K80"/>
    <mergeCell ref="F79:F80"/>
    <mergeCell ref="F78:H78"/>
    <mergeCell ref="I78:I80"/>
    <mergeCell ref="C81:I81"/>
    <mergeCell ref="G79:H79"/>
    <mergeCell ref="D78:D80"/>
    <mergeCell ref="E78:E80"/>
    <mergeCell ref="B2:B3"/>
    <mergeCell ref="C78:C80"/>
    <mergeCell ref="B78:B81"/>
    <mergeCell ref="J78:J80"/>
    <mergeCell ref="J3:L3"/>
    <mergeCell ref="C3:I3"/>
  </mergeCells>
  <phoneticPr fontId="0" type="noConversion"/>
  <pageMargins left="0.19685039370078741" right="0.19685039370078741" top="0.39370078740157483" bottom="0.39370078740157483" header="0.31496062992125984" footer="0.19685039370078741"/>
  <pageSetup paperSize="9" scale="85" fitToWidth="2" fitToHeight="2" orientation="landscape" useFirstPageNumber="1" r:id="rId1"/>
  <headerFooter alignWithMargins="0">
    <oddFooter>&amp;RStrona &amp;P z &amp;N</oddFooter>
  </headerFooter>
  <rowBreaks count="5" manualBreakCount="5">
    <brk id="22" max="16383" man="1"/>
    <brk id="59" max="12" man="1"/>
    <brk id="75" max="16383" man="1"/>
    <brk id="100" max="16383" man="1"/>
    <brk id="1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doch_wyd</vt:lpstr>
      <vt:lpstr>doch_wyd!Obszar_wydruku</vt:lpstr>
    </vt:vector>
  </TitlesOfParts>
  <Company>Min. Fin.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2022-10-25T14:05:09Z</cp:lastPrinted>
  <dcterms:created xsi:type="dcterms:W3CDTF">2001-05-17T08:58:03Z</dcterms:created>
  <dcterms:modified xsi:type="dcterms:W3CDTF">2023-03-29T12:37:42Z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2022-06-01T15:12:31.7108919+02:00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GRN-2cd18ff7-932d-4776-b890-6d741b929fdc</vt:lpwstr>
  </property>
  <property fmtid="{D5CDD505-2E9C-101B-9397-08002B2CF9AE}" pid="7" name="MFHash">
    <vt:lpwstr>OTgls01WM3N6lxmUY94TawYv0KG6fXLBz/RcoeeeVtg=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