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'doch_wyd'!$B$1:$L$89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<sst xmlns="http://schemas.openxmlformats.org/spreadsheetml/2006/main" count="108" uniqueCount="87">
  <si>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</si>
  <si>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</si>
  <si>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</si>
  <si>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</si>
  <si>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</si>
  <si>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</si>
  <si>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</si>
  <si>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</si>
  <si>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</si>
  <si>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</si>
  <si>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</si>
  <si>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</si>
  <si>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</si>
  <si>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</si>
  <si>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</si>
  <si>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</si>
  <si>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</si>
  <si>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</si>
  <si>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</si>
  <si>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</si>
  <si>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</si>
  <si>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</si>
  <si>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</si>
  <si>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</si>
  <si>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</si>
  <si>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</si>
  <si>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</si>
  <si>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</si>
  <si>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</si>
  <si>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</si>
  <si>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</si>
  <si>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</si>
  <si>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</si>
  <si>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</si>
  <si>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</si>
  <si>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</si>
  <si>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</si>
  <si>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</si>
  <si>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</si>
  <si>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</si>
  <si>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</si>
  <si>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</si>
  <si>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</si>
  <si>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</si>
  <si>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</si>
  <si>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</si>
  <si>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</si>
  <si>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</si>
  <si>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</si>
  <si>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</si>
  <si>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</si>
  <si>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</si>
  <si>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</si>
  <si>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</si>
  <si>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</si>
  <si>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</si>
  <si>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</si>
  <si>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</si>
  <si>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</si>
  <si>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</si>
  <si>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</si>
  <si>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</si>
  <si>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</si>
  <si>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</si>
  <si>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</si>
  <si>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</si>
  <si>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</si>
  <si>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</si>
  <si>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</si>
  <si>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</si>
  <si>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</si>
  <si>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</si>
  <si>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</si>
  <si>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</si>
  <si>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</si>
  <si>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</si>
  <si>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</si>
  <si>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</si>
  <si>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</si>
  <si>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</si>
  <si>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</si>
  <si>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</si>
  <si>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</si>
  <si>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</si>
  <si>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wydatki na wynagrodzenia i pochodne od wynagrodzeń</t>
  </si>
  <si>
    <t>niewykorzystane środki pieniężne o których mowa w art..217 ust.2 pkt.8 ustawy o finansach publicznych</t>
  </si>
  <si>
    <t xml:space="preserve">Informacja z wykonania budżetów powiatów za I Kwartał 2021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</si>
</sst>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4" fillId="42" borderId="3" applyNumberFormat="0" applyAlignment="0" applyProtection="0"/>
    <xf numFmtId="0" fontId="45" fillId="43" borderId="4" applyNumberFormat="0" applyAlignment="0" applyProtection="0"/>
    <xf numFmtId="0" fontId="4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2" fillId="47" borderId="0" applyNumberFormat="0" applyBorder="0" applyAlignment="0" applyProtection="0"/>
    <xf numFmtId="0" fontId="42" fillId="0" borderId="0">
      <alignment/>
      <protection/>
    </xf>
    <xf numFmtId="0" fontId="0" fillId="4" borderId="14" applyNumberFormat="0" applyFont="0" applyAlignment="0" applyProtection="0"/>
    <xf numFmtId="0" fontId="53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59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8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12" t="s">
        <v>86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8" ht="57.75" customHeight="1">
      <c r="B2" s="121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1"/>
      <c r="C3" s="115" t="s">
        <v>60</v>
      </c>
      <c r="D3" s="115"/>
      <c r="E3" s="115"/>
      <c r="F3" s="115" t="s">
        <v>4</v>
      </c>
      <c r="G3" s="115"/>
      <c r="H3" s="115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8" t="s">
        <v>5</v>
      </c>
      <c r="C5" s="69">
        <f>33032887283.88</f>
        <v>33032887283.88</v>
      </c>
      <c r="D5" s="69">
        <f>9500003404.63</f>
        <v>9500003404.63</v>
      </c>
      <c r="E5" s="69">
        <f>8425785117.26</f>
        <v>8425785117.26</v>
      </c>
      <c r="F5" s="70">
        <f aca="true" t="shared" si="0" ref="F5:F33">IF($D$5=0,"",100*$D5/$D$5)</f>
        <v>100</v>
      </c>
      <c r="G5" s="70">
        <f aca="true" t="shared" si="1" ref="G5:G36">IF(C5=0,"",100*D5/C5)</f>
        <v>28.759228108001285</v>
      </c>
      <c r="H5" s="70"/>
    </row>
    <row r="6" spans="2:8" ht="25.5" customHeight="1">
      <c r="B6" s="61" t="s">
        <v>44</v>
      </c>
      <c r="C6" s="30">
        <f>C5-C11-C29</f>
        <v>12590582748.440002</v>
      </c>
      <c r="D6" s="30">
        <f>D5-D11-D29</f>
        <v>3018760344.119999</v>
      </c>
      <c r="E6" s="30">
        <f>E5-E11-E29</f>
        <v>2824559141.7700005</v>
      </c>
      <c r="F6" s="31">
        <f t="shared" si="0"/>
        <v>31.77641328684947</v>
      </c>
      <c r="G6" s="31">
        <f t="shared" si="1"/>
        <v>23.976335364572613</v>
      </c>
      <c r="H6" s="31">
        <f>IF($D$6=0,"",100*$D6/$D$6)</f>
        <v>100</v>
      </c>
    </row>
    <row r="7" spans="2:8" ht="22.5" customHeight="1">
      <c r="B7" s="62" t="s">
        <v>19</v>
      </c>
      <c r="C7" s="32">
        <f>6372043354.85</f>
        <v>6372043354.85</v>
      </c>
      <c r="D7" s="32">
        <f>1434446087</f>
        <v>1434446087</v>
      </c>
      <c r="E7" s="32">
        <f>1312776605</f>
        <v>1312776605</v>
      </c>
      <c r="F7" s="33">
        <f t="shared" si="0"/>
        <v>15.099427083372378</v>
      </c>
      <c r="G7" s="33">
        <f t="shared" si="1"/>
        <v>22.511555667746507</v>
      </c>
      <c r="H7" s="33">
        <f>IF($D$6=0,"",100*$D7/$D$6)</f>
        <v>47.51771997383106</v>
      </c>
    </row>
    <row r="8" spans="2:8" ht="22.5" customHeight="1">
      <c r="B8" s="62" t="s">
        <v>26</v>
      </c>
      <c r="C8" s="32">
        <f>194263519.11</f>
        <v>194263519.11</v>
      </c>
      <c r="D8" s="32">
        <f>62421420.46</f>
        <v>62421420.46</v>
      </c>
      <c r="E8" s="32">
        <f>62437530.95</f>
        <v>62437530.95</v>
      </c>
      <c r="F8" s="33">
        <f t="shared" si="0"/>
        <v>0.6570673483082942</v>
      </c>
      <c r="G8" s="33">
        <f t="shared" si="1"/>
        <v>32.13234309044634</v>
      </c>
      <c r="H8" s="33">
        <f>IF($D$6=0,"",100*$D8/$D$6)</f>
        <v>2.067783240282246</v>
      </c>
    </row>
    <row r="9" spans="2:8" ht="13.5" customHeight="1">
      <c r="B9" s="62" t="s">
        <v>20</v>
      </c>
      <c r="C9" s="32">
        <f>337891789.17</f>
        <v>337891789.17</v>
      </c>
      <c r="D9" s="71">
        <f>84630115.43</f>
        <v>84630115.43</v>
      </c>
      <c r="E9" s="32">
        <f>84881477.59</f>
        <v>84881477.59</v>
      </c>
      <c r="F9" s="33">
        <f t="shared" si="0"/>
        <v>0.8908430010535995</v>
      </c>
      <c r="G9" s="33">
        <f t="shared" si="1"/>
        <v>25.046514340548516</v>
      </c>
      <c r="H9" s="33">
        <f>IF($D$6=0,"",100*$D9/$D$6)</f>
        <v>2.80347247819272</v>
      </c>
    </row>
    <row r="10" spans="2:8" ht="13.5" customHeight="1">
      <c r="B10" s="62" t="s">
        <v>21</v>
      </c>
      <c r="C10" s="32">
        <f>C6-C8-C7-C9</f>
        <v>5686384085.310001</v>
      </c>
      <c r="D10" s="32">
        <f>D6-D8-D7-D9</f>
        <v>1437262721.2299988</v>
      </c>
      <c r="E10" s="32">
        <f>E6-E8-E7-E9</f>
        <v>1364463528.2300007</v>
      </c>
      <c r="F10" s="33">
        <f t="shared" si="0"/>
        <v>15.129075854115197</v>
      </c>
      <c r="G10" s="33">
        <f t="shared" si="1"/>
        <v>25.275512516697056</v>
      </c>
      <c r="H10" s="33">
        <f>IF($D$6=0,"",100*$D10/$D$6)</f>
        <v>47.61102430769397</v>
      </c>
    </row>
    <row r="11" spans="2:8" ht="26.25" customHeight="1">
      <c r="B11" s="68" t="s">
        <v>52</v>
      </c>
      <c r="C11" s="69">
        <f>C12+C25+C27</f>
        <v>6625139780.44</v>
      </c>
      <c r="D11" s="69">
        <f>D12+D25+D27</f>
        <v>1671772759.51</v>
      </c>
      <c r="E11" s="69">
        <f>E12+E25+E27</f>
        <v>1563912240.49</v>
      </c>
      <c r="F11" s="70">
        <f t="shared" si="0"/>
        <v>17.597601688176567</v>
      </c>
      <c r="G11" s="70">
        <f t="shared" si="1"/>
        <v>25.233773398196462</v>
      </c>
      <c r="H11" s="72"/>
    </row>
    <row r="12" spans="2:8" ht="25.5" customHeight="1">
      <c r="B12" s="68" t="s">
        <v>45</v>
      </c>
      <c r="C12" s="69">
        <f>C13+C15+C17+C19+C21+C23</f>
        <v>5084017294.9</v>
      </c>
      <c r="D12" s="69">
        <f>D13+D15+D17+D19+D21+D23</f>
        <v>1363762618.43</v>
      </c>
      <c r="E12" s="69">
        <f>E13+E15+E17+E19+E21+E23</f>
        <v>1283441179.61</v>
      </c>
      <c r="F12" s="70">
        <f t="shared" si="0"/>
        <v>14.355390838758495</v>
      </c>
      <c r="G12" s="70">
        <f t="shared" si="1"/>
        <v>26.824507851262624</v>
      </c>
      <c r="H12" s="36"/>
    </row>
    <row r="13" spans="2:8" ht="22.5" customHeight="1">
      <c r="B13" s="62" t="s">
        <v>9</v>
      </c>
      <c r="C13" s="32">
        <f>3170868039.3</f>
        <v>3170868039.3</v>
      </c>
      <c r="D13" s="32">
        <f>1047511491.5</f>
        <v>1047511491.5</v>
      </c>
      <c r="E13" s="32">
        <f>968911567.3</f>
        <v>968911567.3</v>
      </c>
      <c r="F13" s="33">
        <f t="shared" si="0"/>
        <v>11.02643280095538</v>
      </c>
      <c r="G13" s="33">
        <f t="shared" si="1"/>
        <v>33.03548045888558</v>
      </c>
      <c r="H13" s="36"/>
    </row>
    <row r="14" spans="2:8" ht="12.75">
      <c r="B14" s="73" t="s">
        <v>6</v>
      </c>
      <c r="C14" s="32">
        <f>67009727</f>
        <v>67009727</v>
      </c>
      <c r="D14" s="32">
        <f>11701031.22</f>
        <v>11701031.22</v>
      </c>
      <c r="E14" s="32">
        <f>11701031.22</f>
        <v>11701031.22</v>
      </c>
      <c r="F14" s="33">
        <f t="shared" si="0"/>
        <v>0.12316870554275054</v>
      </c>
      <c r="G14" s="33">
        <f t="shared" si="1"/>
        <v>17.46169062888437</v>
      </c>
      <c r="H14" s="36"/>
    </row>
    <row r="15" spans="2:8" ht="13.5" customHeight="1">
      <c r="B15" s="62" t="s">
        <v>7</v>
      </c>
      <c r="C15" s="32">
        <f>767850992.6</f>
        <v>767850992.6</v>
      </c>
      <c r="D15" s="32">
        <f>171680159.82</f>
        <v>171680159.82</v>
      </c>
      <c r="E15" s="32">
        <f>171680464.75</f>
        <v>171680464.75</v>
      </c>
      <c r="F15" s="33">
        <f t="shared" si="0"/>
        <v>1.80715892939921</v>
      </c>
      <c r="G15" s="33">
        <f t="shared" si="1"/>
        <v>22.35852547884041</v>
      </c>
      <c r="H15" s="36"/>
    </row>
    <row r="16" spans="2:8" ht="12.75">
      <c r="B16" s="73" t="s">
        <v>6</v>
      </c>
      <c r="C16" s="32">
        <f>99873671.6</f>
        <v>99873671.6</v>
      </c>
      <c r="D16" s="32">
        <f>5404464.44</f>
        <v>5404464.44</v>
      </c>
      <c r="E16" s="32">
        <f>5404464.44</f>
        <v>5404464.44</v>
      </c>
      <c r="F16" s="33">
        <f t="shared" si="0"/>
        <v>0.056889078980393165</v>
      </c>
      <c r="G16" s="33">
        <f t="shared" si="1"/>
        <v>5.411300449276765</v>
      </c>
      <c r="H16" s="36"/>
    </row>
    <row r="17" spans="2:8" ht="33" customHeight="1">
      <c r="B17" s="62" t="s">
        <v>10</v>
      </c>
      <c r="C17" s="32">
        <f>57869905.1</f>
        <v>57869905.1</v>
      </c>
      <c r="D17" s="32">
        <f>3548560.94</f>
        <v>3548560.94</v>
      </c>
      <c r="E17" s="32">
        <f>3379947.52</f>
        <v>3379947.52</v>
      </c>
      <c r="F17" s="33">
        <f t="shared" si="0"/>
        <v>0.037353259665891744</v>
      </c>
      <c r="G17" s="33">
        <f t="shared" si="1"/>
        <v>6.131962604514449</v>
      </c>
      <c r="H17" s="36"/>
    </row>
    <row r="18" spans="2:8" ht="12.75">
      <c r="B18" s="73" t="s">
        <v>6</v>
      </c>
      <c r="C18" s="32">
        <f>3400000</f>
        <v>3400000</v>
      </c>
      <c r="D18" s="32">
        <f>0</f>
        <v>0</v>
      </c>
      <c r="E18" s="32">
        <f>0</f>
        <v>0</v>
      </c>
      <c r="F18" s="33">
        <f t="shared" si="0"/>
        <v>0</v>
      </c>
      <c r="G18" s="33">
        <f t="shared" si="1"/>
        <v>0</v>
      </c>
      <c r="H18" s="36"/>
    </row>
    <row r="19" spans="2:8" ht="25.5" customHeight="1">
      <c r="B19" s="62" t="s">
        <v>11</v>
      </c>
      <c r="C19" s="32">
        <f>372675454.61</f>
        <v>372675454.61</v>
      </c>
      <c r="D19" s="32">
        <f>78154896.69</f>
        <v>78154896.69</v>
      </c>
      <c r="E19" s="32">
        <f>77764180.77</f>
        <v>77764180.77</v>
      </c>
      <c r="F19" s="33">
        <f t="shared" si="0"/>
        <v>0.8226828282178277</v>
      </c>
      <c r="G19" s="33">
        <f t="shared" si="1"/>
        <v>20.9713024357314</v>
      </c>
      <c r="H19" s="36"/>
    </row>
    <row r="20" spans="2:8" ht="12.75">
      <c r="B20" s="73" t="s">
        <v>6</v>
      </c>
      <c r="C20" s="32">
        <f>65644814.8</f>
        <v>65644814.8</v>
      </c>
      <c r="D20" s="32">
        <f>2344469.35</f>
        <v>2344469.35</v>
      </c>
      <c r="E20" s="32">
        <f>2344398.01</f>
        <v>2344398.01</v>
      </c>
      <c r="F20" s="33">
        <f t="shared" si="0"/>
        <v>0.024678615892467788</v>
      </c>
      <c r="G20" s="33">
        <f t="shared" si="1"/>
        <v>3.5714463619752648</v>
      </c>
      <c r="H20" s="36"/>
    </row>
    <row r="21" spans="2:8" ht="33.75">
      <c r="B21" s="62" t="s">
        <v>61</v>
      </c>
      <c r="C21" s="32">
        <f>652572460</f>
        <v>652572460</v>
      </c>
      <c r="D21" s="32">
        <f>56661120.89</f>
        <v>56661120.89</v>
      </c>
      <c r="E21" s="32">
        <f>56630425.09</f>
        <v>56630425.09</v>
      </c>
      <c r="F21" s="33">
        <f t="shared" si="0"/>
        <v>0.5964326377228999</v>
      </c>
      <c r="G21" s="33">
        <f t="shared" si="1"/>
        <v>8.68273247234491</v>
      </c>
      <c r="H21" s="36"/>
    </row>
    <row r="22" spans="2:8" ht="12.75">
      <c r="B22" s="73" t="s">
        <v>6</v>
      </c>
      <c r="C22" s="32">
        <f>543934168.04</f>
        <v>543934168.04</v>
      </c>
      <c r="D22" s="32">
        <f>36729525.39</f>
        <v>36729525.39</v>
      </c>
      <c r="E22" s="32">
        <f>36729525.39</f>
        <v>36729525.39</v>
      </c>
      <c r="F22" s="33">
        <f t="shared" si="0"/>
        <v>0.3866264444926325</v>
      </c>
      <c r="G22" s="33">
        <f t="shared" si="1"/>
        <v>6.752568150360978</v>
      </c>
      <c r="H22" s="36"/>
    </row>
    <row r="23" spans="2:8" ht="15" customHeight="1">
      <c r="B23" s="62" t="s">
        <v>8</v>
      </c>
      <c r="C23" s="32">
        <f>62180443.29</f>
        <v>62180443.29</v>
      </c>
      <c r="D23" s="32">
        <f>6206388.59</f>
        <v>6206388.59</v>
      </c>
      <c r="E23" s="32">
        <f>5074594.18</f>
        <v>5074594.18</v>
      </c>
      <c r="F23" s="33">
        <f t="shared" si="0"/>
        <v>0.0653303827972862</v>
      </c>
      <c r="G23" s="33">
        <f t="shared" si="1"/>
        <v>9.981254976028975</v>
      </c>
      <c r="H23" s="36"/>
    </row>
    <row r="24" spans="2:8" ht="12.75">
      <c r="B24" s="73" t="s">
        <v>6</v>
      </c>
      <c r="C24" s="32">
        <f>52516509.29</f>
        <v>52516509.29</v>
      </c>
      <c r="D24" s="32">
        <f>3632915.62</f>
        <v>3632915.62</v>
      </c>
      <c r="E24" s="32">
        <f>2867206.2</f>
        <v>2867206.2</v>
      </c>
      <c r="F24" s="33">
        <f t="shared" si="0"/>
        <v>0.03824120334766862</v>
      </c>
      <c r="G24" s="33">
        <f t="shared" si="1"/>
        <v>6.917663929144214</v>
      </c>
      <c r="H24" s="36"/>
    </row>
    <row r="25" spans="2:8" ht="13.5" customHeight="1">
      <c r="B25" s="68" t="s">
        <v>72</v>
      </c>
      <c r="C25" s="30">
        <f>139397828.2</f>
        <v>139397828.2</v>
      </c>
      <c r="D25" s="30">
        <f>24611104.51</f>
        <v>24611104.51</v>
      </c>
      <c r="E25" s="30">
        <f>18079001.38</f>
        <v>18079001.38</v>
      </c>
      <c r="F25" s="34">
        <f t="shared" si="0"/>
        <v>0.25906416515603914</v>
      </c>
      <c r="G25" s="34">
        <f t="shared" si="1"/>
        <v>17.655299819082835</v>
      </c>
      <c r="H25" s="20"/>
    </row>
    <row r="26" spans="2:8" ht="13.5" customHeight="1">
      <c r="B26" s="63" t="s">
        <v>54</v>
      </c>
      <c r="C26" s="35">
        <f>75221746.09</f>
        <v>75221746.09</v>
      </c>
      <c r="D26" s="35">
        <f>3394839.4</f>
        <v>3394839.4</v>
      </c>
      <c r="E26" s="35">
        <f>3287467.1</f>
        <v>3287467.1</v>
      </c>
      <c r="F26" s="33">
        <f t="shared" si="0"/>
        <v>0.03573513877211311</v>
      </c>
      <c r="G26" s="33">
        <f t="shared" si="1"/>
        <v>4.513109009644899</v>
      </c>
      <c r="H26" s="20"/>
    </row>
    <row r="27" spans="2:8" ht="13.5" customHeight="1">
      <c r="B27" s="68" t="s">
        <v>73</v>
      </c>
      <c r="C27" s="74">
        <f>1401724657.34</f>
        <v>1401724657.34</v>
      </c>
      <c r="D27" s="74">
        <f>283399036.57</f>
        <v>283399036.57</v>
      </c>
      <c r="E27" s="74">
        <f>262392059.5</f>
        <v>262392059.5</v>
      </c>
      <c r="F27" s="75">
        <f t="shared" si="0"/>
        <v>2.9831466842620324</v>
      </c>
      <c r="G27" s="75">
        <f t="shared" si="1"/>
        <v>20.21788195606088</v>
      </c>
      <c r="H27" s="20"/>
    </row>
    <row r="28" spans="2:8" ht="10.5" customHeight="1">
      <c r="B28" s="63" t="s">
        <v>70</v>
      </c>
      <c r="C28" s="35">
        <f>815824916.02</f>
        <v>815824916.02</v>
      </c>
      <c r="D28" s="35">
        <f>103491161.19</f>
        <v>103491161.19</v>
      </c>
      <c r="E28" s="35">
        <f>101199288.16</f>
        <v>101199288.16</v>
      </c>
      <c r="F28" s="33">
        <f t="shared" si="0"/>
        <v>1.0893802536908745</v>
      </c>
      <c r="G28" s="33">
        <f t="shared" si="1"/>
        <v>12.685462181626102</v>
      </c>
      <c r="H28" s="20"/>
    </row>
    <row r="29" spans="2:8" s="5" customFormat="1" ht="23.25" customHeight="1">
      <c r="B29" s="61" t="s">
        <v>46</v>
      </c>
      <c r="C29" s="30">
        <f>C30+C31+C32+C33</f>
        <v>13817164755</v>
      </c>
      <c r="D29" s="30">
        <f>D30+D31+D32+D33</f>
        <v>4809470301</v>
      </c>
      <c r="E29" s="30">
        <f>E30+E31+E32+E33</f>
        <v>4037313735</v>
      </c>
      <c r="F29" s="31">
        <f t="shared" si="0"/>
        <v>50.625985024973964</v>
      </c>
      <c r="G29" s="31">
        <f t="shared" si="1"/>
        <v>34.80793915596615</v>
      </c>
      <c r="H29" s="21"/>
    </row>
    <row r="30" spans="2:8" ht="11.25" customHeight="1">
      <c r="B30" s="62" t="s">
        <v>33</v>
      </c>
      <c r="C30" s="32">
        <f>10143635885</f>
        <v>10143635885</v>
      </c>
      <c r="D30" s="32">
        <f>3896135385</f>
        <v>3896135385</v>
      </c>
      <c r="E30" s="32">
        <f>3123978819</f>
        <v>3123978819</v>
      </c>
      <c r="F30" s="33">
        <f t="shared" si="0"/>
        <v>41.01193672310841</v>
      </c>
      <c r="G30" s="33">
        <f t="shared" si="1"/>
        <v>38.40965339421783</v>
      </c>
      <c r="H30" s="20"/>
    </row>
    <row r="31" spans="2:8" ht="10.5" customHeight="1">
      <c r="B31" s="62" t="s">
        <v>32</v>
      </c>
      <c r="C31" s="32">
        <f>785709736</f>
        <v>785709736</v>
      </c>
      <c r="D31" s="32">
        <f>196422237</f>
        <v>196422237</v>
      </c>
      <c r="E31" s="32">
        <f>196422237</f>
        <v>196422237</v>
      </c>
      <c r="F31" s="33">
        <f t="shared" si="0"/>
        <v>2.067601753745373</v>
      </c>
      <c r="G31" s="33">
        <f t="shared" si="1"/>
        <v>24.999338559806265</v>
      </c>
      <c r="H31" s="20"/>
    </row>
    <row r="32" spans="2:8" ht="11.25" customHeight="1">
      <c r="B32" s="62" t="s">
        <v>34</v>
      </c>
      <c r="C32" s="32">
        <f>2867188651</f>
        <v>2867188651</v>
      </c>
      <c r="D32" s="32">
        <f>716912679</f>
        <v>716912679</v>
      </c>
      <c r="E32" s="32">
        <f>716912679</f>
        <v>716912679</v>
      </c>
      <c r="F32" s="33">
        <f t="shared" si="0"/>
        <v>7.546446548120178</v>
      </c>
      <c r="G32" s="33">
        <f t="shared" si="1"/>
        <v>25.004028903014795</v>
      </c>
      <c r="H32" s="20"/>
    </row>
    <row r="33" spans="2:8" s="5" customFormat="1" ht="12" customHeight="1">
      <c r="B33" s="62" t="s">
        <v>31</v>
      </c>
      <c r="C33" s="32">
        <f>20630483</f>
        <v>20630483</v>
      </c>
      <c r="D33" s="32">
        <f>0</f>
        <v>0</v>
      </c>
      <c r="E33" s="32">
        <f>0</f>
        <v>0</v>
      </c>
      <c r="F33" s="33">
        <f t="shared" si="0"/>
        <v>0</v>
      </c>
      <c r="G33" s="33">
        <f t="shared" si="1"/>
        <v>0</v>
      </c>
      <c r="H33" s="21"/>
    </row>
    <row r="34" spans="2:7" s="5" customFormat="1" ht="12.75">
      <c r="B34" s="76" t="s">
        <v>5</v>
      </c>
      <c r="C34" s="74">
        <f>+C5</f>
        <v>33032887283.88</v>
      </c>
      <c r="D34" s="74">
        <f>+D5</f>
        <v>9500003404.63</v>
      </c>
      <c r="E34" s="74">
        <f>+E5</f>
        <v>8425785117.26</v>
      </c>
      <c r="F34" s="75">
        <f>IF($D$5=0,"",100*$D34/$D$34)</f>
        <v>100</v>
      </c>
      <c r="G34" s="75">
        <f t="shared" si="1"/>
        <v>28.759228108001285</v>
      </c>
    </row>
    <row r="35" spans="2:7" s="5" customFormat="1" ht="13.5" customHeight="1">
      <c r="B35" s="62" t="s">
        <v>55</v>
      </c>
      <c r="C35" s="32">
        <f>3294566616.79</f>
        <v>3294566616.79</v>
      </c>
      <c r="D35" s="32">
        <f>408197589.8</f>
        <v>408197589.8</v>
      </c>
      <c r="E35" s="32">
        <f>350461710.47</f>
        <v>350461710.47</v>
      </c>
      <c r="F35" s="33">
        <f>IF($D$5=0,"",100*$D35/$D$34)</f>
        <v>4.296815194835167</v>
      </c>
      <c r="G35" s="33">
        <f t="shared" si="1"/>
        <v>12.390023856847058</v>
      </c>
    </row>
    <row r="36" spans="1:13" s="5" customFormat="1" ht="14.25" customHeight="1">
      <c r="A36" s="2"/>
      <c r="B36" s="62" t="s">
        <v>56</v>
      </c>
      <c r="C36" s="32">
        <f>C34-C35</f>
        <v>29738320667.09</v>
      </c>
      <c r="D36" s="32">
        <f>D34-D35</f>
        <v>9091805814.83</v>
      </c>
      <c r="E36" s="32">
        <f>E34-E35</f>
        <v>8075323406.79</v>
      </c>
      <c r="F36" s="33">
        <f>IF($D$5=0,"",100*$D36/$D$34)</f>
        <v>95.70318480516484</v>
      </c>
      <c r="G36" s="33">
        <f t="shared" si="1"/>
        <v>30.572694122877873</v>
      </c>
      <c r="I36" s="15"/>
      <c r="J36" s="15"/>
      <c r="K36" s="9"/>
      <c r="L36" s="9"/>
      <c r="M36" s="3"/>
    </row>
    <row r="37" spans="2:13" ht="32.25" customHeight="1">
      <c r="B37" s="112" t="s">
        <v>86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1" t="s">
        <v>0</v>
      </c>
      <c r="C39" s="113" t="s">
        <v>40</v>
      </c>
      <c r="D39" s="113" t="s">
        <v>41</v>
      </c>
      <c r="E39" s="113" t="s">
        <v>42</v>
      </c>
      <c r="F39" s="113" t="s">
        <v>12</v>
      </c>
      <c r="G39" s="113"/>
      <c r="H39" s="113"/>
      <c r="I39" s="113" t="s">
        <v>71</v>
      </c>
      <c r="J39" s="113"/>
      <c r="K39" s="113" t="s">
        <v>2</v>
      </c>
      <c r="L39" s="120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1"/>
      <c r="C40" s="113"/>
      <c r="D40" s="98"/>
      <c r="E40" s="113"/>
      <c r="F40" s="97" t="s">
        <v>43</v>
      </c>
      <c r="G40" s="114" t="s">
        <v>25</v>
      </c>
      <c r="H40" s="98"/>
      <c r="I40" s="113"/>
      <c r="J40" s="113"/>
      <c r="K40" s="113"/>
      <c r="L40" s="120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1"/>
      <c r="C41" s="113"/>
      <c r="D41" s="98"/>
      <c r="E41" s="113"/>
      <c r="F41" s="98"/>
      <c r="G41" s="17" t="s">
        <v>38</v>
      </c>
      <c r="H41" s="17" t="s">
        <v>39</v>
      </c>
      <c r="I41" s="113"/>
      <c r="J41" s="113"/>
      <c r="K41" s="113"/>
      <c r="L41" s="120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1"/>
      <c r="C42" s="115" t="s">
        <v>60</v>
      </c>
      <c r="D42" s="115"/>
      <c r="E42" s="115"/>
      <c r="F42" s="115"/>
      <c r="G42" s="115"/>
      <c r="H42" s="115"/>
      <c r="I42" s="115"/>
      <c r="J42" s="115"/>
      <c r="K42" s="115" t="s">
        <v>4</v>
      </c>
      <c r="L42" s="115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98">
        <v>8</v>
      </c>
      <c r="J43" s="98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7" t="s">
        <v>47</v>
      </c>
      <c r="C44" s="78">
        <f>36043286614.56</f>
        <v>36043286614.56</v>
      </c>
      <c r="D44" s="78">
        <f>22079039565.48</f>
        <v>22079039565.48</v>
      </c>
      <c r="E44" s="78">
        <f>7335043545.62</f>
        <v>7335043545.62</v>
      </c>
      <c r="F44" s="78">
        <f>789907753.9</f>
        <v>789907753.9</v>
      </c>
      <c r="G44" s="78">
        <f>2109677.54</f>
        <v>2109677.54</v>
      </c>
      <c r="H44" s="78">
        <f>68567.6</f>
        <v>68567.6</v>
      </c>
      <c r="I44" s="118">
        <f>0</f>
        <v>0</v>
      </c>
      <c r="J44" s="118"/>
      <c r="K44" s="55">
        <f aca="true" t="shared" si="2" ref="K44:K53">IF($E$44=0,"",100*$E44/$E$44)</f>
        <v>100</v>
      </c>
      <c r="L44" s="55">
        <f aca="true" t="shared" si="3" ref="L44:L53">IF(C44=0,"",100*E44/C44)</f>
        <v>20.350651215743866</v>
      </c>
    </row>
    <row r="45" spans="2:12" ht="12.75">
      <c r="B45" s="29" t="s">
        <v>14</v>
      </c>
      <c r="C45" s="39">
        <f>7059292787.5</f>
        <v>7059292787.5</v>
      </c>
      <c r="D45" s="39">
        <f>2233540203.65</f>
        <v>2233540203.65</v>
      </c>
      <c r="E45" s="39">
        <f>262104370.03</f>
        <v>262104370.03</v>
      </c>
      <c r="F45" s="39">
        <f>81376910.18</f>
        <v>81376910.18</v>
      </c>
      <c r="G45" s="39">
        <f>0</f>
        <v>0</v>
      </c>
      <c r="H45" s="39">
        <f>0</f>
        <v>0</v>
      </c>
      <c r="I45" s="101">
        <f>0</f>
        <v>0</v>
      </c>
      <c r="J45" s="119"/>
      <c r="K45" s="40">
        <f t="shared" si="2"/>
        <v>3.573317164374727</v>
      </c>
      <c r="L45" s="40">
        <f t="shared" si="3"/>
        <v>3.7128984151799496</v>
      </c>
    </row>
    <row r="46" spans="2:12" ht="22.5" customHeight="1">
      <c r="B46" s="19" t="s">
        <v>13</v>
      </c>
      <c r="C46" s="35">
        <f>7005673379.5</f>
        <v>7005673379.5</v>
      </c>
      <c r="D46" s="35">
        <f>2210860154.65</f>
        <v>2210860154.65</v>
      </c>
      <c r="E46" s="35">
        <f>251975970.34</f>
        <v>251975970.34</v>
      </c>
      <c r="F46" s="35">
        <f>81376910.18</f>
        <v>81376910.18</v>
      </c>
      <c r="G46" s="35">
        <f>0</f>
        <v>0</v>
      </c>
      <c r="H46" s="35">
        <f>0</f>
        <v>0</v>
      </c>
      <c r="I46" s="99">
        <f>0</f>
        <v>0</v>
      </c>
      <c r="J46" s="100"/>
      <c r="K46" s="41">
        <f t="shared" si="2"/>
        <v>3.4352348254355394</v>
      </c>
      <c r="L46" s="41">
        <f t="shared" si="3"/>
        <v>3.5967416219735853</v>
      </c>
    </row>
    <row r="47" spans="2:12" ht="25.5" customHeight="1">
      <c r="B47" s="29" t="s">
        <v>48</v>
      </c>
      <c r="C47" s="39">
        <f aca="true" t="shared" si="4" ref="C47:I47">C44-C45</f>
        <v>28983993827.059998</v>
      </c>
      <c r="D47" s="39">
        <f t="shared" si="4"/>
        <v>19845499361.829998</v>
      </c>
      <c r="E47" s="39">
        <f t="shared" si="4"/>
        <v>7072939175.59</v>
      </c>
      <c r="F47" s="39">
        <f t="shared" si="4"/>
        <v>708530843.72</v>
      </c>
      <c r="G47" s="39">
        <f t="shared" si="4"/>
        <v>2109677.54</v>
      </c>
      <c r="H47" s="39">
        <f t="shared" si="4"/>
        <v>68567.6</v>
      </c>
      <c r="I47" s="101">
        <f t="shared" si="4"/>
        <v>0</v>
      </c>
      <c r="J47" s="101"/>
      <c r="K47" s="40">
        <f t="shared" si="2"/>
        <v>96.42668283562527</v>
      </c>
      <c r="L47" s="40">
        <f t="shared" si="3"/>
        <v>24.402914304330867</v>
      </c>
    </row>
    <row r="48" spans="2:12" ht="22.5">
      <c r="B48" s="19" t="s">
        <v>84</v>
      </c>
      <c r="C48" s="35">
        <f>17836583150.08</f>
        <v>17836583150.08</v>
      </c>
      <c r="D48" s="35">
        <f>14733970037.64</f>
        <v>14733970037.64</v>
      </c>
      <c r="E48" s="35">
        <f>4910874537.74</f>
        <v>4910874537.74</v>
      </c>
      <c r="F48" s="35">
        <f>436458595.6</f>
        <v>436458595.6</v>
      </c>
      <c r="G48" s="35">
        <f>389.26</f>
        <v>389.26</v>
      </c>
      <c r="H48" s="35">
        <f>42370</f>
        <v>42370</v>
      </c>
      <c r="I48" s="99">
        <f>0</f>
        <v>0</v>
      </c>
      <c r="J48" s="100"/>
      <c r="K48" s="41">
        <f t="shared" si="2"/>
        <v>66.95085730844022</v>
      </c>
      <c r="L48" s="41">
        <f t="shared" si="3"/>
        <v>27.53259689044184</v>
      </c>
    </row>
    <row r="49" spans="2:12" ht="13.5" customHeight="1">
      <c r="B49" s="22" t="s">
        <v>37</v>
      </c>
      <c r="C49" s="79">
        <f>2237182519.93</f>
        <v>2237182519.93</v>
      </c>
      <c r="D49" s="79">
        <f>1304652579.01</f>
        <v>1304652579.01</v>
      </c>
      <c r="E49" s="79">
        <f>532473995.14</f>
        <v>532473995.14</v>
      </c>
      <c r="F49" s="79">
        <f>2114242.87</f>
        <v>2114242.87</v>
      </c>
      <c r="G49" s="79">
        <f>0</f>
        <v>0</v>
      </c>
      <c r="H49" s="79">
        <f>0</f>
        <v>0</v>
      </c>
      <c r="I49" s="103">
        <f>0</f>
        <v>0</v>
      </c>
      <c r="J49" s="103"/>
      <c r="K49" s="80">
        <f t="shared" si="2"/>
        <v>7.259316073971477</v>
      </c>
      <c r="L49" s="80">
        <f t="shared" si="3"/>
        <v>23.801097603634986</v>
      </c>
    </row>
    <row r="50" spans="2:12" ht="13.5" customHeight="1">
      <c r="B50" s="22" t="s">
        <v>36</v>
      </c>
      <c r="C50" s="32">
        <f>166453992.77</f>
        <v>166453992.77</v>
      </c>
      <c r="D50" s="32">
        <f>50412826.57</f>
        <v>50412826.57</v>
      </c>
      <c r="E50" s="32">
        <f>14203604.2</f>
        <v>14203604.2</v>
      </c>
      <c r="F50" s="32">
        <f>3061249.95</f>
        <v>3061249.95</v>
      </c>
      <c r="G50" s="32">
        <f>0</f>
        <v>0</v>
      </c>
      <c r="H50" s="32">
        <f>0</f>
        <v>0</v>
      </c>
      <c r="I50" s="102">
        <f>0</f>
        <v>0</v>
      </c>
      <c r="J50" s="102"/>
      <c r="K50" s="80">
        <f t="shared" si="2"/>
        <v>0.19364035280310568</v>
      </c>
      <c r="L50" s="80">
        <f t="shared" si="3"/>
        <v>8.533051063320551</v>
      </c>
    </row>
    <row r="51" spans="2:12" ht="22.5" customHeight="1">
      <c r="B51" s="22" t="s">
        <v>51</v>
      </c>
      <c r="C51" s="79">
        <f>64925014.35</f>
        <v>64925014.35</v>
      </c>
      <c r="D51" s="79">
        <f>4150870.12</f>
        <v>4150870.12</v>
      </c>
      <c r="E51" s="79">
        <f>1411870.4</f>
        <v>1411870.4</v>
      </c>
      <c r="F51" s="79">
        <f>71400</f>
        <v>71400</v>
      </c>
      <c r="G51" s="79">
        <f>0</f>
        <v>0</v>
      </c>
      <c r="H51" s="79">
        <f>0</f>
        <v>0</v>
      </c>
      <c r="I51" s="103">
        <f>0</f>
        <v>0</v>
      </c>
      <c r="J51" s="103"/>
      <c r="K51" s="80">
        <f t="shared" si="2"/>
        <v>0.019248289273525513</v>
      </c>
      <c r="L51" s="80">
        <f t="shared" si="3"/>
        <v>2.174617001066554</v>
      </c>
    </row>
    <row r="52" spans="2:12" ht="22.5" customHeight="1">
      <c r="B52" s="22" t="s">
        <v>53</v>
      </c>
      <c r="C52" s="79">
        <f>1189753813.04</f>
        <v>1189753813.04</v>
      </c>
      <c r="D52" s="79">
        <f>651679697.33</f>
        <v>651679697.33</v>
      </c>
      <c r="E52" s="79">
        <f>255988095.49</f>
        <v>255988095.49</v>
      </c>
      <c r="F52" s="79">
        <f>14335713.38</f>
        <v>14335713.38</v>
      </c>
      <c r="G52" s="79">
        <f>0</f>
        <v>0</v>
      </c>
      <c r="H52" s="79">
        <f>200</f>
        <v>200</v>
      </c>
      <c r="I52" s="106">
        <f>0</f>
        <v>0</v>
      </c>
      <c r="J52" s="107"/>
      <c r="K52" s="80">
        <f t="shared" si="2"/>
        <v>3.489932866763403</v>
      </c>
      <c r="L52" s="80">
        <f t="shared" si="3"/>
        <v>21.5160559003305</v>
      </c>
    </row>
    <row r="53" spans="2:12" ht="13.5" customHeight="1">
      <c r="B53" s="19" t="s">
        <v>35</v>
      </c>
      <c r="C53" s="35">
        <f aca="true" t="shared" si="5" ref="C53:I53">C47-C48-C49-C50-C51-C52</f>
        <v>7489095336.889995</v>
      </c>
      <c r="D53" s="35">
        <f t="shared" si="5"/>
        <v>3100633351.1599984</v>
      </c>
      <c r="E53" s="35">
        <f t="shared" si="5"/>
        <v>1357987072.6200004</v>
      </c>
      <c r="F53" s="35">
        <f t="shared" si="5"/>
        <v>252489641.92000002</v>
      </c>
      <c r="G53" s="35">
        <f t="shared" si="5"/>
        <v>2109288.2800000003</v>
      </c>
      <c r="H53" s="35">
        <f t="shared" si="5"/>
        <v>25997.600000000006</v>
      </c>
      <c r="I53" s="104">
        <f t="shared" si="5"/>
        <v>0</v>
      </c>
      <c r="J53" s="105"/>
      <c r="K53" s="41">
        <f t="shared" si="2"/>
        <v>18.51368794437355</v>
      </c>
      <c r="L53" s="41">
        <f t="shared" si="3"/>
        <v>18.132858663593048</v>
      </c>
    </row>
    <row r="54" spans="2:13" ht="12.75">
      <c r="B54" s="77" t="s">
        <v>15</v>
      </c>
      <c r="C54" s="85">
        <f>C5-C44</f>
        <v>-3010399330.6799965</v>
      </c>
      <c r="D54" s="85"/>
      <c r="E54" s="85">
        <f>D5-E44</f>
        <v>2164959859.0099993</v>
      </c>
      <c r="F54" s="85"/>
      <c r="G54" s="85"/>
      <c r="H54" s="85"/>
      <c r="I54" s="101"/>
      <c r="J54" s="101"/>
      <c r="K54" s="89"/>
      <c r="L54" s="89"/>
      <c r="M54" s="13"/>
    </row>
    <row r="55" spans="2:13" ht="39" customHeight="1">
      <c r="B55" s="86" t="s">
        <v>74</v>
      </c>
      <c r="C55" s="87">
        <f>C36-C47</f>
        <v>754326840.0300026</v>
      </c>
      <c r="D55" s="88"/>
      <c r="E55" s="87">
        <f>D36-E47</f>
        <v>2018866639.2399998</v>
      </c>
      <c r="F55" s="88"/>
      <c r="G55" s="88"/>
      <c r="H55" s="88"/>
      <c r="I55" s="88"/>
      <c r="J55" s="88"/>
      <c r="K55" s="42"/>
      <c r="L55" s="43"/>
      <c r="M55" s="10"/>
    </row>
    <row r="56" spans="2:13" ht="12" customHeight="1" thickBot="1">
      <c r="B56" s="37"/>
      <c r="C56" s="44"/>
      <c r="D56" s="44"/>
      <c r="E56" s="44"/>
      <c r="F56" s="45"/>
      <c r="G56" s="45"/>
      <c r="H56" s="45"/>
      <c r="I56" s="45"/>
      <c r="J56" s="42"/>
      <c r="K56" s="42"/>
      <c r="L56" s="43"/>
      <c r="M56" s="10"/>
    </row>
    <row r="57" spans="2:13" ht="12" customHeight="1" thickBot="1">
      <c r="B57" s="38" t="s">
        <v>57</v>
      </c>
      <c r="C57" s="44"/>
      <c r="D57" s="44"/>
      <c r="E57" s="44"/>
      <c r="F57" s="45"/>
      <c r="G57" s="45"/>
      <c r="H57" s="45"/>
      <c r="I57" s="45"/>
      <c r="J57" s="42"/>
      <c r="K57" s="42"/>
      <c r="L57" s="43"/>
      <c r="M57" s="10"/>
    </row>
    <row r="58" spans="2:13" ht="30" customHeight="1" thickBot="1">
      <c r="B58" s="84" t="s">
        <v>75</v>
      </c>
      <c r="C58" s="81">
        <f>2209902815.51</f>
        <v>2209902815.51</v>
      </c>
      <c r="D58" s="81">
        <f>861257706.03</f>
        <v>861257706.03</v>
      </c>
      <c r="E58" s="81">
        <f>209687955.54</f>
        <v>209687955.54</v>
      </c>
      <c r="F58" s="81">
        <f>27751680.48</f>
        <v>27751680.48</v>
      </c>
      <c r="G58" s="81">
        <f>0</f>
        <v>0</v>
      </c>
      <c r="H58" s="81">
        <f>0</f>
        <v>0</v>
      </c>
      <c r="I58" s="81">
        <f>0</f>
        <v>0</v>
      </c>
      <c r="J58" s="81">
        <f>0</f>
        <v>0</v>
      </c>
      <c r="K58" s="55">
        <f>IF($E$44=0,"",100*$E58/$E$58)</f>
        <v>100</v>
      </c>
      <c r="L58" s="82">
        <f>IF(C58=0,"",100*E58/C58)</f>
        <v>9.48856004292697</v>
      </c>
      <c r="M58" s="10"/>
    </row>
    <row r="59" spans="2:12" ht="13.5" thickBot="1">
      <c r="B59" s="83" t="s">
        <v>58</v>
      </c>
      <c r="C59" s="79">
        <f>1214205651.4</f>
        <v>1214205651.4</v>
      </c>
      <c r="D59" s="79">
        <f>561482142.09</f>
        <v>561482142.09</v>
      </c>
      <c r="E59" s="79">
        <f>100696272.74</f>
        <v>100696272.74</v>
      </c>
      <c r="F59" s="79">
        <f>22454034.8</f>
        <v>22454034.8</v>
      </c>
      <c r="G59" s="79">
        <f>0</f>
        <v>0</v>
      </c>
      <c r="H59" s="79">
        <f>0</f>
        <v>0</v>
      </c>
      <c r="I59" s="79">
        <f>0</f>
        <v>0</v>
      </c>
      <c r="J59" s="79">
        <f>0</f>
        <v>0</v>
      </c>
      <c r="K59" s="80">
        <f>IF($E$44=0,"",100*$E59/$E$58)</f>
        <v>48.021963150282716</v>
      </c>
      <c r="L59" s="80">
        <f>IF(C59=0,"",100*E59/C59)</f>
        <v>8.293181029415853</v>
      </c>
    </row>
    <row r="60" spans="2:12" ht="13.5" thickBot="1">
      <c r="B60" s="83" t="s">
        <v>59</v>
      </c>
      <c r="C60" s="79">
        <f>C58-C59</f>
        <v>995697164.1100001</v>
      </c>
      <c r="D60" s="79">
        <f aca="true" t="shared" si="6" ref="D60:J60">D58-D59</f>
        <v>299775563.93999994</v>
      </c>
      <c r="E60" s="79">
        <f t="shared" si="6"/>
        <v>108991682.8</v>
      </c>
      <c r="F60" s="79">
        <f t="shared" si="6"/>
        <v>5297645.68</v>
      </c>
      <c r="G60" s="79">
        <f t="shared" si="6"/>
        <v>0</v>
      </c>
      <c r="H60" s="79">
        <f t="shared" si="6"/>
        <v>0</v>
      </c>
      <c r="I60" s="79">
        <f t="shared" si="6"/>
        <v>0</v>
      </c>
      <c r="J60" s="79">
        <f t="shared" si="6"/>
        <v>0</v>
      </c>
      <c r="K60" s="80">
        <f>IF($E$44=0,"",100*$E60/$E$58)</f>
        <v>51.97803684971729</v>
      </c>
      <c r="L60" s="80">
        <f>IF(C60=0,"",100*E60/C60)</f>
        <v>10.946268275999538</v>
      </c>
    </row>
    <row r="61" spans="2:13" ht="25.5" customHeight="1">
      <c r="B61" s="112" t="s">
        <v>86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</row>
    <row r="62" spans="2:8" ht="12.75">
      <c r="B62" s="26" t="s">
        <v>16</v>
      </c>
      <c r="C62" s="116" t="s">
        <v>17</v>
      </c>
      <c r="D62" s="117"/>
      <c r="E62" s="116" t="s">
        <v>1</v>
      </c>
      <c r="F62" s="117"/>
      <c r="G62" s="18" t="s">
        <v>22</v>
      </c>
      <c r="H62" s="18" t="s">
        <v>23</v>
      </c>
    </row>
    <row r="63" spans="2:8" ht="12.75">
      <c r="B63" s="26"/>
      <c r="C63" s="97" t="s">
        <v>60</v>
      </c>
      <c r="D63" s="108"/>
      <c r="E63" s="108"/>
      <c r="F63" s="109"/>
      <c r="G63" s="110" t="s">
        <v>4</v>
      </c>
      <c r="H63" s="111"/>
    </row>
    <row r="64" spans="2:8" ht="12.75">
      <c r="B64" s="24">
        <v>1</v>
      </c>
      <c r="C64" s="27">
        <v>2</v>
      </c>
      <c r="D64" s="28"/>
      <c r="E64" s="27">
        <v>3</v>
      </c>
      <c r="F64" s="28"/>
      <c r="G64" s="25">
        <v>4</v>
      </c>
      <c r="H64" s="25">
        <v>5</v>
      </c>
    </row>
    <row r="65" spans="2:8" ht="22.5">
      <c r="B65" s="65" t="s">
        <v>49</v>
      </c>
      <c r="C65" s="46">
        <f>3854878914.2</f>
        <v>3854878914.2</v>
      </c>
      <c r="D65" s="47"/>
      <c r="E65" s="46">
        <f>5121431439.31</f>
        <v>5121431439.31</v>
      </c>
      <c r="F65" s="47"/>
      <c r="G65" s="48">
        <f>IF($E$65=0,"",100*$E65/$E$65)</f>
        <v>100</v>
      </c>
      <c r="H65" s="40">
        <f>IF(C65=0,"",100*E65/C65)</f>
        <v>132.85583161755022</v>
      </c>
    </row>
    <row r="66" spans="2:8" ht="25.5" customHeight="1">
      <c r="B66" s="66" t="s">
        <v>76</v>
      </c>
      <c r="C66" s="49">
        <f>945853251.38</f>
        <v>945853251.38</v>
      </c>
      <c r="D66" s="50"/>
      <c r="E66" s="49">
        <f>4316725.71</f>
        <v>4316725.71</v>
      </c>
      <c r="F66" s="50"/>
      <c r="G66" s="51">
        <f aca="true" t="shared" si="7" ref="G66:G73">IF($E$65=0,"",100*$E66/$E$65)</f>
        <v>0.08428748409803145</v>
      </c>
      <c r="H66" s="52">
        <f aca="true" t="shared" si="8" ref="H66:H78">IF(C66=0,"",100*E66/C66)</f>
        <v>0.4563842967925412</v>
      </c>
    </row>
    <row r="67" spans="2:8" ht="24" customHeight="1">
      <c r="B67" s="90" t="s">
        <v>77</v>
      </c>
      <c r="C67" s="91">
        <f>39431821.23</f>
        <v>39431821.23</v>
      </c>
      <c r="D67" s="92"/>
      <c r="E67" s="91">
        <f>0</f>
        <v>0</v>
      </c>
      <c r="F67" s="92"/>
      <c r="G67" s="93">
        <f t="shared" si="7"/>
        <v>0</v>
      </c>
      <c r="H67" s="94">
        <f t="shared" si="8"/>
        <v>0</v>
      </c>
    </row>
    <row r="68" spans="2:8" ht="12.75">
      <c r="B68" s="95" t="s">
        <v>78</v>
      </c>
      <c r="C68" s="91">
        <f>40983155.12</f>
        <v>40983155.12</v>
      </c>
      <c r="D68" s="92"/>
      <c r="E68" s="91">
        <f>6622092.28</f>
        <v>6622092.28</v>
      </c>
      <c r="F68" s="92"/>
      <c r="G68" s="93">
        <f t="shared" si="7"/>
        <v>0.12930158996509344</v>
      </c>
      <c r="H68" s="94">
        <f t="shared" si="8"/>
        <v>16.158083145649233</v>
      </c>
    </row>
    <row r="69" spans="2:8" ht="16.5" customHeight="1">
      <c r="B69" s="95" t="s">
        <v>79</v>
      </c>
      <c r="C69" s="91">
        <f>272411786.45</f>
        <v>272411786.45</v>
      </c>
      <c r="D69" s="92"/>
      <c r="E69" s="91">
        <f>859275571.37</f>
        <v>859275571.37</v>
      </c>
      <c r="F69" s="92"/>
      <c r="G69" s="93">
        <f t="shared" si="7"/>
        <v>16.77803523394952</v>
      </c>
      <c r="H69" s="94">
        <f t="shared" si="8"/>
        <v>315.432596572952</v>
      </c>
    </row>
    <row r="70" spans="2:8" ht="54" customHeight="1">
      <c r="B70" s="95" t="s">
        <v>85</v>
      </c>
      <c r="C70" s="91">
        <f>1536179722.65</f>
        <v>1536179722.65</v>
      </c>
      <c r="D70" s="92"/>
      <c r="E70" s="91">
        <f>1945134125.36</f>
        <v>1945134125.36</v>
      </c>
      <c r="F70" s="92"/>
      <c r="G70" s="93">
        <f t="shared" si="7"/>
        <v>37.98028243490581</v>
      </c>
      <c r="H70" s="94">
        <f t="shared" si="8"/>
        <v>126.62152069059535</v>
      </c>
    </row>
    <row r="71" spans="2:8" ht="12.75">
      <c r="B71" s="95" t="s">
        <v>80</v>
      </c>
      <c r="C71" s="91">
        <f>0</f>
        <v>0</v>
      </c>
      <c r="D71" s="92"/>
      <c r="E71" s="91">
        <f>0</f>
        <v>0</v>
      </c>
      <c r="F71" s="92"/>
      <c r="G71" s="93">
        <f t="shared" si="7"/>
        <v>0</v>
      </c>
      <c r="H71" s="94">
        <f t="shared" si="8"/>
      </c>
    </row>
    <row r="72" spans="2:8" ht="33.75">
      <c r="B72" s="95" t="s">
        <v>62</v>
      </c>
      <c r="C72" s="91">
        <f>1026011328.01</f>
        <v>1026011328.01</v>
      </c>
      <c r="D72" s="92"/>
      <c r="E72" s="91">
        <f>2288572628.87</f>
        <v>2288572628.87</v>
      </c>
      <c r="F72" s="92"/>
      <c r="G72" s="93">
        <f t="shared" si="7"/>
        <v>44.68619088217911</v>
      </c>
      <c r="H72" s="94">
        <f t="shared" si="8"/>
        <v>223.05529835706594</v>
      </c>
    </row>
    <row r="73" spans="2:8" ht="12.75">
      <c r="B73" s="90" t="s">
        <v>63</v>
      </c>
      <c r="C73" s="91">
        <f>33439670.59</f>
        <v>33439670.59</v>
      </c>
      <c r="D73" s="92"/>
      <c r="E73" s="91">
        <f>17510295.72</f>
        <v>17510295.72</v>
      </c>
      <c r="F73" s="92"/>
      <c r="G73" s="93">
        <f t="shared" si="7"/>
        <v>0.34190237490241837</v>
      </c>
      <c r="H73" s="94">
        <f t="shared" si="8"/>
        <v>52.363840346072024</v>
      </c>
    </row>
    <row r="74" spans="2:8" ht="22.5">
      <c r="B74" s="65" t="s">
        <v>50</v>
      </c>
      <c r="C74" s="58">
        <f>830398101.43</f>
        <v>830398101.43</v>
      </c>
      <c r="D74" s="59"/>
      <c r="E74" s="58">
        <f>197428128.98</f>
        <v>197428128.98</v>
      </c>
      <c r="F74" s="59"/>
      <c r="G74" s="48">
        <f>IF($E$74=0,"",100*$E74/$E$74)</f>
        <v>100</v>
      </c>
      <c r="H74" s="40">
        <f t="shared" si="8"/>
        <v>23.775118059641013</v>
      </c>
    </row>
    <row r="75" spans="2:8" ht="33.75" customHeight="1">
      <c r="B75" s="66" t="s">
        <v>83</v>
      </c>
      <c r="C75" s="49">
        <f>744853192.94</f>
        <v>744853192.94</v>
      </c>
      <c r="D75" s="57"/>
      <c r="E75" s="56">
        <f>158322442.19</f>
        <v>158322442.19</v>
      </c>
      <c r="F75" s="57"/>
      <c r="G75" s="51">
        <f>IF($E$74=0,"",100*$E75/$E$74)</f>
        <v>80.192444211452</v>
      </c>
      <c r="H75" s="52">
        <f t="shared" si="8"/>
        <v>21.255523060200307</v>
      </c>
    </row>
    <row r="76" spans="2:8" ht="12" customHeight="1">
      <c r="B76" s="95" t="s">
        <v>81</v>
      </c>
      <c r="C76" s="91">
        <f>25527000</f>
        <v>25527000</v>
      </c>
      <c r="D76" s="92"/>
      <c r="E76" s="91">
        <f>0</f>
        <v>0</v>
      </c>
      <c r="F76" s="92"/>
      <c r="G76" s="93">
        <f>IF($E$74=0,"",100*$E76/$E$74)</f>
        <v>0</v>
      </c>
      <c r="H76" s="94">
        <f t="shared" si="8"/>
        <v>0</v>
      </c>
    </row>
    <row r="77" spans="2:8" ht="12.75">
      <c r="B77" s="95" t="s">
        <v>82</v>
      </c>
      <c r="C77" s="91">
        <f>51050349.92</f>
        <v>51050349.92</v>
      </c>
      <c r="D77" s="92"/>
      <c r="E77" s="91">
        <f>24095155.92</f>
        <v>24095155.92</v>
      </c>
      <c r="F77" s="92"/>
      <c r="G77" s="93">
        <f>IF($E$74=0,"",100*$E77/$E$74)</f>
        <v>12.204520219325437</v>
      </c>
      <c r="H77" s="94">
        <f t="shared" si="8"/>
        <v>47.198806585574914</v>
      </c>
    </row>
    <row r="78" spans="2:8" ht="12.75">
      <c r="B78" s="67" t="s">
        <v>24</v>
      </c>
      <c r="C78" s="91">
        <f>34494558.57</f>
        <v>34494558.57</v>
      </c>
      <c r="D78" s="92"/>
      <c r="E78" s="91">
        <f>15010530.87</f>
        <v>15010530.87</v>
      </c>
      <c r="F78" s="92"/>
      <c r="G78" s="93">
        <f>IF($E$74=0,"",100*$E78/$E$74)</f>
        <v>7.603035569222564</v>
      </c>
      <c r="H78" s="94">
        <f t="shared" si="8"/>
        <v>43.51564853204034</v>
      </c>
    </row>
    <row r="79" ht="12.75">
      <c r="B79" s="23"/>
    </row>
    <row r="80" spans="2:8" ht="12.75">
      <c r="B80" s="60" t="s">
        <v>16</v>
      </c>
      <c r="C80" s="116" t="s">
        <v>17</v>
      </c>
      <c r="D80" s="117"/>
      <c r="E80" s="116" t="s">
        <v>1</v>
      </c>
      <c r="F80" s="117"/>
      <c r="G80" s="18" t="s">
        <v>22</v>
      </c>
      <c r="H80" s="18" t="s">
        <v>23</v>
      </c>
    </row>
    <row r="81" spans="2:8" ht="12.75">
      <c r="B81" s="60"/>
      <c r="C81" s="97" t="s">
        <v>60</v>
      </c>
      <c r="D81" s="108"/>
      <c r="E81" s="108"/>
      <c r="F81" s="109"/>
      <c r="G81" s="110" t="s">
        <v>4</v>
      </c>
      <c r="H81" s="111"/>
    </row>
    <row r="82" spans="2:8" ht="12.75">
      <c r="B82" s="24">
        <v>1</v>
      </c>
      <c r="C82" s="27">
        <v>2</v>
      </c>
      <c r="D82" s="28"/>
      <c r="E82" s="27">
        <v>3</v>
      </c>
      <c r="F82" s="28"/>
      <c r="G82" s="25">
        <v>4</v>
      </c>
      <c r="H82" s="25">
        <v>5</v>
      </c>
    </row>
    <row r="83" spans="2:8" ht="22.5">
      <c r="B83" s="64" t="s">
        <v>64</v>
      </c>
      <c r="C83" s="53">
        <f>3024468150.3</f>
        <v>3024468150.3</v>
      </c>
      <c r="D83" s="54"/>
      <c r="E83" s="53">
        <f>0</f>
        <v>0</v>
      </c>
      <c r="F83" s="47"/>
      <c r="G83" s="48"/>
      <c r="H83" s="40"/>
    </row>
    <row r="84" spans="2:8" ht="56.25">
      <c r="B84" s="96" t="s">
        <v>65</v>
      </c>
      <c r="C84" s="91">
        <f>35546740.23</f>
        <v>35546740.23</v>
      </c>
      <c r="D84" s="92"/>
      <c r="E84" s="91">
        <f>0</f>
        <v>0</v>
      </c>
      <c r="F84" s="92"/>
      <c r="G84" s="93"/>
      <c r="H84" s="94"/>
    </row>
    <row r="85" spans="2:8" ht="12.75">
      <c r="B85" s="96" t="s">
        <v>66</v>
      </c>
      <c r="C85" s="91">
        <f>594019923.66</f>
        <v>594019923.66</v>
      </c>
      <c r="D85" s="92"/>
      <c r="E85" s="91">
        <f>0</f>
        <v>0</v>
      </c>
      <c r="F85" s="92"/>
      <c r="G85" s="93"/>
      <c r="H85" s="94"/>
    </row>
    <row r="86" spans="2:8" ht="22.5">
      <c r="B86" s="96" t="s">
        <v>67</v>
      </c>
      <c r="C86" s="91">
        <f>0</f>
        <v>0</v>
      </c>
      <c r="D86" s="92"/>
      <c r="E86" s="91">
        <f>0</f>
        <v>0</v>
      </c>
      <c r="F86" s="92"/>
      <c r="G86" s="93"/>
      <c r="H86" s="94"/>
    </row>
    <row r="87" spans="2:8" ht="33.75">
      <c r="B87" s="96" t="s">
        <v>68</v>
      </c>
      <c r="C87" s="91">
        <f>225018392.81</f>
        <v>225018392.81</v>
      </c>
      <c r="D87" s="92"/>
      <c r="E87" s="91">
        <f>0</f>
        <v>0</v>
      </c>
      <c r="F87" s="92"/>
      <c r="G87" s="93"/>
      <c r="H87" s="94"/>
    </row>
    <row r="88" spans="2:8" ht="101.25">
      <c r="B88" s="96" t="s">
        <v>69</v>
      </c>
      <c r="C88" s="91">
        <f>733824585.47</f>
        <v>733824585.47</v>
      </c>
      <c r="D88" s="92"/>
      <c r="E88" s="91">
        <f>0</f>
        <v>0</v>
      </c>
      <c r="F88" s="92"/>
      <c r="G88" s="93"/>
      <c r="H88" s="94"/>
    </row>
  </sheetData>
  <sheetProtection/>
  <mergeCells count="38">
    <mergeCell ref="C80:D80"/>
    <mergeCell ref="E80:F80"/>
    <mergeCell ref="C81:F81"/>
    <mergeCell ref="G81:H81"/>
    <mergeCell ref="L39:L41"/>
    <mergeCell ref="B2:B3"/>
    <mergeCell ref="C39:C41"/>
    <mergeCell ref="B39:B42"/>
    <mergeCell ref="K39:K41"/>
    <mergeCell ref="K42:L42"/>
    <mergeCell ref="C62:D62"/>
    <mergeCell ref="E62:F62"/>
    <mergeCell ref="I48:J48"/>
    <mergeCell ref="I49:J49"/>
    <mergeCell ref="I44:J44"/>
    <mergeCell ref="I45:J45"/>
    <mergeCell ref="F39:H39"/>
    <mergeCell ref="G40:H40"/>
    <mergeCell ref="F3:H3"/>
    <mergeCell ref="B37:M37"/>
    <mergeCell ref="C42:J42"/>
    <mergeCell ref="C3:E3"/>
    <mergeCell ref="I54:J54"/>
    <mergeCell ref="I52:J52"/>
    <mergeCell ref="C63:F63"/>
    <mergeCell ref="G63:H63"/>
    <mergeCell ref="I43:J43"/>
    <mergeCell ref="B1:M1"/>
    <mergeCell ref="B61:M61"/>
    <mergeCell ref="I39:J41"/>
    <mergeCell ref="D39:D41"/>
    <mergeCell ref="E39:E41"/>
    <mergeCell ref="F40:F41"/>
    <mergeCell ref="I46:J46"/>
    <mergeCell ref="I47:J47"/>
    <mergeCell ref="I50:J50"/>
    <mergeCell ref="I51:J51"/>
    <mergeCell ref="I53:J53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2" manualBreakCount="2">
    <brk id="36" max="255" man="1"/>
    <brk id="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2021-05-31T09:39:38Z</dcterms:modified>
  <cp:category/>
  <cp:version/>
  <cp:contentType/>
  <cp:contentStatus/>
</cp:coreProperties>
</file>