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kucharska\Desktop\"/>
    </mc:Choice>
  </mc:AlternateContent>
  <xr:revisionPtr revIDLastSave="0" documentId="8_{AA5DB5BD-4BEB-4802-B640-745E21ADE4D9}" xr6:coauthVersionLast="36" xr6:coauthVersionMax="36" xr10:uidLastSave="{00000000-0000-0000-0000-000000000000}"/>
  <bookViews>
    <workbookView xWindow="30615" yWindow="-105" windowWidth="30930" windowHeight="16770" xr2:uid="{00000000-000D-0000-FFFF-FFFF00000000}"/>
  </bookViews>
  <sheets>
    <sheet name="TERC - &quot;nazwa woj&quot;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podst'!$A$1:$AD$33</definedName>
    <definedName name="_xlnm._FilterDatabase" localSheetId="4" hidden="1">'gm rez'!$A$1:$AD$14</definedName>
    <definedName name="_xlnm._FilterDatabase" localSheetId="1" hidden="1">'pow podst'!$A$1:$AC$25</definedName>
    <definedName name="_xlnm.Print_Area" localSheetId="2">'gm podst'!$A$1:$Z$37</definedName>
    <definedName name="_xlnm.Print_Area" localSheetId="4">'gm rez'!$A$1:$Z$18</definedName>
    <definedName name="_xlnm.Print_Area" localSheetId="1">'pow podst'!$A$1:$Y$30</definedName>
    <definedName name="_xlnm.Print_Area" localSheetId="3">'pow rez'!$A$1:$Y$11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A8A5BDFE_16B2_40FE_8A28_1419092A9D18_.wvu.FilterData" localSheetId="2" hidden="1">'gm podst'!$A$1:$AD$33</definedName>
    <definedName name="Z_A8A5BDFE_16B2_40FE_8A28_1419092A9D18_.wvu.FilterData" localSheetId="4" hidden="1">'gm rez'!$A$1:$AD$14</definedName>
    <definedName name="Z_A8A5BDFE_16B2_40FE_8A28_1419092A9D18_.wvu.FilterData" localSheetId="1" hidden="1">'pow podst'!$A$1:$AC$25</definedName>
    <definedName name="Z_A8A5BDFE_16B2_40FE_8A28_1419092A9D18_.wvu.PrintArea" localSheetId="2" hidden="1">'gm podst'!$A$1:$Z$37</definedName>
    <definedName name="Z_A8A5BDFE_16B2_40FE_8A28_1419092A9D18_.wvu.PrintArea" localSheetId="4" hidden="1">'gm rez'!$A$1:$Z$18</definedName>
    <definedName name="Z_A8A5BDFE_16B2_40FE_8A28_1419092A9D18_.wvu.PrintArea" localSheetId="1" hidden="1">'pow podst'!$A$1:$Y$30</definedName>
    <definedName name="Z_A8A5BDFE_16B2_40FE_8A28_1419092A9D18_.wvu.PrintArea" localSheetId="3" hidden="1">'pow rez'!$A$1:$Y$11</definedName>
    <definedName name="Z_A8A5BDFE_16B2_40FE_8A28_1419092A9D18_.wvu.PrintArea" localSheetId="0" hidden="1">'TERC - "nazwa woj"'!$A$1:$Q$36</definedName>
    <definedName name="Z_A8A5BDFE_16B2_40FE_8A28_1419092A9D18_.wvu.PrintTitles" localSheetId="2" hidden="1">'gm podst'!$1:$2</definedName>
    <definedName name="Z_A8A5BDFE_16B2_40FE_8A28_1419092A9D18_.wvu.PrintTitles" localSheetId="4" hidden="1">'gm rez'!$1:$2</definedName>
    <definedName name="Z_A8A5BDFE_16B2_40FE_8A28_1419092A9D18_.wvu.PrintTitles" localSheetId="1" hidden="1">'pow podst'!$1:$2</definedName>
    <definedName name="Z_A8A5BDFE_16B2_40FE_8A28_1419092A9D18_.wvu.PrintTitles" localSheetId="3" hidden="1">'pow rez'!$1:$2</definedName>
    <definedName name="Z_B6C44C0D_54D9_45CE_9067_9F4D20DEBE8D_.wvu.FilterData" localSheetId="2" hidden="1">'gm podst'!$A$1:$AD$33</definedName>
    <definedName name="Z_B6C44C0D_54D9_45CE_9067_9F4D20DEBE8D_.wvu.FilterData" localSheetId="4" hidden="1">'gm rez'!$A$1:$AD$14</definedName>
    <definedName name="Z_B6C44C0D_54D9_45CE_9067_9F4D20DEBE8D_.wvu.FilterData" localSheetId="1" hidden="1">'pow podst'!$A$1:$AC$25</definedName>
    <definedName name="Z_B6C44C0D_54D9_45CE_9067_9F4D20DEBE8D_.wvu.PrintArea" localSheetId="2" hidden="1">'gm podst'!$A$1:$Z$37</definedName>
    <definedName name="Z_B6C44C0D_54D9_45CE_9067_9F4D20DEBE8D_.wvu.PrintArea" localSheetId="4" hidden="1">'gm rez'!$A$1:$Z$18</definedName>
    <definedName name="Z_B6C44C0D_54D9_45CE_9067_9F4D20DEBE8D_.wvu.PrintArea" localSheetId="1" hidden="1">'pow podst'!$A$1:$Y$30</definedName>
    <definedName name="Z_B6C44C0D_54D9_45CE_9067_9F4D20DEBE8D_.wvu.PrintArea" localSheetId="3" hidden="1">'pow rez'!$A$1:$Y$11</definedName>
    <definedName name="Z_B6C44C0D_54D9_45CE_9067_9F4D20DEBE8D_.wvu.PrintArea" localSheetId="0" hidden="1">'TERC - "nazwa woj"'!$A$1:$Q$36</definedName>
    <definedName name="Z_B6C44C0D_54D9_45CE_9067_9F4D20DEBE8D_.wvu.PrintTitles" localSheetId="2" hidden="1">'gm podst'!$1:$2</definedName>
    <definedName name="Z_B6C44C0D_54D9_45CE_9067_9F4D20DEBE8D_.wvu.PrintTitles" localSheetId="4" hidden="1">'gm rez'!$1:$2</definedName>
    <definedName name="Z_B6C44C0D_54D9_45CE_9067_9F4D20DEBE8D_.wvu.PrintTitles" localSheetId="1" hidden="1">'pow podst'!$1:$2</definedName>
    <definedName name="Z_B6C44C0D_54D9_45CE_9067_9F4D20DEBE8D_.wvu.PrintTitles" localSheetId="3" hidden="1">'pow rez'!$1:$2</definedName>
    <definedName name="Z_F6E6E31B_B7E0_41EF_960C_0B5D4F8CFF61_.wvu.FilterData" localSheetId="2" hidden="1">'gm podst'!$A$1:$AD$33</definedName>
  </definedNames>
  <calcPr calcId="191029"/>
  <customWorkbookViews>
    <customWorkbookView name="Kinga Kucharska - Widok osobisty" guid="{A8A5BDFE-16B2-40FE-8A28-1419092A9D18}" mergeInterval="0" personalView="1" maximized="1" xWindow="-8" yWindow="-8" windowWidth="1936" windowHeight="1168" activeSheetId="3" showComments="commIndAndComment"/>
    <customWorkbookView name="Aleksandra Winiarska - Widok osobisty" guid="{B6C44C0D-54D9-45CE-9067-9F4D20DEBE8D}" mergeInterval="0" personalView="1" xWindow="-1912" yWindow="68" windowWidth="1920" windowHeight="104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3" l="1"/>
  <c r="L8" i="3" l="1"/>
  <c r="L27" i="3"/>
  <c r="M27" i="3" s="1"/>
  <c r="L28" i="3" l="1"/>
  <c r="V28" i="3" s="1"/>
  <c r="AB28" i="3" l="1"/>
  <c r="AC28" i="3" s="1"/>
  <c r="AA28" i="3"/>
  <c r="M28" i="3"/>
  <c r="AD28" i="3" s="1"/>
  <c r="M29" i="3" l="1"/>
  <c r="K21" i="2"/>
  <c r="AB27" i="3" l="1"/>
  <c r="AC27" i="3" s="1"/>
  <c r="AD27" i="3"/>
  <c r="V27" i="3"/>
  <c r="AA27" i="3" s="1"/>
  <c r="L26" i="3"/>
  <c r="AB26" i="3" s="1"/>
  <c r="AC26" i="3" s="1"/>
  <c r="V29" i="3"/>
  <c r="V26" i="3" l="1"/>
  <c r="AA26" i="3" s="1"/>
  <c r="M26" i="3"/>
  <c r="AD26" i="3" s="1"/>
  <c r="L21" i="2"/>
  <c r="K20" i="2"/>
  <c r="L20" i="2" s="1"/>
  <c r="K19" i="2"/>
  <c r="AA20" i="2" l="1"/>
  <c r="AB20" i="2" s="1"/>
  <c r="AC20" i="2"/>
  <c r="U20" i="2"/>
  <c r="Z20" i="2" s="1"/>
  <c r="L19" i="2"/>
  <c r="AC19" i="2" s="1"/>
  <c r="U19" i="2"/>
  <c r="Z19" i="2" s="1"/>
  <c r="AA19" i="2"/>
  <c r="AB19" i="2" s="1"/>
  <c r="V22" i="3"/>
  <c r="L24" i="3"/>
  <c r="V24" i="3" s="1"/>
  <c r="L25" i="3"/>
  <c r="V25" i="3" s="1"/>
  <c r="L21" i="3"/>
  <c r="M21" i="3" s="1"/>
  <c r="L18" i="3"/>
  <c r="L19" i="3"/>
  <c r="M22" i="3" l="1"/>
  <c r="V21" i="3"/>
  <c r="M24" i="3"/>
  <c r="M25" i="3"/>
  <c r="AA21" i="3" l="1"/>
  <c r="AB21" i="3"/>
  <c r="AC21" i="3" s="1"/>
  <c r="AD21" i="3"/>
  <c r="AA22" i="3"/>
  <c r="AB22" i="3"/>
  <c r="AC22" i="3" s="1"/>
  <c r="AD22" i="3"/>
  <c r="AA23" i="3"/>
  <c r="AB23" i="3"/>
  <c r="AC23" i="3" s="1"/>
  <c r="AD23" i="3"/>
  <c r="AA24" i="3"/>
  <c r="AB24" i="3"/>
  <c r="AC24" i="3" s="1"/>
  <c r="AD24" i="3"/>
  <c r="AA25" i="3"/>
  <c r="AB25" i="3"/>
  <c r="AC25" i="3" s="1"/>
  <c r="AD25" i="3"/>
  <c r="L17" i="3" l="1"/>
  <c r="V17" i="3" s="1"/>
  <c r="AB19" i="3"/>
  <c r="AC19" i="3" s="1"/>
  <c r="L20" i="3"/>
  <c r="AA20" i="3" s="1"/>
  <c r="AD29" i="3"/>
  <c r="M19" i="3" l="1"/>
  <c r="AD19" i="3" s="1"/>
  <c r="V19" i="3"/>
  <c r="AA19" i="3" s="1"/>
  <c r="AB20" i="3"/>
  <c r="AC20" i="3" s="1"/>
  <c r="M17" i="3"/>
  <c r="M20" i="3"/>
  <c r="AD20" i="3" s="1"/>
  <c r="AB29" i="3"/>
  <c r="AC29" i="3" s="1"/>
  <c r="AA29" i="3"/>
  <c r="L9" i="5" l="1"/>
  <c r="M9" i="5" s="1"/>
  <c r="AD9" i="5" l="1"/>
  <c r="V9" i="5"/>
  <c r="AA9" i="5" s="1"/>
  <c r="AB9" i="5"/>
  <c r="AC9" i="5" s="1"/>
  <c r="L6" i="5" l="1"/>
  <c r="AB6" i="5" s="1"/>
  <c r="AC6" i="5" s="1"/>
  <c r="L7" i="5"/>
  <c r="AB7" i="5" s="1"/>
  <c r="AC7" i="5" s="1"/>
  <c r="L8" i="5"/>
  <c r="V8" i="5" s="1"/>
  <c r="AA8" i="5" s="1"/>
  <c r="L10" i="5"/>
  <c r="V10" i="5" s="1"/>
  <c r="L11" i="5"/>
  <c r="M11" i="5" s="1"/>
  <c r="M10" i="5" l="1"/>
  <c r="AD10" i="5" s="1"/>
  <c r="M6" i="5"/>
  <c r="AD6" i="5" s="1"/>
  <c r="M8" i="5"/>
  <c r="AD8" i="5" s="1"/>
  <c r="AB4" i="5"/>
  <c r="AC4" i="5" s="1"/>
  <c r="V7" i="5"/>
  <c r="AA7" i="5" s="1"/>
  <c r="AD3" i="5"/>
  <c r="V11" i="5"/>
  <c r="AA11" i="5" s="1"/>
  <c r="V6" i="5"/>
  <c r="AA6" i="5" s="1"/>
  <c r="AB10" i="5"/>
  <c r="AC10" i="5" s="1"/>
  <c r="AD5" i="5"/>
  <c r="AB3" i="5"/>
  <c r="AC3" i="5" s="1"/>
  <c r="AA10" i="5"/>
  <c r="AA5" i="5"/>
  <c r="AD11" i="5"/>
  <c r="AB8" i="5"/>
  <c r="AC8" i="5" s="1"/>
  <c r="AB5" i="5"/>
  <c r="AC5" i="5" s="1"/>
  <c r="AA4" i="5"/>
  <c r="M7" i="5"/>
  <c r="AD7" i="5" s="1"/>
  <c r="AB11" i="5"/>
  <c r="AC11" i="5" s="1"/>
  <c r="AD4" i="5"/>
  <c r="AA3" i="5"/>
  <c r="U21" i="2"/>
  <c r="K18" i="2"/>
  <c r="V18" i="2" s="1"/>
  <c r="Z18" i="2" s="1"/>
  <c r="K17" i="2"/>
  <c r="AA17" i="2" s="1"/>
  <c r="AB17" i="2" s="1"/>
  <c r="K16" i="2"/>
  <c r="V16" i="2" s="1"/>
  <c r="M8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M18" i="3"/>
  <c r="AA18" i="2" l="1"/>
  <c r="AB18" i="2" s="1"/>
  <c r="V17" i="2"/>
  <c r="Z17" i="2" s="1"/>
  <c r="V13" i="3"/>
  <c r="V15" i="3"/>
  <c r="V18" i="3"/>
  <c r="V16" i="3"/>
  <c r="V8" i="3"/>
  <c r="V11" i="3"/>
  <c r="V9" i="3"/>
  <c r="V12" i="3"/>
  <c r="V14" i="3"/>
  <c r="L18" i="2"/>
  <c r="AC18" i="2" s="1"/>
  <c r="L17" i="2"/>
  <c r="AC17" i="2" s="1"/>
  <c r="M4" i="3" l="1"/>
  <c r="L5" i="3"/>
  <c r="M5" i="3" s="1"/>
  <c r="L6" i="3"/>
  <c r="M6" i="3" s="1"/>
  <c r="L7" i="3"/>
  <c r="M7" i="3" s="1"/>
  <c r="K4" i="2"/>
  <c r="U4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L16" i="2"/>
  <c r="U6" i="2" l="1"/>
  <c r="AA3" i="4"/>
  <c r="AB3" i="4" s="1"/>
  <c r="U14" i="2"/>
  <c r="U12" i="2"/>
  <c r="U13" i="2"/>
  <c r="U8" i="2"/>
  <c r="L4" i="2"/>
  <c r="U10" i="2"/>
  <c r="U9" i="2"/>
  <c r="U11" i="2"/>
  <c r="U5" i="2"/>
  <c r="U15" i="2"/>
  <c r="U7" i="2"/>
  <c r="AC3" i="4"/>
  <c r="Z3" i="4" l="1"/>
  <c r="B19" i="1" l="1"/>
  <c r="B18" i="1"/>
  <c r="B15" i="1"/>
  <c r="B13" i="1"/>
  <c r="B17" i="1"/>
  <c r="B14" i="1"/>
  <c r="K3" i="2"/>
  <c r="B27" i="1" l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4" i="1"/>
  <c r="Q24" i="1"/>
  <c r="P25" i="1"/>
  <c r="Q25" i="1"/>
  <c r="P26" i="1"/>
  <c r="Q26" i="1"/>
  <c r="P27" i="1"/>
  <c r="Q27" i="1"/>
  <c r="P28" i="1"/>
  <c r="Q28" i="1"/>
  <c r="P29" i="1"/>
  <c r="Q29" i="1"/>
  <c r="Z4" i="4"/>
  <c r="Z14" i="5"/>
  <c r="Y14" i="5"/>
  <c r="Z13" i="5"/>
  <c r="Y13" i="5"/>
  <c r="Z12" i="5"/>
  <c r="Y12" i="5"/>
  <c r="Y7" i="4"/>
  <c r="X7" i="4"/>
  <c r="Y6" i="4"/>
  <c r="X6" i="4"/>
  <c r="Y5" i="4"/>
  <c r="X5" i="4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8" i="3"/>
  <c r="AB3" i="3"/>
  <c r="AA3" i="3"/>
  <c r="Z33" i="3"/>
  <c r="Y33" i="3"/>
  <c r="Z32" i="3"/>
  <c r="Y32" i="3"/>
  <c r="Z31" i="3"/>
  <c r="Y31" i="3"/>
  <c r="Z30" i="3"/>
  <c r="Y30" i="3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1" i="2"/>
  <c r="Z3" i="2"/>
  <c r="Y22" i="2"/>
  <c r="Y25" i="2"/>
  <c r="Y24" i="2"/>
  <c r="Y23" i="2"/>
  <c r="X25" i="2"/>
  <c r="X24" i="2"/>
  <c r="X23" i="2"/>
  <c r="X22" i="2"/>
  <c r="Q20" i="1" l="1"/>
  <c r="Q37" i="1" s="1"/>
  <c r="P20" i="1"/>
  <c r="P37" i="1" s="1"/>
  <c r="Q31" i="1"/>
  <c r="Q42" i="1" s="1"/>
  <c r="P31" i="1"/>
  <c r="P42" i="1" s="1"/>
  <c r="Q30" i="1"/>
  <c r="Q41" i="1" s="1"/>
  <c r="P30" i="1"/>
  <c r="Q23" i="1"/>
  <c r="Q40" i="1" s="1"/>
  <c r="Q22" i="1"/>
  <c r="Q21" i="1"/>
  <c r="Q34" i="1" s="1"/>
  <c r="P22" i="1"/>
  <c r="P21" i="1"/>
  <c r="P34" i="1" s="1"/>
  <c r="Q32" i="1"/>
  <c r="Q43" i="1" s="1"/>
  <c r="P32" i="1"/>
  <c r="P43" i="1" s="1"/>
  <c r="P23" i="1"/>
  <c r="J7" i="4"/>
  <c r="P33" i="1" l="1"/>
  <c r="P44" i="1" s="1"/>
  <c r="Q35" i="1"/>
  <c r="P36" i="1"/>
  <c r="Q36" i="1"/>
  <c r="Q33" i="1"/>
  <c r="Q44" i="1" s="1"/>
  <c r="P35" i="1"/>
  <c r="P41" i="1"/>
  <c r="Q39" i="1"/>
  <c r="Q38" i="1"/>
  <c r="P39" i="1"/>
  <c r="P40" i="1"/>
  <c r="P38" i="1"/>
  <c r="B29" i="1"/>
  <c r="B28" i="1"/>
  <c r="B26" i="1"/>
  <c r="B25" i="1"/>
  <c r="O29" i="1"/>
  <c r="N29" i="1"/>
  <c r="M29" i="1"/>
  <c r="L29" i="1"/>
  <c r="K29" i="1"/>
  <c r="J29" i="1"/>
  <c r="I29" i="1"/>
  <c r="H29" i="1"/>
  <c r="G29" i="1"/>
  <c r="F29" i="1"/>
  <c r="E29" i="1"/>
  <c r="O28" i="1"/>
  <c r="N28" i="1"/>
  <c r="M28" i="1"/>
  <c r="L28" i="1"/>
  <c r="K28" i="1"/>
  <c r="J28" i="1"/>
  <c r="I28" i="1"/>
  <c r="H28" i="1"/>
  <c r="G28" i="1"/>
  <c r="F28" i="1"/>
  <c r="E28" i="1"/>
  <c r="C28" i="1"/>
  <c r="O26" i="1"/>
  <c r="N26" i="1"/>
  <c r="M26" i="1"/>
  <c r="L26" i="1"/>
  <c r="K26" i="1"/>
  <c r="J26" i="1"/>
  <c r="I26" i="1"/>
  <c r="H26" i="1"/>
  <c r="G26" i="1"/>
  <c r="F26" i="1"/>
  <c r="E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I17" i="1"/>
  <c r="H17" i="1"/>
  <c r="G17" i="1"/>
  <c r="F17" i="1"/>
  <c r="E17" i="1"/>
  <c r="O15" i="1"/>
  <c r="O14" i="1"/>
  <c r="N15" i="1"/>
  <c r="N14" i="1"/>
  <c r="M15" i="1"/>
  <c r="M14" i="1"/>
  <c r="L15" i="1"/>
  <c r="L14" i="1"/>
  <c r="K15" i="1"/>
  <c r="K14" i="1"/>
  <c r="J15" i="1"/>
  <c r="J14" i="1"/>
  <c r="I15" i="1"/>
  <c r="I14" i="1"/>
  <c r="H15" i="1"/>
  <c r="H14" i="1"/>
  <c r="G15" i="1"/>
  <c r="G14" i="1"/>
  <c r="F15" i="1"/>
  <c r="F14" i="1"/>
  <c r="E15" i="1"/>
  <c r="E14" i="1"/>
  <c r="D15" i="1"/>
  <c r="D14" i="1"/>
  <c r="O13" i="1"/>
  <c r="N13" i="1"/>
  <c r="M13" i="1"/>
  <c r="L13" i="1"/>
  <c r="K13" i="1"/>
  <c r="J13" i="1"/>
  <c r="I13" i="1"/>
  <c r="H13" i="1"/>
  <c r="G13" i="1"/>
  <c r="F13" i="1"/>
  <c r="E13" i="1"/>
  <c r="C29" i="1"/>
  <c r="C26" i="1"/>
  <c r="C19" i="1"/>
  <c r="C18" i="1"/>
  <c r="C17" i="1"/>
  <c r="S14" i="1" l="1"/>
  <c r="S15" i="1"/>
  <c r="S13" i="1"/>
  <c r="R25" i="1"/>
  <c r="R18" i="1"/>
  <c r="S29" i="1"/>
  <c r="S28" i="1"/>
  <c r="S26" i="1"/>
  <c r="S25" i="1"/>
  <c r="R19" i="1"/>
  <c r="S18" i="1"/>
  <c r="S17" i="1"/>
  <c r="S19" i="1"/>
  <c r="C15" i="1"/>
  <c r="C14" i="1"/>
  <c r="R14" i="1" s="1"/>
  <c r="C13" i="1"/>
  <c r="R15" i="1" l="1"/>
  <c r="O32" i="1"/>
  <c r="O43" i="1" s="1"/>
  <c r="N32" i="1"/>
  <c r="N43" i="1" s="1"/>
  <c r="M32" i="1"/>
  <c r="M43" i="1" s="1"/>
  <c r="L32" i="1"/>
  <c r="L43" i="1" s="1"/>
  <c r="K32" i="1"/>
  <c r="K43" i="1" s="1"/>
  <c r="J32" i="1"/>
  <c r="J43" i="1" s="1"/>
  <c r="I32" i="1"/>
  <c r="I43" i="1" s="1"/>
  <c r="H32" i="1"/>
  <c r="H43" i="1" s="1"/>
  <c r="G32" i="1"/>
  <c r="G43" i="1" s="1"/>
  <c r="F32" i="1"/>
  <c r="F43" i="1" s="1"/>
  <c r="E32" i="1"/>
  <c r="E43" i="1" s="1"/>
  <c r="C32" i="1"/>
  <c r="C43" i="1" s="1"/>
  <c r="B32" i="1"/>
  <c r="B43" i="1" s="1"/>
  <c r="O31" i="1"/>
  <c r="O42" i="1" s="1"/>
  <c r="N31" i="1"/>
  <c r="N42" i="1" s="1"/>
  <c r="M31" i="1"/>
  <c r="M42" i="1" s="1"/>
  <c r="L31" i="1"/>
  <c r="L42" i="1" s="1"/>
  <c r="K31" i="1"/>
  <c r="K42" i="1" s="1"/>
  <c r="J31" i="1"/>
  <c r="J42" i="1" s="1"/>
  <c r="I31" i="1"/>
  <c r="I42" i="1" s="1"/>
  <c r="H31" i="1"/>
  <c r="H42" i="1" s="1"/>
  <c r="G31" i="1"/>
  <c r="G42" i="1" s="1"/>
  <c r="F31" i="1"/>
  <c r="F42" i="1" s="1"/>
  <c r="E31" i="1"/>
  <c r="E42" i="1" s="1"/>
  <c r="C31" i="1"/>
  <c r="C42" i="1" s="1"/>
  <c r="B31" i="1"/>
  <c r="B42" i="1" s="1"/>
  <c r="O22" i="1"/>
  <c r="O39" i="1" s="1"/>
  <c r="N22" i="1"/>
  <c r="N39" i="1" s="1"/>
  <c r="M22" i="1"/>
  <c r="M39" i="1" s="1"/>
  <c r="L22" i="1"/>
  <c r="L39" i="1" s="1"/>
  <c r="K22" i="1"/>
  <c r="K39" i="1" s="1"/>
  <c r="J22" i="1"/>
  <c r="J39" i="1" s="1"/>
  <c r="I22" i="1"/>
  <c r="I39" i="1" s="1"/>
  <c r="H22" i="1"/>
  <c r="H39" i="1" s="1"/>
  <c r="G22" i="1"/>
  <c r="G39" i="1" s="1"/>
  <c r="F22" i="1"/>
  <c r="F39" i="1" s="1"/>
  <c r="E22" i="1"/>
  <c r="E39" i="1" s="1"/>
  <c r="D22" i="1"/>
  <c r="D39" i="1" s="1"/>
  <c r="C22" i="1"/>
  <c r="C39" i="1" s="1"/>
  <c r="B22" i="1"/>
  <c r="B39" i="1" s="1"/>
  <c r="O21" i="1"/>
  <c r="N21" i="1"/>
  <c r="M21" i="1"/>
  <c r="L21" i="1"/>
  <c r="K21" i="1"/>
  <c r="J21" i="1"/>
  <c r="I21" i="1"/>
  <c r="H21" i="1"/>
  <c r="G21" i="1"/>
  <c r="F21" i="1"/>
  <c r="E21" i="1"/>
  <c r="C21" i="1"/>
  <c r="C38" i="1" s="1"/>
  <c r="B21" i="1"/>
  <c r="W25" i="2"/>
  <c r="V25" i="2"/>
  <c r="U25" i="2"/>
  <c r="T25" i="2"/>
  <c r="S25" i="2"/>
  <c r="R25" i="2"/>
  <c r="Q25" i="2"/>
  <c r="P25" i="2"/>
  <c r="O25" i="2"/>
  <c r="N25" i="2"/>
  <c r="W24" i="2"/>
  <c r="V24" i="2"/>
  <c r="U24" i="2"/>
  <c r="T24" i="2"/>
  <c r="S24" i="2"/>
  <c r="R24" i="2"/>
  <c r="Q24" i="2"/>
  <c r="P24" i="2"/>
  <c r="O24" i="2"/>
  <c r="N24" i="2"/>
  <c r="W23" i="2"/>
  <c r="V23" i="2"/>
  <c r="U23" i="2"/>
  <c r="T23" i="2"/>
  <c r="S23" i="2"/>
  <c r="R23" i="2"/>
  <c r="Q23" i="2"/>
  <c r="P23" i="2"/>
  <c r="O23" i="2"/>
  <c r="N23" i="2"/>
  <c r="L25" i="2"/>
  <c r="K25" i="2"/>
  <c r="J25" i="2"/>
  <c r="L24" i="2"/>
  <c r="K24" i="2"/>
  <c r="J24" i="2"/>
  <c r="J23" i="2"/>
  <c r="H24" i="2"/>
  <c r="H23" i="2"/>
  <c r="X33" i="3"/>
  <c r="W33" i="3"/>
  <c r="V33" i="3"/>
  <c r="U33" i="3"/>
  <c r="T33" i="3"/>
  <c r="S33" i="3"/>
  <c r="R33" i="3"/>
  <c r="Q33" i="3"/>
  <c r="P33" i="3"/>
  <c r="O33" i="3"/>
  <c r="X32" i="3"/>
  <c r="W32" i="3"/>
  <c r="V32" i="3"/>
  <c r="U32" i="3"/>
  <c r="T32" i="3"/>
  <c r="S32" i="3"/>
  <c r="R32" i="3"/>
  <c r="Q32" i="3"/>
  <c r="P32" i="3"/>
  <c r="O32" i="3"/>
  <c r="X31" i="3"/>
  <c r="W31" i="3"/>
  <c r="V31" i="3"/>
  <c r="U31" i="3"/>
  <c r="T31" i="3"/>
  <c r="S31" i="3"/>
  <c r="R31" i="3"/>
  <c r="Q31" i="3"/>
  <c r="P31" i="3"/>
  <c r="O31" i="3"/>
  <c r="M33" i="3"/>
  <c r="L33" i="3"/>
  <c r="K33" i="3"/>
  <c r="M32" i="3"/>
  <c r="L32" i="3"/>
  <c r="K32" i="3"/>
  <c r="L31" i="3"/>
  <c r="K31" i="3"/>
  <c r="I32" i="3"/>
  <c r="I31" i="3"/>
  <c r="W6" i="4"/>
  <c r="V6" i="4"/>
  <c r="U6" i="4"/>
  <c r="T6" i="4"/>
  <c r="S6" i="4"/>
  <c r="R6" i="4"/>
  <c r="Q6" i="4"/>
  <c r="P6" i="4"/>
  <c r="O6" i="4"/>
  <c r="N6" i="4"/>
  <c r="L6" i="4"/>
  <c r="K6" i="4"/>
  <c r="J6" i="4"/>
  <c r="H6" i="4"/>
  <c r="X13" i="5"/>
  <c r="W13" i="5"/>
  <c r="V13" i="5"/>
  <c r="U13" i="5"/>
  <c r="T13" i="5"/>
  <c r="S13" i="5"/>
  <c r="R13" i="5"/>
  <c r="Q13" i="5"/>
  <c r="P13" i="5"/>
  <c r="O13" i="5"/>
  <c r="L13" i="5"/>
  <c r="K13" i="5"/>
  <c r="I13" i="5"/>
  <c r="AA13" i="5" l="1"/>
  <c r="AA31" i="3"/>
  <c r="AA33" i="3"/>
  <c r="AA32" i="3"/>
  <c r="Z6" i="4"/>
  <c r="S21" i="1"/>
  <c r="E38" i="1"/>
  <c r="F34" i="1"/>
  <c r="F38" i="1"/>
  <c r="N34" i="1"/>
  <c r="N38" i="1"/>
  <c r="G34" i="1"/>
  <c r="G38" i="1"/>
  <c r="O34" i="1"/>
  <c r="O38" i="1"/>
  <c r="Z24" i="2"/>
  <c r="H34" i="1"/>
  <c r="H38" i="1"/>
  <c r="I34" i="1"/>
  <c r="I38" i="1"/>
  <c r="Z25" i="2"/>
  <c r="B34" i="1"/>
  <c r="B38" i="1"/>
  <c r="J34" i="1"/>
  <c r="J38" i="1"/>
  <c r="L34" i="1"/>
  <c r="L38" i="1"/>
  <c r="K34" i="1"/>
  <c r="K38" i="1"/>
  <c r="M34" i="1"/>
  <c r="M38" i="1"/>
  <c r="AA6" i="4"/>
  <c r="S32" i="1"/>
  <c r="S31" i="1"/>
  <c r="C34" i="1"/>
  <c r="E34" i="1"/>
  <c r="S22" i="1"/>
  <c r="R22" i="1"/>
  <c r="E35" i="1"/>
  <c r="M35" i="1"/>
  <c r="H35" i="1"/>
  <c r="AB31" i="3"/>
  <c r="L35" i="1"/>
  <c r="I35" i="1"/>
  <c r="C35" i="1"/>
  <c r="G35" i="1"/>
  <c r="K35" i="1"/>
  <c r="O35" i="1"/>
  <c r="B35" i="1"/>
  <c r="F35" i="1"/>
  <c r="J35" i="1"/>
  <c r="N35" i="1"/>
  <c r="AB13" i="5"/>
  <c r="AC6" i="4"/>
  <c r="M3" i="3"/>
  <c r="K23" i="2"/>
  <c r="Z23" i="2" s="1"/>
  <c r="AD3" i="3" l="1"/>
  <c r="D17" i="1"/>
  <c r="R17" i="1" s="1"/>
  <c r="M31" i="3"/>
  <c r="AD31" i="3" s="1"/>
  <c r="S34" i="1"/>
  <c r="S35" i="1"/>
  <c r="B24" i="1"/>
  <c r="L3" i="2"/>
  <c r="D13" i="1" s="1"/>
  <c r="AA23" i="2"/>
  <c r="O23" i="1"/>
  <c r="N23" i="1"/>
  <c r="M23" i="1"/>
  <c r="L23" i="1"/>
  <c r="K23" i="1"/>
  <c r="J23" i="1"/>
  <c r="I23" i="1"/>
  <c r="H23" i="1"/>
  <c r="G23" i="1"/>
  <c r="F23" i="1"/>
  <c r="E23" i="1"/>
  <c r="E40" i="1" s="1"/>
  <c r="D23" i="1"/>
  <c r="C23" i="1"/>
  <c r="C40" i="1" s="1"/>
  <c r="B23" i="1"/>
  <c r="O27" i="1"/>
  <c r="N27" i="1"/>
  <c r="M27" i="1"/>
  <c r="L27" i="1"/>
  <c r="K27" i="1"/>
  <c r="J27" i="1"/>
  <c r="I27" i="1"/>
  <c r="H27" i="1"/>
  <c r="G27" i="1"/>
  <c r="F27" i="1"/>
  <c r="E27" i="1"/>
  <c r="C27" i="1"/>
  <c r="O24" i="1"/>
  <c r="N24" i="1"/>
  <c r="M24" i="1"/>
  <c r="L24" i="1"/>
  <c r="K24" i="1"/>
  <c r="J24" i="1"/>
  <c r="I24" i="1"/>
  <c r="H24" i="1"/>
  <c r="G24" i="1"/>
  <c r="F24" i="1"/>
  <c r="E24" i="1"/>
  <c r="C24" i="1"/>
  <c r="X14" i="5"/>
  <c r="W14" i="5"/>
  <c r="V14" i="5"/>
  <c r="U14" i="5"/>
  <c r="T14" i="5"/>
  <c r="S14" i="5"/>
  <c r="R14" i="5"/>
  <c r="Q14" i="5"/>
  <c r="P14" i="5"/>
  <c r="O14" i="5"/>
  <c r="M14" i="5"/>
  <c r="L14" i="5"/>
  <c r="K14" i="5"/>
  <c r="I14" i="5"/>
  <c r="X12" i="5"/>
  <c r="W12" i="5"/>
  <c r="V12" i="5"/>
  <c r="U12" i="5"/>
  <c r="T12" i="5"/>
  <c r="S12" i="5"/>
  <c r="R12" i="5"/>
  <c r="Q12" i="5"/>
  <c r="P12" i="5"/>
  <c r="O12" i="5"/>
  <c r="L12" i="5"/>
  <c r="K12" i="5"/>
  <c r="I12" i="5"/>
  <c r="W7" i="4"/>
  <c r="V7" i="4"/>
  <c r="U7" i="4"/>
  <c r="T7" i="4"/>
  <c r="S7" i="4"/>
  <c r="R7" i="4"/>
  <c r="Q7" i="4"/>
  <c r="P7" i="4"/>
  <c r="O7" i="4"/>
  <c r="N7" i="4"/>
  <c r="L7" i="4"/>
  <c r="K7" i="4"/>
  <c r="H7" i="4"/>
  <c r="I33" i="3"/>
  <c r="H25" i="2"/>
  <c r="D29" i="1" l="1"/>
  <c r="R29" i="1" s="1"/>
  <c r="D28" i="1"/>
  <c r="M13" i="5"/>
  <c r="AD13" i="5" s="1"/>
  <c r="D27" i="1"/>
  <c r="R27" i="1" s="1"/>
  <c r="M12" i="5"/>
  <c r="AD12" i="5" s="1"/>
  <c r="D24" i="1"/>
  <c r="R24" i="1" s="1"/>
  <c r="D26" i="1"/>
  <c r="Z7" i="4"/>
  <c r="R13" i="1"/>
  <c r="D21" i="1"/>
  <c r="D38" i="1" s="1"/>
  <c r="I36" i="1"/>
  <c r="I40" i="1"/>
  <c r="B36" i="1"/>
  <c r="B40" i="1"/>
  <c r="K36" i="1"/>
  <c r="K40" i="1"/>
  <c r="H36" i="1"/>
  <c r="H40" i="1"/>
  <c r="J36" i="1"/>
  <c r="J40" i="1"/>
  <c r="D40" i="1"/>
  <c r="L36" i="1"/>
  <c r="L40" i="1"/>
  <c r="M36" i="1"/>
  <c r="M40" i="1"/>
  <c r="F36" i="1"/>
  <c r="F40" i="1"/>
  <c r="N36" i="1"/>
  <c r="N40" i="1"/>
  <c r="G36" i="1"/>
  <c r="G40" i="1"/>
  <c r="O36" i="1"/>
  <c r="O40" i="1"/>
  <c r="AA14" i="5"/>
  <c r="AA12" i="5"/>
  <c r="L23" i="2"/>
  <c r="AC23" i="2" s="1"/>
  <c r="AC3" i="2"/>
  <c r="S24" i="1"/>
  <c r="C36" i="1"/>
  <c r="R23" i="1"/>
  <c r="E36" i="1"/>
  <c r="S23" i="1"/>
  <c r="L30" i="1"/>
  <c r="L41" i="1" s="1"/>
  <c r="H30" i="1"/>
  <c r="H41" i="1" s="1"/>
  <c r="G30" i="1"/>
  <c r="G41" i="1" s="1"/>
  <c r="K30" i="1"/>
  <c r="K41" i="1" s="1"/>
  <c r="O30" i="1"/>
  <c r="O41" i="1" s="1"/>
  <c r="J30" i="1"/>
  <c r="J41" i="1" s="1"/>
  <c r="E30" i="1"/>
  <c r="E41" i="1" s="1"/>
  <c r="I30" i="1"/>
  <c r="I41" i="1" s="1"/>
  <c r="M30" i="1"/>
  <c r="M41" i="1" s="1"/>
  <c r="F30" i="1"/>
  <c r="F41" i="1" s="1"/>
  <c r="N30" i="1"/>
  <c r="N41" i="1" s="1"/>
  <c r="C30" i="1"/>
  <c r="C41" i="1" s="1"/>
  <c r="B30" i="1"/>
  <c r="B41" i="1" s="1"/>
  <c r="H5" i="4"/>
  <c r="L5" i="4"/>
  <c r="K5" i="4"/>
  <c r="J5" i="4"/>
  <c r="W5" i="4"/>
  <c r="V5" i="4"/>
  <c r="U5" i="4"/>
  <c r="T5" i="4"/>
  <c r="S5" i="4"/>
  <c r="R5" i="4"/>
  <c r="Q5" i="4"/>
  <c r="P5" i="4"/>
  <c r="O5" i="4"/>
  <c r="N5" i="4"/>
  <c r="AB14" i="5"/>
  <c r="AD14" i="5"/>
  <c r="AB32" i="3"/>
  <c r="AD32" i="3"/>
  <c r="AB33" i="3"/>
  <c r="AD33" i="3"/>
  <c r="AA24" i="2"/>
  <c r="AC24" i="2"/>
  <c r="AA25" i="2"/>
  <c r="AC25" i="2"/>
  <c r="B16" i="1"/>
  <c r="B12" i="1"/>
  <c r="O16" i="1"/>
  <c r="N16" i="1"/>
  <c r="M16" i="1"/>
  <c r="L16" i="1"/>
  <c r="K16" i="1"/>
  <c r="J16" i="1"/>
  <c r="I16" i="1"/>
  <c r="H16" i="1"/>
  <c r="O12" i="1"/>
  <c r="N12" i="1"/>
  <c r="M12" i="1"/>
  <c r="L12" i="1"/>
  <c r="K12" i="1"/>
  <c r="J12" i="1"/>
  <c r="I12" i="1"/>
  <c r="H12" i="1"/>
  <c r="AB12" i="5"/>
  <c r="AA4" i="4"/>
  <c r="AB4" i="4" s="1"/>
  <c r="AC4" i="4"/>
  <c r="AB4" i="3"/>
  <c r="AC4" i="3" s="1"/>
  <c r="AD4" i="3"/>
  <c r="AB5" i="3"/>
  <c r="AC5" i="3" s="1"/>
  <c r="AD5" i="3"/>
  <c r="AB6" i="3"/>
  <c r="AC6" i="3" s="1"/>
  <c r="AD6" i="3"/>
  <c r="AB7" i="3"/>
  <c r="AC7" i="3" s="1"/>
  <c r="AD7" i="3"/>
  <c r="AB8" i="3"/>
  <c r="AC8" i="3" s="1"/>
  <c r="AD8" i="3"/>
  <c r="AB9" i="3"/>
  <c r="AC9" i="3" s="1"/>
  <c r="AD9" i="3"/>
  <c r="AB10" i="3"/>
  <c r="AC10" i="3" s="1"/>
  <c r="AD10" i="3"/>
  <c r="AB11" i="3"/>
  <c r="AC11" i="3" s="1"/>
  <c r="AD11" i="3"/>
  <c r="AB12" i="3"/>
  <c r="AC12" i="3" s="1"/>
  <c r="AD12" i="3"/>
  <c r="AB13" i="3"/>
  <c r="AC13" i="3" s="1"/>
  <c r="AD13" i="3"/>
  <c r="AB14" i="3"/>
  <c r="AC14" i="3" s="1"/>
  <c r="AD14" i="3"/>
  <c r="AB15" i="3"/>
  <c r="AC15" i="3" s="1"/>
  <c r="AD15" i="3"/>
  <c r="AB16" i="3"/>
  <c r="AC16" i="3" s="1"/>
  <c r="AD16" i="3"/>
  <c r="AB18" i="3"/>
  <c r="AC18" i="3" s="1"/>
  <c r="AD18" i="3"/>
  <c r="R28" i="1" l="1"/>
  <c r="D31" i="1"/>
  <c r="D30" i="1"/>
  <c r="D41" i="1" s="1"/>
  <c r="Z5" i="4"/>
  <c r="R26" i="1"/>
  <c r="D32" i="1"/>
  <c r="N20" i="1"/>
  <c r="O20" i="1"/>
  <c r="O33" i="1" s="1"/>
  <c r="K20" i="1"/>
  <c r="K33" i="1" s="1"/>
  <c r="H20" i="1"/>
  <c r="H37" i="1" s="1"/>
  <c r="J20" i="1"/>
  <c r="J37" i="1" s="1"/>
  <c r="R21" i="1"/>
  <c r="D34" i="1"/>
  <c r="R34" i="1" s="1"/>
  <c r="S36" i="1"/>
  <c r="AA5" i="4"/>
  <c r="S30" i="1"/>
  <c r="AC3" i="3"/>
  <c r="M20" i="1"/>
  <c r="I20" i="1"/>
  <c r="I33" i="1" s="1"/>
  <c r="B20" i="1"/>
  <c r="B37" i="1" s="1"/>
  <c r="L20" i="1"/>
  <c r="AC5" i="4"/>
  <c r="O22" i="2"/>
  <c r="AA4" i="2"/>
  <c r="AB4" i="2" s="1"/>
  <c r="AA5" i="2"/>
  <c r="AB5" i="2" s="1"/>
  <c r="AA6" i="2"/>
  <c r="AB6" i="2" s="1"/>
  <c r="AA7" i="2"/>
  <c r="AB7" i="2" s="1"/>
  <c r="AA9" i="2"/>
  <c r="AB9" i="2" s="1"/>
  <c r="AA10" i="2"/>
  <c r="AB10" i="2" s="1"/>
  <c r="AA11" i="2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21" i="2"/>
  <c r="AB21" i="2" s="1"/>
  <c r="O37" i="1" l="1"/>
  <c r="D42" i="1"/>
  <c r="R31" i="1"/>
  <c r="D35" i="1"/>
  <c r="R35" i="1" s="1"/>
  <c r="H33" i="1"/>
  <c r="H44" i="1" s="1"/>
  <c r="K37" i="1"/>
  <c r="R30" i="1"/>
  <c r="D43" i="1"/>
  <c r="R32" i="1"/>
  <c r="D36" i="1"/>
  <c r="R36" i="1" s="1"/>
  <c r="N33" i="1"/>
  <c r="N44" i="1" s="1"/>
  <c r="O44" i="1"/>
  <c r="N37" i="1"/>
  <c r="K44" i="1"/>
  <c r="J33" i="1"/>
  <c r="J44" i="1" s="1"/>
  <c r="I44" i="1"/>
  <c r="I37" i="1"/>
  <c r="M33" i="1"/>
  <c r="M44" i="1" s="1"/>
  <c r="M37" i="1"/>
  <c r="L33" i="1"/>
  <c r="L44" i="1" s="1"/>
  <c r="L37" i="1"/>
  <c r="S27" i="1"/>
  <c r="AA8" i="2"/>
  <c r="AB8" i="2" s="1"/>
  <c r="AC8" i="2"/>
  <c r="AA3" i="2" l="1"/>
  <c r="E16" i="1" l="1"/>
  <c r="E12" i="1"/>
  <c r="E20" i="1" l="1"/>
  <c r="E33" i="1" s="1"/>
  <c r="G12" i="1"/>
  <c r="G16" i="1"/>
  <c r="F16" i="1"/>
  <c r="F12" i="1"/>
  <c r="C16" i="1"/>
  <c r="C12" i="1"/>
  <c r="B33" i="1"/>
  <c r="B44" i="1" s="1"/>
  <c r="X30" i="3"/>
  <c r="W30" i="3"/>
  <c r="V30" i="3"/>
  <c r="U30" i="3"/>
  <c r="T30" i="3"/>
  <c r="S30" i="3"/>
  <c r="R30" i="3"/>
  <c r="Q30" i="3"/>
  <c r="P30" i="3"/>
  <c r="O30" i="3"/>
  <c r="L30" i="3"/>
  <c r="K30" i="3"/>
  <c r="I30" i="3"/>
  <c r="W22" i="2"/>
  <c r="V22" i="2"/>
  <c r="U22" i="2"/>
  <c r="T22" i="2"/>
  <c r="S22" i="2"/>
  <c r="R22" i="2"/>
  <c r="Q22" i="2"/>
  <c r="P22" i="2"/>
  <c r="N22" i="2"/>
  <c r="K22" i="2"/>
  <c r="J22" i="2"/>
  <c r="H22" i="2"/>
  <c r="AC21" i="2"/>
  <c r="AC16" i="2"/>
  <c r="AC15" i="2"/>
  <c r="AC14" i="2"/>
  <c r="AC13" i="2"/>
  <c r="AC12" i="2"/>
  <c r="AC11" i="2"/>
  <c r="AC10" i="2"/>
  <c r="AC9" i="2"/>
  <c r="AC7" i="2"/>
  <c r="AC6" i="2"/>
  <c r="AC5" i="2"/>
  <c r="AC4" i="2"/>
  <c r="S16" i="1" l="1"/>
  <c r="AA30" i="3"/>
  <c r="Z22" i="2"/>
  <c r="S12" i="1"/>
  <c r="E44" i="1"/>
  <c r="E37" i="1"/>
  <c r="C20" i="1"/>
  <c r="F20" i="1"/>
  <c r="G20" i="1"/>
  <c r="AB30" i="3"/>
  <c r="AA7" i="4"/>
  <c r="AA22" i="2"/>
  <c r="AB3" i="2"/>
  <c r="D16" i="1"/>
  <c r="R16" i="1" s="1"/>
  <c r="L22" i="2"/>
  <c r="AC22" i="2" s="1"/>
  <c r="M30" i="3"/>
  <c r="AD30" i="3" s="1"/>
  <c r="D12" i="1"/>
  <c r="AC7" i="4"/>
  <c r="G33" i="1" l="1"/>
  <c r="G44" i="1" s="1"/>
  <c r="G37" i="1"/>
  <c r="F37" i="1"/>
  <c r="R12" i="1"/>
  <c r="C37" i="1"/>
  <c r="C33" i="1"/>
  <c r="C44" i="1" s="1"/>
  <c r="S20" i="1"/>
  <c r="D20" i="1"/>
  <c r="F33" i="1"/>
  <c r="S33" i="1" l="1"/>
  <c r="F44" i="1"/>
  <c r="R20" i="1"/>
  <c r="D37" i="1"/>
  <c r="D33" i="1"/>
  <c r="R33" i="1" s="1"/>
  <c r="D44" i="1" l="1"/>
</calcChain>
</file>

<file path=xl/sharedStrings.xml><?xml version="1.0" encoding="utf-8"?>
<sst xmlns="http://schemas.openxmlformats.org/spreadsheetml/2006/main" count="565" uniqueCount="256">
  <si>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</si>
  <si>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</si>
  <si>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</si>
  <si>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</si>
  <si>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</si>
  <si>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</si>
  <si>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</si>
  <si>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</si>
  <si>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</si>
  <si>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</si>
  <si>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</si>
  <si>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</si>
  <si>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</si>
  <si>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</si>
  <si>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</si>
  <si>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</si>
  <si>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</si>
  <si>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</si>
  <si>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</si>
  <si>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</si>
  <si>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</si>
  <si>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</si>
  <si>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</si>
  <si>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</si>
  <si>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</si>
  <si>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</si>
  <si>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</si>
  <si>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</si>
  <si>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</si>
  <si>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</si>
  <si>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</si>
  <si>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</si>
  <si>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</si>
  <si>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</si>
  <si>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</si>
  <si>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</si>
  <si>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</si>
  <si>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</si>
  <si>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</si>
  <si>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</si>
  <si>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</si>
  <si>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</si>
  <si>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</si>
  <si>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</si>
  <si>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</si>
  <si>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</si>
  <si>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</si>
  <si>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</si>
  <si>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RFRD/2025/P/5</t>
  </si>
  <si>
    <t>RFRD/2025/P/2</t>
  </si>
  <si>
    <t>RFRD/2025/P/16</t>
  </si>
  <si>
    <t>RFRD/2025/P/10</t>
  </si>
  <si>
    <t>RFRD/2025/P/8</t>
  </si>
  <si>
    <t>RFRD/2025/P/11</t>
  </si>
  <si>
    <t>RFRD/2025/P/7</t>
  </si>
  <si>
    <t>RFRD/2025/P/19</t>
  </si>
  <si>
    <t>RFRD/2025/P/20</t>
  </si>
  <si>
    <t>RFRD/2025/P/6</t>
  </si>
  <si>
    <t>RFRD/2025/P/3</t>
  </si>
  <si>
    <t>RFRD/2025/P/17</t>
  </si>
  <si>
    <t>RFRD/2024/P/3</t>
  </si>
  <si>
    <t>RFRD/2024/P/4</t>
  </si>
  <si>
    <t>K</t>
  </si>
  <si>
    <t>Powiat Opolski</t>
  </si>
  <si>
    <t>Powiat Strzelecki</t>
  </si>
  <si>
    <t>Rozbudowa drogi powiatowej nr 1807 O Strzelce Opolskie - Krasiejów od km 14+780 do km 16+098</t>
  </si>
  <si>
    <t>B</t>
  </si>
  <si>
    <t>maj 2025 czerwiec 2026</t>
  </si>
  <si>
    <t>Rozbudowa drogi powiatowej 1461 O Sieroniowice-Ujazd na odcinku Jaryszów - Ujazd Etap 2 i Etap 3</t>
  </si>
  <si>
    <t>N</t>
  </si>
  <si>
    <t>Powiat Nyski</t>
  </si>
  <si>
    <t>Przebudowa drogi powiatowej nr 2182 O - ulica Prusa w Nysie</t>
  </si>
  <si>
    <t>P</t>
  </si>
  <si>
    <t>Powiat Brzeski</t>
  </si>
  <si>
    <t>R</t>
  </si>
  <si>
    <t>luty 2026 wrzesień 2026</t>
  </si>
  <si>
    <t>Rozbudowa drogi powiatowej nr 1754 O Chmielowice-Prószków na odcinku Domecko-Nowa Kuźnia</t>
  </si>
  <si>
    <t>kwiecień 2026 grudzień 2026</t>
  </si>
  <si>
    <t>Powiat Kędzierzyńsko-Kozielski</t>
  </si>
  <si>
    <t>Remont ciągu dróg powiatowych nr 2043 O ul. Konstantego Damrota i 2061 O ul. Pionierów w Kędzierzynie-Koźlu</t>
  </si>
  <si>
    <t>lipiec 2026 listopad 2026</t>
  </si>
  <si>
    <t>Powiat Oleski</t>
  </si>
  <si>
    <t>Remont drogi powiatowej nr 1941 O na odcinku Siedliska - Zębowice</t>
  </si>
  <si>
    <t>kwiecień 2026 październik 2026</t>
  </si>
  <si>
    <t>Przebudowa odcinka drogi powiatowej nr 1422 O Zakrzów-Cisek od km 1+420 do km 2+520</t>
  </si>
  <si>
    <t>Powiat Prudnicki</t>
  </si>
  <si>
    <t>marzec 2026 wrzesień 2026</t>
  </si>
  <si>
    <t>Powiat Namysłowski</t>
  </si>
  <si>
    <t>Remont drogi powiatowej nr 1348 O w m. Domaradzka Kuźnia</t>
  </si>
  <si>
    <t>marzec 2026 sierpień 2026</t>
  </si>
  <si>
    <t>Przebudowa drogi powiatowej nr 1706 O w miejscowości Szczedrzyk</t>
  </si>
  <si>
    <t>marzec 2026 październik 2026</t>
  </si>
  <si>
    <t>Powiat Kluczborski</t>
  </si>
  <si>
    <t>Przebudowa drogi powiatowej nr 2297O ul. Mickiewicza w Wołczynie</t>
  </si>
  <si>
    <t>W</t>
  </si>
  <si>
    <t>Powiat Głubczycki</t>
  </si>
  <si>
    <t>Przebudowa drogi nr 1225 O relacji Baborów - Sucha Psina na odcinku DW 416 do skrzyżowania z DP 1276 O</t>
  </si>
  <si>
    <t>kwiecień 2026 listopad 2027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</si>
  <si>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</si>
  <si>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</si>
  <si>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</si>
  <si>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</si>
  <si>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</si>
  <si>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</si>
  <si>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</si>
  <si>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</si>
  <si>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</si>
  <si>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</si>
  <si>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</si>
  <si>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</si>
  <si>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</si>
  <si>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maj 2025               maj 2026</t>
  </si>
  <si>
    <t>Przebudowa i rozbudowa drogi powiatowej nr 1613 O Prudnik-Czyżowice-granica gminy prudnik - na odc. 969 m</t>
  </si>
  <si>
    <t>RFRD/2025/P/1</t>
  </si>
  <si>
    <t>RFRD/2025/P/12</t>
  </si>
  <si>
    <t>RFRD/2025/P/4</t>
  </si>
  <si>
    <t>Przebudowa DP nr 1179 O w m. Gierszowice</t>
  </si>
  <si>
    <t>marzec 2026 październik 2027</t>
  </si>
  <si>
    <t>kwiecień 2026 maj 2027</t>
  </si>
  <si>
    <t>Przebudowa drogi powiatowej nr 2106O na odcinku o długości 192,29 m (od km 0+040,35 do km 0+232,64) wraz z rozbiórką oraz budową przepustu (JNI 01018579) zlokalizowanego w km 0+178,5 nad ciekiem Stara Stobrawa</t>
  </si>
  <si>
    <t>Remont drogi nr 1234O relacji DW nr 420 - Rozumice -Ściborzyce gr. Państwa na odcinku od Rozumice do DW 420</t>
  </si>
  <si>
    <t>Powiat Krapkowicki</t>
  </si>
  <si>
    <t>Przebudowa drogi powiatowej nr 1813 O ul. Krapkowicka w miejscowości Żużela</t>
  </si>
  <si>
    <t>marzec 2026 lipiec 2026</t>
  </si>
  <si>
    <t>Zadanie nowe/ wieloletnie [N/W]</t>
  </si>
  <si>
    <t>RFRD/2023/G/57</t>
  </si>
  <si>
    <t>Gmina Brzeg</t>
  </si>
  <si>
    <t>Przebudowa ulicy Poprzecznej w Brzegu</t>
  </si>
  <si>
    <t>sierpień 2024 wrzesień 2026</t>
  </si>
  <si>
    <t>RFRD/2024/G/9</t>
  </si>
  <si>
    <t>Gmina Nysa</t>
  </si>
  <si>
    <t>1607053</t>
  </si>
  <si>
    <t>Rozbudowa i przebudowa drogi gminnej w ulicy Franciszkańskiej wraz z rozbudową i przebudową skrzyżowania drogi gminnej ulicy Franciszkańskiej z drogą wojewódzką ulicą Grodkowską w Nysie</t>
  </si>
  <si>
    <t>czerwiec 2025 październik 2026</t>
  </si>
  <si>
    <t>RFRD/2024/G/1</t>
  </si>
  <si>
    <t>Gmina Niemodlin</t>
  </si>
  <si>
    <t>1609073</t>
  </si>
  <si>
    <t>Rozbudowa ul. Sportowej w miejscowości Gracze</t>
  </si>
  <si>
    <t>RFRD/2024/G/57</t>
  </si>
  <si>
    <t>Przebudowa ul. Trzech Kotwic w Brzegu</t>
  </si>
  <si>
    <t>czerwiec 2025 grudzień 2026</t>
  </si>
  <si>
    <t>Gmina Łubniany</t>
  </si>
  <si>
    <t>Budowa drogi gminnej - ul. Pogodnej w miejscowości Luboszyce</t>
  </si>
  <si>
    <t>RFRD/2024/G/14</t>
  </si>
  <si>
    <t>RFRD/2025/G/2</t>
  </si>
  <si>
    <t>Gmina Dobrzeń Wielki</t>
  </si>
  <si>
    <t>1609032</t>
  </si>
  <si>
    <t>Budowa drogi gminnej oznaczonej w MPZP jako KDD-2 w m. Dobrzeń Wielki</t>
  </si>
  <si>
    <t>RFRD/2025/G/69</t>
  </si>
  <si>
    <t>Przebudowa drogi publicznej wzdłuż południowej pierzei Rynku w Niemodlinie</t>
  </si>
  <si>
    <t>RFRD/2025/G/32</t>
  </si>
  <si>
    <t>Budowa drogi relacji Kępnica-Wierzbięcice</t>
  </si>
  <si>
    <t>maj 2026 sierpień 2027</t>
  </si>
  <si>
    <t>RFRD/2025/G/57</t>
  </si>
  <si>
    <t>Remont ul. Szkolnej w Brzegu</t>
  </si>
  <si>
    <t>RFRD/2025/G/71</t>
  </si>
  <si>
    <t>Gmina Branice</t>
  </si>
  <si>
    <t>styczeń 2026 listopad 2026</t>
  </si>
  <si>
    <t>RFRD/2025/G/66</t>
  </si>
  <si>
    <t>Gmina Ozimek</t>
  </si>
  <si>
    <t>Przebudowa drogi gminnej ul. Technicznej w m. Schodnia</t>
  </si>
  <si>
    <t>czerwiec 2026 grudzień 2026</t>
  </si>
  <si>
    <t>RFRD/2025/G/24</t>
  </si>
  <si>
    <t>Gmina Strzelce Opolskie</t>
  </si>
  <si>
    <t>Rozbudowa ul. Szkolnej w Strzelcach Opolskich</t>
  </si>
  <si>
    <t>kwiecień 2026 sierpień 2026</t>
  </si>
  <si>
    <t>RFRD/2025/G/30</t>
  </si>
  <si>
    <t>Gmina Tułowice</t>
  </si>
  <si>
    <t>luty 2026 październik 2026</t>
  </si>
  <si>
    <t>RFRD/2025/G/53</t>
  </si>
  <si>
    <t>Gmina Dąbrowa</t>
  </si>
  <si>
    <t>Przebudowa ul. Szkolnej w miejscowości Dąbrowa</t>
  </si>
  <si>
    <t>RFRD/2025/G/73</t>
  </si>
  <si>
    <t>Gmina Zdzieszowice</t>
  </si>
  <si>
    <t>Rozbudowa drogi gminnej nr 106068 O, ul. Zielona wraz z rozbudową skrzyżowania z ul. Fabryczna i ul. Górną w Zdzieszowicach</t>
  </si>
  <si>
    <t>kwiecień 2026 listopad 2026</t>
  </si>
  <si>
    <t>RFRD/2025/G/7</t>
  </si>
  <si>
    <t>Gmina Prudnik</t>
  </si>
  <si>
    <t>Budowa drogi gminnej ul. Spokojnej w m. Prudnik</t>
  </si>
  <si>
    <t>Budowa łącznika pomiędzy ulicą Porcelitową i Betonową w Tułowicach wraz z infrastrukturą towarzyszącą</t>
  </si>
  <si>
    <t>Przebudowa drogi gminnej ul. Szkolnej w miejscowości Branice - etap II</t>
  </si>
  <si>
    <t>RFRD/2025/G/52</t>
  </si>
  <si>
    <t>RFRD/2025/G/18</t>
  </si>
  <si>
    <t>RFRD/2025/G/21</t>
  </si>
  <si>
    <t>RFRD/2025/G/48</t>
  </si>
  <si>
    <t>RFRD/2025/G/5</t>
  </si>
  <si>
    <t>RFRD/2025/G/1</t>
  </si>
  <si>
    <t>RFRD/2025/G/62</t>
  </si>
  <si>
    <t>RFRD/2025/G/70</t>
  </si>
  <si>
    <t>RFRD/2025/G/12</t>
  </si>
  <si>
    <t>RFRD/2025/G/49</t>
  </si>
  <si>
    <t>RFRD/2025/G/35</t>
  </si>
  <si>
    <t>RFRD/2025/G/41</t>
  </si>
  <si>
    <t>RFRD/2025/G/54</t>
  </si>
  <si>
    <t>RFRD/2025/G/26</t>
  </si>
  <si>
    <t>Gmina Krapkowice</t>
  </si>
  <si>
    <t>Rozbudowa ul. Bocznej w Gwoździcach</t>
  </si>
  <si>
    <t>Gmina Kędzierzyn-Koźle</t>
  </si>
  <si>
    <t>Budowa i przebudowa drogi gminnej - ul. Błonie w Kędzierzynie-Koźlu</t>
  </si>
  <si>
    <t>Gmina Gogolin</t>
  </si>
  <si>
    <t>Rozbudowa drogi gminnej nr 106120O, ul. Polna w miejscowości Malnia</t>
  </si>
  <si>
    <t>Gmina Dobrodzień</t>
  </si>
  <si>
    <t>Budowa dróg gminnych ulic Słonecznej, Dworcowej oraz Spółdzielczej w Dobrodzieniu</t>
  </si>
  <si>
    <t>Gmina Kolonowskie</t>
  </si>
  <si>
    <t>Przebudowa drogi gminnej - ul. Dworcowa w Staniszczach Wielkich (odcinek II)</t>
  </si>
  <si>
    <t>maj 2026 wrzesień 2026</t>
  </si>
  <si>
    <t>Gmina Popielów</t>
  </si>
  <si>
    <t>Remont nawierzchni drogi gminnej ul. Bocznej Kolejowej w Karłowicach</t>
  </si>
  <si>
    <t>czerwiec 2026 listopad 2026</t>
  </si>
  <si>
    <t>Gmina Chrząstowice</t>
  </si>
  <si>
    <t>Budowa drogi gminnej ul. Rynkowej w Dańcu</t>
  </si>
  <si>
    <t>maj 2026 listopad 2026</t>
  </si>
  <si>
    <t>Gmina Olesno</t>
  </si>
  <si>
    <t>Przebudowa ul. Kuźnickiej w Borkach Wielkich</t>
  </si>
  <si>
    <t>luty 2026 czerwiec 2026</t>
  </si>
  <si>
    <t>Budowa drogi gminnej w m. Kup ul. Szpitalna (boczna m.in. dz. nr 708/92, 1077/107)</t>
  </si>
  <si>
    <t>kwiecień 2026 wrzesień 2026</t>
  </si>
  <si>
    <t>Budowa ulicy Piaskowej w miejscowości Kolonowskie</t>
  </si>
  <si>
    <t>Gmina Namysłów</t>
  </si>
  <si>
    <t>Rozbudowa ul. Świerkowej oraz budowa ul. Jarzębinowej w Namysłowie</t>
  </si>
  <si>
    <t>Gmina Pokój</t>
  </si>
  <si>
    <t>Przebudowa drogi gminnej wewnętrznej ul. Wiejska w Ładzy wraz z budową kanalizacji deszczowej</t>
  </si>
  <si>
    <t>Gmina Ujazd</t>
  </si>
  <si>
    <t>Przebudowa drogi gminnej ul. Szkolnej w Zimnej Wódce</t>
  </si>
  <si>
    <t>luty 2026 grudzień 2026</t>
  </si>
  <si>
    <t>Gmina Skoroszyce</t>
  </si>
  <si>
    <t>Rozbudowa dróg w m. Czarnolas etap 1</t>
  </si>
  <si>
    <t>Gmina Leśnica</t>
  </si>
  <si>
    <t>Remont drogi gminnej nr 105825 O ul. Strażacka i nr 105824 O ul. Powstańców SI. w Leśnicy</t>
  </si>
  <si>
    <t>Przebudowa ulicy Kolonia Sokolniki w miejscowości Sokolniki</t>
  </si>
  <si>
    <t>Gmina Praszka</t>
  </si>
  <si>
    <t>Przebudowa drogi gminnej nr 100952 O ul. Nałkowskiej w Praszce</t>
  </si>
  <si>
    <t>wrzesień 2026 listopad 2027</t>
  </si>
  <si>
    <t>Remont DP 1193 O na odc. od km 1+710 do km 2+400 ul. Łokietka i ul. Sikorskiego w m. Brzeg</t>
  </si>
  <si>
    <t>Przebudowa drogi powiatowej 1847 O Strzelce Opolskie - Dziewkowice w m. Dziewkowice ul. Strzelecka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</si>
  <si>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2026 r.</t>
    </r>
  </si>
  <si>
    <t>Województwo: Opolskie</t>
  </si>
  <si>
    <t>Remont drogi powiatowej nr 1205 O relacji DP 1526 O - Węża w m. Śmicz</t>
  </si>
  <si>
    <t>maj 2026 maj 2027</t>
  </si>
  <si>
    <t>marzec 2026 grudzień 2026</t>
  </si>
  <si>
    <t>REZYGNACJA</t>
  </si>
  <si>
    <t>RFRD/2025/P/18 przeniesiono z listy rezerwowej</t>
  </si>
  <si>
    <t>RFRD/2025/P/15 przeniesiono z listy rezerwowej</t>
  </si>
  <si>
    <t>RFRD/2025/P/18 zadanie przeniesione na listę podstawową</t>
  </si>
  <si>
    <t>RFRD/2025/P/15 zadanie przeniesione na listę podstawową</t>
  </si>
  <si>
    <t>kwiecień 2026          grudzień 2026</t>
  </si>
  <si>
    <t>RFRD/2025/G/19 zadanie przeniesione na listę podstawową</t>
  </si>
  <si>
    <t>RFRD/2025/G/8 zadanie przeniesione na listę podstawową</t>
  </si>
  <si>
    <t>kwiecień 2026 lipiec 2026</t>
  </si>
  <si>
    <t>RFRD/2025/G/19 przeniesiono z listy rezerwowej</t>
  </si>
  <si>
    <t>RFRD/2025/G/8 przeniesiono z listy rezerwowej</t>
  </si>
  <si>
    <t>27*</t>
  </si>
  <si>
    <t>RFRD/2025/G/37 zadanie przeniesione na listę podstawową</t>
  </si>
  <si>
    <t>Lista zmieniona nr 1</t>
  </si>
  <si>
    <t>maj 2026 październik 2026</t>
  </si>
  <si>
    <t>luty 2026 listopad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</si>
</sst>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4"/>
      <color rgb="FF00B05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165" fontId="20" fillId="5" borderId="22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166" fontId="22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166" fontId="22" fillId="0" borderId="1" xfId="0" applyNumberFormat="1" applyFont="1" applyFill="1" applyBorder="1" applyAlignment="1">
      <alignment horizontal="right" vertical="center"/>
    </xf>
    <xf numFmtId="49" fontId="22" fillId="0" borderId="4" xfId="0" applyNumberFormat="1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6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165" fontId="13" fillId="4" borderId="21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2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2" xfId="0" applyNumberFormat="1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0" borderId="30" xfId="0" applyFont="1" applyFill="1" applyBorder="1" applyAlignment="1">
      <alignment vertical="center"/>
    </xf>
    <xf numFmtId="0" fontId="13" fillId="0" borderId="31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5" borderId="34" xfId="0" applyNumberFormat="1" applyFont="1" applyFill="1" applyBorder="1" applyAlignment="1">
      <alignment vertical="center"/>
    </xf>
    <xf numFmtId="165" fontId="13" fillId="0" borderId="31" xfId="0" applyNumberFormat="1" applyFont="1" applyFill="1" applyBorder="1" applyAlignment="1">
      <alignment vertical="center"/>
    </xf>
    <xf numFmtId="165" fontId="13" fillId="0" borderId="35" xfId="0" applyNumberFormat="1" applyFont="1" applyFill="1" applyBorder="1" applyAlignment="1">
      <alignment vertical="center"/>
    </xf>
    <xf numFmtId="0" fontId="20" fillId="0" borderId="36" xfId="0" applyFont="1" applyFill="1" applyBorder="1" applyAlignment="1">
      <alignment horizontal="left" vertical="center" wrapText="1" indent="2"/>
    </xf>
    <xf numFmtId="0" fontId="13" fillId="0" borderId="36" xfId="0" applyFont="1" applyFill="1" applyBorder="1" applyAlignment="1">
      <alignment horizontal="left" vertical="center" indent="2"/>
    </xf>
    <xf numFmtId="0" fontId="20" fillId="0" borderId="38" xfId="0" applyFont="1" applyFill="1" applyBorder="1" applyAlignment="1">
      <alignment horizontal="left" vertical="center" indent="2"/>
    </xf>
    <xf numFmtId="165" fontId="20" fillId="5" borderId="42" xfId="0" applyNumberFormat="1" applyFont="1" applyFill="1" applyBorder="1" applyAlignment="1">
      <alignment vertical="center"/>
    </xf>
    <xf numFmtId="0" fontId="21" fillId="3" borderId="30" xfId="0" applyFont="1" applyFill="1" applyBorder="1" applyAlignment="1">
      <alignment vertical="center"/>
    </xf>
    <xf numFmtId="0" fontId="21" fillId="3" borderId="31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5" borderId="34" xfId="0" applyNumberFormat="1" applyFont="1" applyFill="1" applyBorder="1" applyAlignment="1">
      <alignment vertical="center"/>
    </xf>
    <xf numFmtId="165" fontId="21" fillId="3" borderId="31" xfId="0" applyNumberFormat="1" applyFont="1" applyFill="1" applyBorder="1" applyAlignment="1">
      <alignment vertical="center"/>
    </xf>
    <xf numFmtId="165" fontId="21" fillId="3" borderId="35" xfId="0" applyNumberFormat="1" applyFont="1" applyFill="1" applyBorder="1" applyAlignment="1">
      <alignment vertical="center"/>
    </xf>
    <xf numFmtId="0" fontId="20" fillId="3" borderId="36" xfId="0" applyFont="1" applyFill="1" applyBorder="1" applyAlignment="1">
      <alignment horizontal="left" vertical="center" wrapText="1" indent="2"/>
    </xf>
    <xf numFmtId="165" fontId="20" fillId="3" borderId="37" xfId="0" applyNumberFormat="1" applyFont="1" applyFill="1" applyBorder="1" applyAlignment="1">
      <alignment vertical="center"/>
    </xf>
    <xf numFmtId="0" fontId="13" fillId="3" borderId="36" xfId="0" applyFont="1" applyFill="1" applyBorder="1" applyAlignment="1">
      <alignment horizontal="left" vertical="center" indent="2"/>
    </xf>
    <xf numFmtId="165" fontId="13" fillId="3" borderId="37" xfId="0" applyNumberFormat="1" applyFont="1" applyFill="1" applyBorder="1" applyAlignment="1">
      <alignment vertical="center"/>
    </xf>
    <xf numFmtId="0" fontId="20" fillId="3" borderId="38" xfId="0" applyFont="1" applyFill="1" applyBorder="1" applyAlignment="1">
      <alignment horizontal="left" vertical="center" indent="2"/>
    </xf>
    <xf numFmtId="0" fontId="20" fillId="3" borderId="39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39" xfId="0" applyNumberFormat="1" applyFont="1" applyFill="1" applyBorder="1" applyAlignment="1">
      <alignment vertical="center"/>
    </xf>
    <xf numFmtId="165" fontId="20" fillId="3" borderId="43" xfId="0" applyNumberFormat="1" applyFont="1" applyFill="1" applyBorder="1" applyAlignment="1">
      <alignment vertical="center"/>
    </xf>
    <xf numFmtId="0" fontId="20" fillId="4" borderId="24" xfId="0" applyFont="1" applyFill="1" applyBorder="1" applyAlignment="1">
      <alignment horizontal="left" vertical="center" indent="2"/>
    </xf>
    <xf numFmtId="0" fontId="20" fillId="4" borderId="25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6" xfId="0" applyNumberFormat="1" applyFont="1" applyFill="1" applyBorder="1" applyAlignment="1">
      <alignment vertical="center"/>
    </xf>
    <xf numFmtId="165" fontId="20" fillId="5" borderId="24" xfId="0" applyNumberFormat="1" applyFont="1" applyFill="1" applyBorder="1" applyAlignment="1">
      <alignment vertical="center"/>
    </xf>
    <xf numFmtId="165" fontId="20" fillId="4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0" fontId="13" fillId="6" borderId="30" xfId="0" applyFont="1" applyFill="1" applyBorder="1" applyAlignment="1">
      <alignment vertical="center"/>
    </xf>
    <xf numFmtId="0" fontId="14" fillId="6" borderId="31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5" borderId="34" xfId="0" applyNumberFormat="1" applyFont="1" applyFill="1" applyBorder="1" applyAlignment="1">
      <alignment vertical="center"/>
    </xf>
    <xf numFmtId="165" fontId="14" fillId="6" borderId="31" xfId="0" applyNumberFormat="1" applyFont="1" applyFill="1" applyBorder="1" applyAlignment="1">
      <alignment vertical="center"/>
    </xf>
    <xf numFmtId="165" fontId="14" fillId="6" borderId="35" xfId="0" applyNumberFormat="1" applyFont="1" applyFill="1" applyBorder="1" applyAlignment="1">
      <alignment vertical="center"/>
    </xf>
    <xf numFmtId="0" fontId="13" fillId="6" borderId="36" xfId="0" applyFont="1" applyFill="1" applyBorder="1" applyAlignment="1">
      <alignment horizontal="left" vertical="center" indent="2"/>
    </xf>
    <xf numFmtId="165" fontId="14" fillId="6" borderId="37" xfId="0" applyNumberFormat="1" applyFont="1" applyFill="1" applyBorder="1" applyAlignment="1">
      <alignment vertical="center"/>
    </xf>
    <xf numFmtId="0" fontId="20" fillId="6" borderId="38" xfId="0" applyFont="1" applyFill="1" applyBorder="1" applyAlignment="1">
      <alignment horizontal="left" vertical="center" indent="2"/>
    </xf>
    <xf numFmtId="0" fontId="20" fillId="6" borderId="39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39" xfId="0" applyNumberFormat="1" applyFont="1" applyFill="1" applyBorder="1" applyAlignment="1">
      <alignment vertical="center"/>
    </xf>
    <xf numFmtId="165" fontId="20" fillId="6" borderId="43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39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7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7" xfId="0" applyNumberFormat="1" applyFont="1" applyFill="1" applyBorder="1" applyAlignment="1">
      <alignment vertical="center"/>
    </xf>
    <xf numFmtId="165" fontId="20" fillId="2" borderId="39" xfId="0" applyNumberFormat="1" applyFont="1" applyFill="1" applyBorder="1" applyAlignment="1">
      <alignment vertical="center"/>
    </xf>
    <xf numFmtId="165" fontId="20" fillId="2" borderId="43" xfId="0" applyNumberFormat="1" applyFont="1" applyFill="1" applyBorder="1" applyAlignment="1">
      <alignment vertical="center"/>
    </xf>
    <xf numFmtId="165" fontId="13" fillId="2" borderId="31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5" xfId="0" applyNumberFormat="1" applyFont="1" applyFill="1" applyBorder="1" applyAlignment="1">
      <alignment vertical="center"/>
    </xf>
    <xf numFmtId="0" fontId="20" fillId="6" borderId="36" xfId="0" applyFont="1" applyFill="1" applyBorder="1" applyAlignment="1">
      <alignment horizontal="left" vertical="center" wrapText="1" indent="2"/>
    </xf>
    <xf numFmtId="0" fontId="20" fillId="6" borderId="28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7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7" xfId="0" applyFont="1" applyFill="1" applyBorder="1" applyAlignment="1">
      <alignment vertical="center"/>
    </xf>
    <xf numFmtId="0" fontId="28" fillId="4" borderId="28" xfId="0" applyNumberFormat="1" applyFont="1" applyFill="1" applyBorder="1" applyAlignment="1">
      <alignment vertical="center"/>
    </xf>
    <xf numFmtId="165" fontId="28" fillId="4" borderId="5" xfId="0" applyNumberFormat="1" applyFont="1" applyFill="1" applyBorder="1" applyAlignment="1">
      <alignment vertical="center"/>
    </xf>
    <xf numFmtId="165" fontId="28" fillId="4" borderId="7" xfId="0" applyNumberFormat="1" applyFont="1" applyFill="1" applyBorder="1" applyAlignment="1">
      <alignment vertical="center"/>
    </xf>
    <xf numFmtId="165" fontId="28" fillId="5" borderId="27" xfId="0" applyNumberFormat="1" applyFont="1" applyFill="1" applyBorder="1" applyAlignment="1">
      <alignment vertical="center"/>
    </xf>
    <xf numFmtId="165" fontId="28" fillId="4" borderId="28" xfId="0" applyNumberFormat="1" applyFont="1" applyFill="1" applyBorder="1" applyAlignment="1">
      <alignment vertical="center"/>
    </xf>
    <xf numFmtId="165" fontId="28" fillId="4" borderId="29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vertical="center" wrapText="1"/>
    </xf>
    <xf numFmtId="166" fontId="30" fillId="0" borderId="1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" fontId="31" fillId="0" borderId="1" xfId="0" applyNumberFormat="1" applyFont="1" applyFill="1" applyBorder="1" applyAlignment="1">
      <alignment vertical="center" wrapText="1"/>
    </xf>
    <xf numFmtId="0" fontId="29" fillId="0" borderId="0" xfId="0" applyFont="1"/>
    <xf numFmtId="0" fontId="30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5" xfId="0" applyNumberFormat="1" applyFont="1" applyFill="1" applyBorder="1" applyAlignment="1">
      <alignment vertical="center" wrapText="1"/>
    </xf>
    <xf numFmtId="49" fontId="30" fillId="0" borderId="5" xfId="0" applyNumberFormat="1" applyFont="1" applyFill="1" applyBorder="1" applyAlignment="1">
      <alignment horizontal="center" vertical="center" wrapText="1"/>
    </xf>
    <xf numFmtId="4" fontId="31" fillId="0" borderId="5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 wrapText="1"/>
    </xf>
    <xf numFmtId="2" fontId="31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22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9" fontId="18" fillId="0" borderId="0" xfId="2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9" fontId="30" fillId="0" borderId="1" xfId="0" applyNumberFormat="1" applyFont="1" applyFill="1" applyBorder="1" applyAlignment="1">
      <alignment horizontal="center" vertical="center"/>
    </xf>
    <xf numFmtId="9" fontId="22" fillId="0" borderId="1" xfId="0" applyNumberFormat="1" applyFont="1" applyFill="1" applyBorder="1" applyAlignment="1">
      <alignment horizontal="center" vertical="center"/>
    </xf>
    <xf numFmtId="10" fontId="30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vertical="center"/>
    </xf>
    <xf numFmtId="0" fontId="34" fillId="0" borderId="0" xfId="0" applyFont="1"/>
    <xf numFmtId="2" fontId="30" fillId="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0" fontId="18" fillId="0" borderId="0" xfId="0" applyFont="1"/>
    <xf numFmtId="0" fontId="22" fillId="0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 shrinkToFit="1"/>
    </xf>
    <xf numFmtId="0" fontId="17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18" fillId="0" borderId="0" xfId="0" applyFont="1" applyFill="1"/>
    <xf numFmtId="0" fontId="16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22" fillId="2" borderId="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4" fontId="37" fillId="0" borderId="0" xfId="0" applyNumberFormat="1" applyFont="1" applyBorder="1" applyAlignment="1">
      <alignment vertical="center" wrapText="1"/>
    </xf>
    <xf numFmtId="0" fontId="38" fillId="0" borderId="0" xfId="0" applyFont="1" applyAlignment="1">
      <alignment vertical="center"/>
    </xf>
    <xf numFmtId="165" fontId="38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39" fillId="0" borderId="0" xfId="0" applyNumberFormat="1" applyFont="1" applyAlignment="1">
      <alignment horizontal="left" vertical="center"/>
    </xf>
    <xf numFmtId="0" fontId="40" fillId="0" borderId="0" xfId="0" applyFont="1" applyFill="1" applyAlignment="1">
      <alignment vertical="center" wrapText="1"/>
    </xf>
    <xf numFmtId="165" fontId="40" fillId="0" borderId="0" xfId="0" applyNumberFormat="1" applyFont="1" applyFill="1" applyAlignment="1">
      <alignment horizontal="left" vertical="center"/>
    </xf>
    <xf numFmtId="0" fontId="41" fillId="0" borderId="0" xfId="0" applyFont="1"/>
    <xf numFmtId="0" fontId="23" fillId="0" borderId="0" xfId="0" applyFont="1" applyAlignment="1">
      <alignment horizontal="center" vertical="center"/>
    </xf>
    <xf numFmtId="9" fontId="23" fillId="0" borderId="0" xfId="2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9" fontId="18" fillId="0" borderId="0" xfId="2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4" fontId="0" fillId="0" borderId="0" xfId="0" applyNumberFormat="1"/>
    <xf numFmtId="0" fontId="4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167" fontId="31" fillId="0" borderId="1" xfId="5" applyNumberFormat="1" applyFont="1" applyFill="1" applyBorder="1" applyAlignment="1">
      <alignment vertical="center"/>
    </xf>
    <xf numFmtId="167" fontId="7" fillId="0" borderId="1" xfId="5" applyNumberFormat="1" applyFont="1" applyFill="1" applyBorder="1" applyAlignment="1">
      <alignment vertical="center"/>
    </xf>
    <xf numFmtId="4" fontId="31" fillId="0" borderId="1" xfId="5" applyNumberFormat="1" applyFont="1" applyFill="1" applyBorder="1" applyAlignment="1">
      <alignment vertical="center"/>
    </xf>
    <xf numFmtId="164" fontId="30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vertical="center"/>
    </xf>
    <xf numFmtId="10" fontId="30" fillId="0" borderId="1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 xr:uid="{00000000-0005-0000-0000-000001000000}"/>
    <cellStyle name="Normalny" xfId="0" builtinId="0"/>
    <cellStyle name="Normalny 2" xfId="3" xr:uid="{00000000-0005-0000-0000-000003000000}"/>
    <cellStyle name="Normalny 3" xfId="1" xr:uid="{00000000-0005-0000-0000-000004000000}"/>
    <cellStyle name="Procentowy 2" xfId="2" xr:uid="{00000000-0005-0000-0000-000005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="80" zoomScaleNormal="100" zoomScaleSheetLayoutView="80" workbookViewId="0"/>
  </sheetViews>
  <sheetFormatPr defaultColWidth="9.140625" defaultRowHeight="15" x14ac:dyDescent="0.25"/>
  <cols>
    <col min="1" max="1" width="35.140625" style="13" customWidth="1"/>
    <col min="2" max="2" width="10.7109375" style="13" customWidth="1"/>
    <col min="3" max="5" width="20.7109375" style="13" customWidth="1"/>
    <col min="6" max="14" width="15.7109375" style="13" customWidth="1"/>
    <col min="15" max="15" width="17.140625" style="13" customWidth="1"/>
    <col min="16" max="17" width="15.7109375" style="13" customWidth="1"/>
    <col min="18" max="18" width="9.140625" style="13"/>
    <col min="19" max="19" width="11.7109375" style="13" bestFit="1" customWidth="1"/>
    <col min="20" max="16384" width="9.140625" style="3"/>
  </cols>
  <sheetData>
    <row r="1" spans="1:26" s="9" customFormat="1" ht="30" customHeight="1" thickBot="1" x14ac:dyDescent="0.35">
      <c r="A1" s="6" t="s">
        <v>47</v>
      </c>
      <c r="B1" s="7"/>
      <c r="C1" s="7"/>
      <c r="D1" s="7"/>
      <c r="E1" s="7"/>
      <c r="F1" s="7"/>
      <c r="G1" s="7"/>
      <c r="H1" s="7"/>
      <c r="I1" s="262" t="s">
        <v>253</v>
      </c>
      <c r="J1" s="7"/>
      <c r="K1" s="7"/>
      <c r="L1" s="7"/>
      <c r="M1" s="7"/>
      <c r="N1" s="241"/>
      <c r="O1" s="242"/>
      <c r="P1" s="7"/>
      <c r="Q1" s="7"/>
      <c r="R1" s="7"/>
      <c r="S1" s="7"/>
      <c r="T1" s="8"/>
      <c r="U1" s="8"/>
      <c r="V1" s="8"/>
      <c r="W1" s="8"/>
      <c r="X1" s="8"/>
      <c r="Y1" s="8"/>
      <c r="Z1" s="8"/>
    </row>
    <row r="2" spans="1:26" ht="15.75" x14ac:dyDescent="0.25">
      <c r="A2" s="10"/>
      <c r="B2" s="10"/>
      <c r="C2" s="10"/>
      <c r="D2" s="10"/>
      <c r="E2" s="10"/>
      <c r="F2" s="275" t="s">
        <v>18</v>
      </c>
      <c r="G2" s="276"/>
      <c r="H2" s="276"/>
      <c r="I2" s="276"/>
      <c r="J2" s="276"/>
      <c r="K2" s="276"/>
      <c r="L2" s="276"/>
      <c r="M2" s="276"/>
      <c r="N2" s="277"/>
      <c r="O2" s="244"/>
      <c r="P2" s="243"/>
      <c r="Q2" s="10"/>
      <c r="R2" s="10"/>
      <c r="S2" s="10"/>
      <c r="T2" s="11"/>
      <c r="U2" s="11"/>
      <c r="V2" s="11"/>
      <c r="W2" s="11"/>
      <c r="X2" s="11"/>
      <c r="Y2" s="11"/>
      <c r="Z2" s="11"/>
    </row>
    <row r="3" spans="1:26" x14ac:dyDescent="0.25">
      <c r="A3" s="12"/>
      <c r="B3" s="10"/>
      <c r="C3" s="10"/>
      <c r="D3" s="10"/>
      <c r="E3" s="10"/>
      <c r="F3" s="278"/>
      <c r="G3" s="279"/>
      <c r="H3" s="279"/>
      <c r="I3" s="279"/>
      <c r="J3" s="279"/>
      <c r="K3" s="279"/>
      <c r="L3" s="279"/>
      <c r="M3" s="279"/>
      <c r="N3" s="280"/>
      <c r="Z3" s="11"/>
    </row>
    <row r="4" spans="1:26" x14ac:dyDescent="0.25">
      <c r="A4" s="14" t="s">
        <v>235</v>
      </c>
      <c r="B4" s="15"/>
      <c r="C4" s="15"/>
      <c r="D4" s="15"/>
      <c r="E4" s="15"/>
      <c r="F4" s="278"/>
      <c r="G4" s="279"/>
      <c r="H4" s="279"/>
      <c r="I4" s="279"/>
      <c r="J4" s="279"/>
      <c r="K4" s="279"/>
      <c r="L4" s="279"/>
      <c r="M4" s="279"/>
      <c r="N4" s="280"/>
      <c r="O4" s="245"/>
      <c r="Z4" s="16"/>
    </row>
    <row r="5" spans="1:26" x14ac:dyDescent="0.25">
      <c r="A5" s="15"/>
      <c r="B5" s="15"/>
      <c r="C5" s="15"/>
      <c r="D5" s="15"/>
      <c r="E5" s="15"/>
      <c r="F5" s="278"/>
      <c r="G5" s="279"/>
      <c r="H5" s="279"/>
      <c r="I5" s="279"/>
      <c r="J5" s="279"/>
      <c r="K5" s="279"/>
      <c r="L5" s="279"/>
      <c r="M5" s="279"/>
      <c r="N5" s="280"/>
      <c r="O5" s="245"/>
      <c r="Z5" s="11"/>
    </row>
    <row r="6" spans="1:26" x14ac:dyDescent="0.25">
      <c r="A6" s="14" t="s">
        <v>236</v>
      </c>
      <c r="B6" s="15"/>
      <c r="C6" s="15"/>
      <c r="D6" s="15"/>
      <c r="E6" s="15"/>
      <c r="F6" s="278"/>
      <c r="G6" s="279"/>
      <c r="H6" s="279"/>
      <c r="I6" s="279"/>
      <c r="J6" s="279"/>
      <c r="K6" s="279"/>
      <c r="L6" s="279"/>
      <c r="M6" s="279"/>
      <c r="N6" s="280"/>
      <c r="Z6" s="16"/>
    </row>
    <row r="7" spans="1:26" ht="28.5" customHeight="1" thickBot="1" x14ac:dyDescent="0.3">
      <c r="A7" s="15"/>
      <c r="B7" s="15"/>
      <c r="C7" s="15"/>
      <c r="D7" s="15"/>
      <c r="E7" s="15"/>
      <c r="F7" s="281"/>
      <c r="G7" s="282"/>
      <c r="H7" s="282"/>
      <c r="I7" s="282"/>
      <c r="J7" s="282"/>
      <c r="K7" s="282"/>
      <c r="L7" s="282"/>
      <c r="M7" s="282"/>
      <c r="N7" s="283"/>
      <c r="O7" s="260"/>
      <c r="P7" s="246"/>
      <c r="Z7" s="11"/>
    </row>
    <row r="8" spans="1:26" x14ac:dyDescent="0.25">
      <c r="A8" s="15"/>
      <c r="B8" s="15"/>
      <c r="C8" s="15"/>
      <c r="D8" s="15"/>
      <c r="E8" s="15"/>
      <c r="F8" s="17"/>
      <c r="G8" s="17"/>
      <c r="H8" s="17"/>
      <c r="I8" s="17"/>
      <c r="J8" s="17"/>
      <c r="K8" s="17"/>
      <c r="L8" s="17"/>
      <c r="M8" s="17"/>
      <c r="N8" s="17"/>
      <c r="O8" s="247"/>
      <c r="P8" s="248"/>
      <c r="Z8" s="11"/>
    </row>
    <row r="9" spans="1:26" ht="20.100000000000001" customHeight="1" thickBot="1" x14ac:dyDescent="0.3">
      <c r="A9" s="14" t="s">
        <v>0</v>
      </c>
      <c r="B9" s="15"/>
      <c r="C9" s="15"/>
      <c r="D9" s="15"/>
      <c r="E9" s="15"/>
      <c r="F9" s="17"/>
      <c r="G9" s="17"/>
      <c r="H9" s="17"/>
      <c r="I9" s="17"/>
      <c r="J9" s="17"/>
      <c r="K9" s="17"/>
      <c r="L9" s="17"/>
      <c r="M9" s="17"/>
      <c r="N9" s="17"/>
      <c r="Z9" s="11"/>
    </row>
    <row r="10" spans="1:26" ht="20.100000000000001" customHeight="1" x14ac:dyDescent="0.25">
      <c r="A10" s="284" t="s">
        <v>1</v>
      </c>
      <c r="B10" s="286" t="s">
        <v>34</v>
      </c>
      <c r="C10" s="288" t="s">
        <v>19</v>
      </c>
      <c r="D10" s="290" t="s">
        <v>20</v>
      </c>
      <c r="E10" s="292" t="s">
        <v>21</v>
      </c>
      <c r="F10" s="90"/>
      <c r="G10" s="77"/>
      <c r="H10" s="78"/>
      <c r="I10" s="77"/>
      <c r="J10" s="78" t="s">
        <v>12</v>
      </c>
      <c r="K10" s="77"/>
      <c r="L10" s="77"/>
      <c r="M10" s="77"/>
      <c r="N10" s="78"/>
      <c r="O10" s="78"/>
      <c r="P10" s="78"/>
      <c r="Q10" s="79"/>
      <c r="R10" s="30"/>
      <c r="S10" s="30"/>
      <c r="T10" s="2"/>
      <c r="U10" s="2"/>
      <c r="V10" s="2"/>
      <c r="W10" s="2"/>
      <c r="Z10" s="11"/>
    </row>
    <row r="11" spans="1:26" s="1" customFormat="1" ht="20.100000000000001" customHeight="1" thickBot="1" x14ac:dyDescent="0.3">
      <c r="A11" s="285"/>
      <c r="B11" s="287"/>
      <c r="C11" s="289"/>
      <c r="D11" s="291"/>
      <c r="E11" s="293"/>
      <c r="F11" s="96">
        <v>2019</v>
      </c>
      <c r="G11" s="97">
        <v>2020</v>
      </c>
      <c r="H11" s="97">
        <v>2021</v>
      </c>
      <c r="I11" s="97">
        <v>2022</v>
      </c>
      <c r="J11" s="97">
        <v>2023</v>
      </c>
      <c r="K11" s="97">
        <v>2024</v>
      </c>
      <c r="L11" s="97">
        <v>2025</v>
      </c>
      <c r="M11" s="97">
        <v>2026</v>
      </c>
      <c r="N11" s="97">
        <v>2027</v>
      </c>
      <c r="O11" s="97">
        <v>2028</v>
      </c>
      <c r="P11" s="97">
        <v>2029</v>
      </c>
      <c r="Q11" s="98">
        <v>2030</v>
      </c>
      <c r="R11" s="17"/>
      <c r="S11" s="17"/>
      <c r="T11" s="17"/>
      <c r="U11" s="17"/>
      <c r="V11" s="17"/>
      <c r="W11" s="17"/>
      <c r="X11" s="18"/>
      <c r="Y11" s="18"/>
      <c r="Z11" s="18"/>
    </row>
    <row r="12" spans="1:26" ht="39.950000000000003" customHeight="1" thickTop="1" x14ac:dyDescent="0.25">
      <c r="A12" s="99" t="s">
        <v>36</v>
      </c>
      <c r="B12" s="100">
        <f>COUNTA('pow podst'!K3:K21)</f>
        <v>19</v>
      </c>
      <c r="C12" s="101">
        <f>SUM('pow podst'!J3:J21)</f>
        <v>73317547.450000003</v>
      </c>
      <c r="D12" s="102">
        <f>SUM('pow podst'!L3:L21)</f>
        <v>33971328.93</v>
      </c>
      <c r="E12" s="103">
        <f>SUM('pow podst'!K3:K21)</f>
        <v>39346218.519999996</v>
      </c>
      <c r="F12" s="104">
        <f>SUM('pow podst'!N3:N21)</f>
        <v>0</v>
      </c>
      <c r="G12" s="101">
        <f>SUM('pow podst'!O3:O21)</f>
        <v>0</v>
      </c>
      <c r="H12" s="101">
        <f>SUM('pow podst'!P3:P21)</f>
        <v>0</v>
      </c>
      <c r="I12" s="101">
        <f>SUM('pow podst'!Q3:Q21)</f>
        <v>0</v>
      </c>
      <c r="J12" s="101">
        <f>SUM('pow podst'!R3:R21)</f>
        <v>0</v>
      </c>
      <c r="K12" s="101">
        <f>SUM('pow podst'!S3:S21)</f>
        <v>0</v>
      </c>
      <c r="L12" s="101">
        <f>SUM('pow podst'!T3:T21)</f>
        <v>6000265.9500000002</v>
      </c>
      <c r="M12" s="101">
        <f>SUM('pow podst'!U3:U21)</f>
        <v>27751882.600000005</v>
      </c>
      <c r="N12" s="101">
        <f>SUM('pow podst'!V3:V21)</f>
        <v>5594069.9699999997</v>
      </c>
      <c r="O12" s="101">
        <f>SUM('pow podst'!W3:W21)</f>
        <v>0</v>
      </c>
      <c r="P12" s="101">
        <f>SUM('pow podst'!X3:X21)</f>
        <v>0</v>
      </c>
      <c r="Q12" s="105">
        <f>SUM('pow podst'!Y3:Y21)</f>
        <v>0</v>
      </c>
      <c r="R12" s="19" t="b">
        <f>C12=(D12+E12)</f>
        <v>1</v>
      </c>
      <c r="S12" s="38" t="b">
        <f>E12=SUM(F12:Q12)</f>
        <v>1</v>
      </c>
      <c r="T12" s="20"/>
      <c r="U12" s="20"/>
      <c r="V12" s="21"/>
      <c r="W12" s="21"/>
      <c r="X12" s="22"/>
      <c r="Y12" s="11"/>
      <c r="Z12" s="11"/>
    </row>
    <row r="13" spans="1:26" ht="39.950000000000003" customHeight="1" x14ac:dyDescent="0.25">
      <c r="A13" s="106" t="s">
        <v>37</v>
      </c>
      <c r="B13" s="149">
        <f>COUNTIF('pow podst'!C3:C21,"K")</f>
        <v>2</v>
      </c>
      <c r="C13" s="150">
        <f>SUMIF('pow podst'!C3:C21,"K",'pow podst'!J3:J21)</f>
        <v>8635708.2300000004</v>
      </c>
      <c r="D13" s="151">
        <f>SUMIF('pow podst'!C3:C21,"K",'pow podst'!L3:L21)</f>
        <v>1630409.28</v>
      </c>
      <c r="E13" s="48">
        <f>SUMIF('pow podst'!C3:C21,"K",'pow podst'!K3:K21)</f>
        <v>7005298.9500000002</v>
      </c>
      <c r="F13" s="158">
        <f>SUMIF('pow podst'!C3:C21,"K",'pow podst'!N3:N21)</f>
        <v>0</v>
      </c>
      <c r="G13" s="150">
        <f>SUMIF('pow podst'!C3:C21,"K",'pow podst'!O3:O21)</f>
        <v>0</v>
      </c>
      <c r="H13" s="150">
        <f>SUMIF('pow podst'!C3:C21,"K",'pow podst'!P3:P21)</f>
        <v>0</v>
      </c>
      <c r="I13" s="150">
        <f>SUMIF('pow podst'!C3:C21,"K",'pow podst'!Q3:Q21)</f>
        <v>0</v>
      </c>
      <c r="J13" s="150">
        <f>SUMIF('pow podst'!C3:C21,"K",'pow podst'!R3:R21)</f>
        <v>0</v>
      </c>
      <c r="K13" s="150">
        <f>SUMIF('pow podst'!C3:C21,"K",'pow podst'!S3:S21)</f>
        <v>0</v>
      </c>
      <c r="L13" s="150">
        <f>SUMIF('pow podst'!C3:C21,"K",'pow podst'!T3:T21)</f>
        <v>6000265.9500000002</v>
      </c>
      <c r="M13" s="150">
        <f>SUMIF('pow podst'!C3:C21,"K",'pow podst'!U3:U21)</f>
        <v>1005033</v>
      </c>
      <c r="N13" s="150">
        <f>SUMIF('pow podst'!C3:C21,"K",'pow podst'!V3:V21)</f>
        <v>0</v>
      </c>
      <c r="O13" s="150">
        <f>SUMIF('pow podst'!C3:C21,"K",'pow podst'!W3:W21)</f>
        <v>0</v>
      </c>
      <c r="P13" s="150">
        <f>SUMIF('pow podst'!D3:D21,"K",'pow podst'!X3:X21)</f>
        <v>0</v>
      </c>
      <c r="Q13" s="159">
        <f>SUMIF('pow podst'!E3:E21,"K",'pow podst'!Y3:Y21)</f>
        <v>0</v>
      </c>
      <c r="R13" s="19" t="b">
        <f t="shared" ref="R13:R36" si="0">C13=(D13+E13)</f>
        <v>1</v>
      </c>
      <c r="S13" s="38" t="b">
        <f t="shared" ref="S13:S36" si="1">E13=SUM(F13:Q13)</f>
        <v>1</v>
      </c>
      <c r="T13" s="20"/>
      <c r="U13" s="20"/>
      <c r="V13" s="21"/>
      <c r="W13" s="21"/>
      <c r="X13" s="22"/>
      <c r="Y13" s="11"/>
      <c r="Z13" s="11"/>
    </row>
    <row r="14" spans="1:26" ht="39.950000000000003" customHeight="1" x14ac:dyDescent="0.25">
      <c r="A14" s="107" t="s">
        <v>38</v>
      </c>
      <c r="B14" s="152">
        <f>COUNTIF('pow podst'!C3:C21,"N")</f>
        <v>14</v>
      </c>
      <c r="C14" s="153">
        <f>SUMIF('pow podst'!C3:C21,"N",'pow podst'!J3:J21)</f>
        <v>41971754.350000001</v>
      </c>
      <c r="D14" s="154">
        <f>SUMIF('pow podst'!C3:C21,"N",'pow podst'!L3:L21)</f>
        <v>20985877.210000001</v>
      </c>
      <c r="E14" s="47">
        <f>SUMIF('pow podst'!C3:C21,"N",'pow podst'!K3:K21)</f>
        <v>20985877.140000004</v>
      </c>
      <c r="F14" s="160">
        <f>SUMIF('pow podst'!C3:C21,"N",'pow podst'!N3:N21)</f>
        <v>0</v>
      </c>
      <c r="G14" s="153">
        <f>SUMIF('pow podst'!C3:C21,"N",'pow podst'!O3:O21)</f>
        <v>0</v>
      </c>
      <c r="H14" s="153">
        <f>SUMIF('pow podst'!C3:C21,"N",'pow podst'!P3:P21)</f>
        <v>0</v>
      </c>
      <c r="I14" s="153">
        <f>SUMIF('pow podst'!C3:C21,"N",'pow podst'!Q3:Q21)</f>
        <v>0</v>
      </c>
      <c r="J14" s="153">
        <f>SUMIF('pow podst'!C3:C21,"N",'pow podst'!R3:R21)</f>
        <v>0</v>
      </c>
      <c r="K14" s="153">
        <f>SUMIF('pow podst'!C3:C21,"N",'pow podst'!S3:S21)</f>
        <v>0</v>
      </c>
      <c r="L14" s="153">
        <f>SUMIF('pow podst'!C3:C21,"N",'pow podst'!T3:T21)</f>
        <v>0</v>
      </c>
      <c r="M14" s="153">
        <f>SUMIF('pow podst'!C3:C21,"N",'pow podst'!U3:U21)</f>
        <v>20985877.140000004</v>
      </c>
      <c r="N14" s="153">
        <f>SUMIF('pow podst'!C3:C21,"N",'pow podst'!V3:V21)</f>
        <v>0</v>
      </c>
      <c r="O14" s="153">
        <f>SUMIF('pow podst'!C3:C21,"N",'pow podst'!W3:W21)</f>
        <v>0</v>
      </c>
      <c r="P14" s="153">
        <f>SUMIF('pow podst'!D3:D21,"N",'pow podst'!X3:X21)</f>
        <v>0</v>
      </c>
      <c r="Q14" s="161">
        <f>SUMIF('pow podst'!E3:E21,"N",'pow podst'!Y3:Y21)</f>
        <v>0</v>
      </c>
      <c r="R14" s="19" t="b">
        <f t="shared" si="0"/>
        <v>1</v>
      </c>
      <c r="S14" s="38" t="b">
        <f t="shared" si="1"/>
        <v>1</v>
      </c>
      <c r="T14" s="20"/>
      <c r="U14" s="20"/>
      <c r="V14" s="21"/>
      <c r="W14" s="21"/>
      <c r="X14" s="22"/>
      <c r="Y14" s="11"/>
      <c r="Z14" s="11"/>
    </row>
    <row r="15" spans="1:26" ht="39.950000000000003" customHeight="1" thickBot="1" x14ac:dyDescent="0.3">
      <c r="A15" s="108" t="s">
        <v>39</v>
      </c>
      <c r="B15" s="155">
        <f>COUNTIF('pow podst'!C3:C21,"W")</f>
        <v>3</v>
      </c>
      <c r="C15" s="156">
        <f>SUMIF('pow podst'!C3:C21,"W",'pow podst'!J3:J21)</f>
        <v>22710084.869999997</v>
      </c>
      <c r="D15" s="157">
        <f>SUMIF('pow podst'!C3:C21,"W",'pow podst'!L3:L21)</f>
        <v>11355042.439999999</v>
      </c>
      <c r="E15" s="109">
        <f>SUMIF('pow podst'!C3:C21,"W",'pow podst'!K3:K21)</f>
        <v>11355042.43</v>
      </c>
      <c r="F15" s="162">
        <f>SUMIF('pow podst'!C3:C21,"W",'pow podst'!N3:N21)</f>
        <v>0</v>
      </c>
      <c r="G15" s="156">
        <f>SUMIF('pow podst'!C3:C21,"W",'pow podst'!O3:O21)</f>
        <v>0</v>
      </c>
      <c r="H15" s="156">
        <f>SUMIF('pow podst'!C3:C21,"W",'pow podst'!P3:P21)</f>
        <v>0</v>
      </c>
      <c r="I15" s="156">
        <f>SUMIF('pow podst'!C3:C21,"W",'pow podst'!Q3:Q21)</f>
        <v>0</v>
      </c>
      <c r="J15" s="156">
        <f>SUMIF('pow podst'!C3:C21,"W",'pow podst'!R3:R21)</f>
        <v>0</v>
      </c>
      <c r="K15" s="156">
        <f>SUMIF('pow podst'!C3:C21,"W",'pow podst'!S3:S21)</f>
        <v>0</v>
      </c>
      <c r="L15" s="156">
        <f>SUMIF('pow podst'!C3:C21,"W",'pow podst'!T3:T21)</f>
        <v>0</v>
      </c>
      <c r="M15" s="156">
        <f>SUMIF('pow podst'!C3:C21,"W",'pow podst'!U3:U21)</f>
        <v>5760972.46</v>
      </c>
      <c r="N15" s="156">
        <f>SUMIF('pow podst'!C3:C21,"W",'pow podst'!V3:V21)</f>
        <v>5594069.9699999997</v>
      </c>
      <c r="O15" s="156">
        <f>SUMIF('pow podst'!C3:C21,"W",'pow podst'!W3:W21)</f>
        <v>0</v>
      </c>
      <c r="P15" s="156">
        <f>SUMIF('pow podst'!D3:D21,"W",'pow podst'!X3:X21)</f>
        <v>0</v>
      </c>
      <c r="Q15" s="163">
        <f>SUMIF('pow podst'!E3:E21,"W",'pow podst'!Y3:Y21)</f>
        <v>0</v>
      </c>
      <c r="R15" s="19" t="b">
        <f t="shared" si="0"/>
        <v>1</v>
      </c>
      <c r="S15" s="38" t="b">
        <f t="shared" si="1"/>
        <v>1</v>
      </c>
      <c r="T15" s="20"/>
      <c r="U15" s="20"/>
      <c r="V15" s="21"/>
      <c r="W15" s="21"/>
      <c r="X15" s="22"/>
      <c r="Y15" s="11"/>
      <c r="Z15" s="11"/>
    </row>
    <row r="16" spans="1:26" ht="39.950000000000003" customHeight="1" thickTop="1" x14ac:dyDescent="0.25">
      <c r="A16" s="99" t="s">
        <v>40</v>
      </c>
      <c r="B16" s="100">
        <f>COUNTA('gm podst'!L3:L29)</f>
        <v>26</v>
      </c>
      <c r="C16" s="101">
        <f>SUM('gm podst'!K3:K29)</f>
        <v>89383736.020000011</v>
      </c>
      <c r="D16" s="102">
        <f>SUM('gm podst'!M3:M29)</f>
        <v>32289421.499999996</v>
      </c>
      <c r="E16" s="103">
        <f>SUM('gm podst'!L3:L29)</f>
        <v>57094314.520000026</v>
      </c>
      <c r="F16" s="164">
        <f>SUM('gm podst'!O3:O29)</f>
        <v>0</v>
      </c>
      <c r="G16" s="165">
        <f>SUM('gm podst'!P3:P29)</f>
        <v>0</v>
      </c>
      <c r="H16" s="165">
        <f>SUM('gm podst'!Q3:Q29)</f>
        <v>0</v>
      </c>
      <c r="I16" s="165">
        <f>SUM('gm podst'!R3:R29)</f>
        <v>0</v>
      </c>
      <c r="J16" s="165">
        <f>SUM('gm podst'!S3:S29)</f>
        <v>0</v>
      </c>
      <c r="K16" s="165">
        <f>SUM('gm podst'!T3:T29)</f>
        <v>3955960.44</v>
      </c>
      <c r="L16" s="165">
        <f>SUM('gm podst'!U3:U29)</f>
        <v>18368518.990000002</v>
      </c>
      <c r="M16" s="165">
        <f>SUM('gm podst'!V3:V29)</f>
        <v>31141283.529999997</v>
      </c>
      <c r="N16" s="165">
        <f>SUM('gm podst'!W3:W29)</f>
        <v>3628551.56</v>
      </c>
      <c r="O16" s="165">
        <f>SUM('gm podst'!X3:X29)</f>
        <v>0</v>
      </c>
      <c r="P16" s="165">
        <f>SUM('gm podst'!Y3:Y29)</f>
        <v>0</v>
      </c>
      <c r="Q16" s="166">
        <f>SUM('gm podst'!Z3:Z29)</f>
        <v>0</v>
      </c>
      <c r="R16" s="19" t="b">
        <f t="shared" si="0"/>
        <v>1</v>
      </c>
      <c r="S16" s="38" t="b">
        <f t="shared" si="1"/>
        <v>1</v>
      </c>
      <c r="T16" s="20"/>
      <c r="U16" s="20"/>
      <c r="V16" s="21"/>
      <c r="W16" s="21"/>
      <c r="X16" s="21"/>
      <c r="Y16" s="21"/>
      <c r="Z16" s="21"/>
    </row>
    <row r="17" spans="1:26" ht="39.950000000000003" customHeight="1" x14ac:dyDescent="0.25">
      <c r="A17" s="106" t="s">
        <v>37</v>
      </c>
      <c r="B17" s="149">
        <f>COUNTIF('gm podst'!C3:C29,"K")</f>
        <v>5</v>
      </c>
      <c r="C17" s="150">
        <f>SUMIF('gm podst'!C3:C29,"K",'gm podst'!K3:K29)</f>
        <v>34419660.219999999</v>
      </c>
      <c r="D17" s="151">
        <f>SUMIF('gm podst'!C3:C29,"K",'gm podst'!M3:M29)</f>
        <v>3971546.3599999985</v>
      </c>
      <c r="E17" s="48">
        <f>SUMIF('gm podst'!C3:C29,"K",'gm podst'!L3:L29)</f>
        <v>30448113.859999999</v>
      </c>
      <c r="F17" s="158">
        <f>SUMIF('gm podst'!C3:C29,"K",'gm podst'!O3:O29)</f>
        <v>0</v>
      </c>
      <c r="G17" s="150">
        <f>SUMIF('gm podst'!C3:C29,"K",'gm podst'!P3:P29)</f>
        <v>0</v>
      </c>
      <c r="H17" s="150">
        <f>SUMIF('gm podst'!C3:C29,"K",'gm podst'!Q3:Q29)</f>
        <v>0</v>
      </c>
      <c r="I17" s="150">
        <f>SUMIF('gm podst'!C3:C29,"K",'gm podst'!R3:R29)</f>
        <v>0</v>
      </c>
      <c r="J17" s="150">
        <f>SUMIF('gm podst'!C3:C29,"K",'gm podst'!S3:S29)</f>
        <v>0</v>
      </c>
      <c r="K17" s="150">
        <f>SUMIF('gm podst'!C3:C29,"K",'gm podst'!T3:T29)</f>
        <v>3955960.44</v>
      </c>
      <c r="L17" s="150">
        <f>SUMIF('gm podst'!C3:C29,"K",'gm podst'!U3:U29)</f>
        <v>18368518.990000002</v>
      </c>
      <c r="M17" s="150">
        <f>SUMIF('gm podst'!C3:C29,"K",'gm podst'!V3:V29)</f>
        <v>8123634.4300000006</v>
      </c>
      <c r="N17" s="150">
        <f>SUMIF('gm podst'!C3:C29,"K",'gm podst'!W3:W29)</f>
        <v>0</v>
      </c>
      <c r="O17" s="150">
        <f>SUMIF('gm podst'!C3:C29,"K",'gm podst'!X3:X29)</f>
        <v>0</v>
      </c>
      <c r="P17" s="150">
        <f>SUMIF('gm podst'!D3:D29,"K",'gm podst'!Y3:Y29)</f>
        <v>0</v>
      </c>
      <c r="Q17" s="159">
        <f>SUMIF('gm podst'!E3:E29,"K",'gm podst'!Z3:Z29)</f>
        <v>0</v>
      </c>
      <c r="R17" s="19" t="b">
        <f t="shared" si="0"/>
        <v>1</v>
      </c>
      <c r="S17" s="38" t="b">
        <f t="shared" si="1"/>
        <v>1</v>
      </c>
      <c r="T17" s="20"/>
      <c r="U17" s="20"/>
      <c r="V17" s="21"/>
      <c r="W17" s="21"/>
      <c r="X17" s="21"/>
      <c r="Y17" s="21"/>
      <c r="Z17" s="21"/>
    </row>
    <row r="18" spans="1:26" ht="39.950000000000003" customHeight="1" x14ac:dyDescent="0.25">
      <c r="A18" s="107" t="s">
        <v>38</v>
      </c>
      <c r="B18" s="152">
        <f>COUNTIF('gm podst'!C3:C29,"N")</f>
        <v>18</v>
      </c>
      <c r="C18" s="153">
        <f>SUMIF('gm podst'!C3:C29,"N",'gm podst'!K3:K29)</f>
        <v>37006994.690000005</v>
      </c>
      <c r="D18" s="154">
        <f>SUMIF('gm podst'!C3:C29,"N",'gm podst'!M3:M29)</f>
        <v>19339334.579999998</v>
      </c>
      <c r="E18" s="47">
        <f>SUMIF('gm podst'!C3:C29,"N",'gm podst'!L3:L29)</f>
        <v>17667660.109999999</v>
      </c>
      <c r="F18" s="160">
        <f>SUMIF('gm podst'!C3:C29,"N",'gm podst'!O3:O29)</f>
        <v>0</v>
      </c>
      <c r="G18" s="153">
        <f>SUMIF('gm podst'!C3:C29,"N",'gm podst'!P3:P29)</f>
        <v>0</v>
      </c>
      <c r="H18" s="153">
        <f>SUMIF('gm podst'!C3:C29,"N",'gm podst'!Q3:Q29)</f>
        <v>0</v>
      </c>
      <c r="I18" s="153">
        <f>SUMIF('gm podst'!C3:C29,"N",'gm podst'!R3:R29)</f>
        <v>0</v>
      </c>
      <c r="J18" s="153">
        <f>SUMIF('gm podst'!C3:C29,"N",'gm podst'!S3:S29)</f>
        <v>0</v>
      </c>
      <c r="K18" s="153">
        <f>SUMIF('gm podst'!C3:C29,"N",'gm podst'!T3:T29)</f>
        <v>0</v>
      </c>
      <c r="L18" s="153">
        <f>SUMIF('gm podst'!C3:C29,"N",'gm podst'!U3:U29)</f>
        <v>0</v>
      </c>
      <c r="M18" s="153">
        <f>SUMIF('gm podst'!C3:C29,"N",'gm podst'!V3:V29)</f>
        <v>17667660.109999999</v>
      </c>
      <c r="N18" s="153">
        <f>SUMIF('gm podst'!C3:C29,"N",'gm podst'!W3:W29)</f>
        <v>0</v>
      </c>
      <c r="O18" s="153">
        <f>SUMIF('gm podst'!C3:C29,"N",'gm podst'!X3:X29)</f>
        <v>0</v>
      </c>
      <c r="P18" s="153">
        <f>SUMIF('gm podst'!D3:D29,"N",'gm podst'!Y3:Y29)</f>
        <v>0</v>
      </c>
      <c r="Q18" s="161">
        <f>SUMIF('gm podst'!E3:E29,"N",'gm podst'!Z3:Z29)</f>
        <v>0</v>
      </c>
      <c r="R18" s="19" t="b">
        <f t="shared" si="0"/>
        <v>1</v>
      </c>
      <c r="S18" s="38" t="b">
        <f t="shared" si="1"/>
        <v>1</v>
      </c>
      <c r="T18" s="20"/>
      <c r="U18" s="20"/>
      <c r="V18" s="21"/>
      <c r="W18" s="21"/>
      <c r="X18" s="21"/>
      <c r="Y18" s="21"/>
      <c r="Z18" s="21"/>
    </row>
    <row r="19" spans="1:26" ht="39.950000000000003" customHeight="1" thickBot="1" x14ac:dyDescent="0.3">
      <c r="A19" s="108" t="s">
        <v>39</v>
      </c>
      <c r="B19" s="155">
        <f>COUNTIF('gm podst'!C3:C29,"W")</f>
        <v>3</v>
      </c>
      <c r="C19" s="156">
        <f>SUMIF('gm podst'!C3:C29,"W",'gm podst'!K3:K29)</f>
        <v>17957081.109999999</v>
      </c>
      <c r="D19" s="157">
        <f>SUMIF('gm podst'!C3:C29,"W",'gm podst'!M3:M29)</f>
        <v>8978540.5599999987</v>
      </c>
      <c r="E19" s="109">
        <f>SUMIF('gm podst'!C3:C29,"W",'gm podst'!L3:L29)</f>
        <v>8978540.5500000007</v>
      </c>
      <c r="F19" s="162">
        <f>SUMIF('gm podst'!C3:C29,"W",'gm podst'!O3:O29)</f>
        <v>0</v>
      </c>
      <c r="G19" s="156">
        <f>SUMIF('gm podst'!C3:C29,"W",'gm podst'!P3:P29)</f>
        <v>0</v>
      </c>
      <c r="H19" s="156">
        <f>SUMIF('gm podst'!C3:C29,"W",'gm podst'!Q3:Q29)</f>
        <v>0</v>
      </c>
      <c r="I19" s="156">
        <f>SUMIF('gm podst'!C3:C29,"W",'gm podst'!R3:R29)</f>
        <v>0</v>
      </c>
      <c r="J19" s="156">
        <f>SUMIF('gm podst'!C3:C29,"W",'gm podst'!S3:S29)</f>
        <v>0</v>
      </c>
      <c r="K19" s="156">
        <f>SUMIF('gm podst'!C3:C29,"W",'gm podst'!T3:T29)</f>
        <v>0</v>
      </c>
      <c r="L19" s="156">
        <f>SUMIF('gm podst'!C3:C29,"W",'gm podst'!U3:U29)</f>
        <v>0</v>
      </c>
      <c r="M19" s="156">
        <f>SUMIF('gm podst'!C3:C29,"W",'gm podst'!V3:V29)</f>
        <v>5349988.99</v>
      </c>
      <c r="N19" s="156">
        <f>SUMIF('gm podst'!C3:C29,"W",'gm podst'!W3:W29)</f>
        <v>3628551.56</v>
      </c>
      <c r="O19" s="156">
        <f>SUMIF('gm podst'!C3:C29,"W",'gm podst'!X3:X29)</f>
        <v>0</v>
      </c>
      <c r="P19" s="156">
        <f>SUMIF('gm podst'!D3:D29,"W",'gm podst'!Y3:Y29)</f>
        <v>0</v>
      </c>
      <c r="Q19" s="163">
        <f>SUMIF('gm podst'!E3:E29,"W",'gm podst'!Z3:Z29)</f>
        <v>0</v>
      </c>
      <c r="R19" s="19" t="b">
        <f t="shared" si="0"/>
        <v>1</v>
      </c>
      <c r="S19" s="38" t="b">
        <f t="shared" si="1"/>
        <v>1</v>
      </c>
      <c r="T19" s="20"/>
      <c r="U19" s="20"/>
      <c r="V19" s="21"/>
      <c r="W19" s="21"/>
      <c r="X19" s="21"/>
      <c r="Y19" s="21"/>
      <c r="Z19" s="21"/>
    </row>
    <row r="20" spans="1:26" s="25" customFormat="1" ht="39.950000000000003" customHeight="1" thickTop="1" x14ac:dyDescent="0.25">
      <c r="A20" s="110" t="s">
        <v>41</v>
      </c>
      <c r="B20" s="111">
        <f>B12+B16</f>
        <v>45</v>
      </c>
      <c r="C20" s="112">
        <f>C12+C16</f>
        <v>162701283.47000003</v>
      </c>
      <c r="D20" s="113">
        <f t="shared" ref="C20:O22" si="2">D12+D16</f>
        <v>66260750.429999992</v>
      </c>
      <c r="E20" s="114">
        <f t="shared" si="2"/>
        <v>96440533.040000021</v>
      </c>
      <c r="F20" s="115">
        <f t="shared" si="2"/>
        <v>0</v>
      </c>
      <c r="G20" s="112">
        <f t="shared" si="2"/>
        <v>0</v>
      </c>
      <c r="H20" s="112">
        <f t="shared" si="2"/>
        <v>0</v>
      </c>
      <c r="I20" s="112">
        <f t="shared" si="2"/>
        <v>0</v>
      </c>
      <c r="J20" s="112">
        <f t="shared" si="2"/>
        <v>0</v>
      </c>
      <c r="K20" s="112">
        <f t="shared" si="2"/>
        <v>3955960.44</v>
      </c>
      <c r="L20" s="112">
        <f t="shared" si="2"/>
        <v>24368784.940000001</v>
      </c>
      <c r="M20" s="112">
        <f t="shared" si="2"/>
        <v>58893166.130000003</v>
      </c>
      <c r="N20" s="112">
        <f t="shared" si="2"/>
        <v>9222621.5299999993</v>
      </c>
      <c r="O20" s="112">
        <f t="shared" si="2"/>
        <v>0</v>
      </c>
      <c r="P20" s="112">
        <f t="shared" ref="P20:Q20" si="3">P12+P16</f>
        <v>0</v>
      </c>
      <c r="Q20" s="116">
        <f t="shared" si="3"/>
        <v>0</v>
      </c>
      <c r="R20" s="19" t="b">
        <f t="shared" si="0"/>
        <v>1</v>
      </c>
      <c r="S20" s="38" t="b">
        <f t="shared" si="1"/>
        <v>1</v>
      </c>
      <c r="T20" s="23"/>
      <c r="U20" s="23"/>
      <c r="V20" s="24"/>
      <c r="W20" s="24"/>
      <c r="X20" s="24"/>
      <c r="Y20" s="24"/>
      <c r="Z20" s="24"/>
    </row>
    <row r="21" spans="1:26" s="25" customFormat="1" ht="39.950000000000003" customHeight="1" x14ac:dyDescent="0.25">
      <c r="A21" s="117" t="s">
        <v>37</v>
      </c>
      <c r="B21" s="81">
        <f>B13+B17</f>
        <v>7</v>
      </c>
      <c r="C21" s="73">
        <f t="shared" si="2"/>
        <v>43055368.450000003</v>
      </c>
      <c r="D21" s="86">
        <f t="shared" si="2"/>
        <v>5601955.6399999987</v>
      </c>
      <c r="E21" s="48">
        <f t="shared" si="2"/>
        <v>37453412.810000002</v>
      </c>
      <c r="F21" s="91">
        <f t="shared" si="2"/>
        <v>0</v>
      </c>
      <c r="G21" s="73">
        <f t="shared" si="2"/>
        <v>0</v>
      </c>
      <c r="H21" s="73">
        <f t="shared" si="2"/>
        <v>0</v>
      </c>
      <c r="I21" s="73">
        <f t="shared" si="2"/>
        <v>0</v>
      </c>
      <c r="J21" s="73">
        <f t="shared" si="2"/>
        <v>0</v>
      </c>
      <c r="K21" s="73">
        <f t="shared" si="2"/>
        <v>3955960.44</v>
      </c>
      <c r="L21" s="73">
        <f t="shared" si="2"/>
        <v>24368784.940000001</v>
      </c>
      <c r="M21" s="73">
        <f t="shared" si="2"/>
        <v>9128667.4299999997</v>
      </c>
      <c r="N21" s="73">
        <f t="shared" si="2"/>
        <v>0</v>
      </c>
      <c r="O21" s="73">
        <f t="shared" si="2"/>
        <v>0</v>
      </c>
      <c r="P21" s="73">
        <f t="shared" ref="P21:Q21" si="4">P13+P17</f>
        <v>0</v>
      </c>
      <c r="Q21" s="118">
        <f t="shared" si="4"/>
        <v>0</v>
      </c>
      <c r="R21" s="19" t="b">
        <f t="shared" si="0"/>
        <v>1</v>
      </c>
      <c r="S21" s="38" t="b">
        <f>E21=SUM(F21:Q21)</f>
        <v>1</v>
      </c>
      <c r="T21" s="23"/>
      <c r="U21" s="23"/>
      <c r="V21" s="24"/>
      <c r="W21" s="24"/>
      <c r="X21" s="24"/>
      <c r="Y21" s="24"/>
      <c r="Z21" s="24"/>
    </row>
    <row r="22" spans="1:26" s="25" customFormat="1" ht="39.950000000000003" customHeight="1" x14ac:dyDescent="0.25">
      <c r="A22" s="119" t="s">
        <v>38</v>
      </c>
      <c r="B22" s="82">
        <f>B14+B18</f>
        <v>32</v>
      </c>
      <c r="C22" s="76">
        <f t="shared" si="2"/>
        <v>78978749.040000007</v>
      </c>
      <c r="D22" s="87">
        <f t="shared" si="2"/>
        <v>40325211.789999999</v>
      </c>
      <c r="E22" s="47">
        <f t="shared" si="2"/>
        <v>38653537.25</v>
      </c>
      <c r="F22" s="92">
        <f t="shared" si="2"/>
        <v>0</v>
      </c>
      <c r="G22" s="76">
        <f t="shared" si="2"/>
        <v>0</v>
      </c>
      <c r="H22" s="76">
        <f t="shared" si="2"/>
        <v>0</v>
      </c>
      <c r="I22" s="76">
        <f t="shared" si="2"/>
        <v>0</v>
      </c>
      <c r="J22" s="76">
        <f t="shared" si="2"/>
        <v>0</v>
      </c>
      <c r="K22" s="76">
        <f t="shared" si="2"/>
        <v>0</v>
      </c>
      <c r="L22" s="76">
        <f t="shared" si="2"/>
        <v>0</v>
      </c>
      <c r="M22" s="76">
        <f t="shared" si="2"/>
        <v>38653537.25</v>
      </c>
      <c r="N22" s="76">
        <f t="shared" si="2"/>
        <v>0</v>
      </c>
      <c r="O22" s="76">
        <f t="shared" si="2"/>
        <v>0</v>
      </c>
      <c r="P22" s="76">
        <f t="shared" ref="P22:Q22" si="5">P14+P18</f>
        <v>0</v>
      </c>
      <c r="Q22" s="120">
        <f t="shared" si="5"/>
        <v>0</v>
      </c>
      <c r="R22" s="19" t="b">
        <f t="shared" si="0"/>
        <v>1</v>
      </c>
      <c r="S22" s="38" t="b">
        <f t="shared" si="1"/>
        <v>1</v>
      </c>
      <c r="T22" s="23"/>
      <c r="U22" s="23"/>
      <c r="V22" s="24"/>
      <c r="W22" s="24"/>
      <c r="X22" s="24"/>
      <c r="Y22" s="24"/>
      <c r="Z22" s="24"/>
    </row>
    <row r="23" spans="1:26" s="25" customFormat="1" ht="39.950000000000003" customHeight="1" thickBot="1" x14ac:dyDescent="0.3">
      <c r="A23" s="121" t="s">
        <v>39</v>
      </c>
      <c r="B23" s="122">
        <f>B15+B19</f>
        <v>6</v>
      </c>
      <c r="C23" s="123">
        <f t="shared" ref="C23:O23" si="6">C15+C19</f>
        <v>40667165.979999997</v>
      </c>
      <c r="D23" s="124">
        <f t="shared" si="6"/>
        <v>20333583</v>
      </c>
      <c r="E23" s="109">
        <f t="shared" si="6"/>
        <v>20333582.98</v>
      </c>
      <c r="F23" s="125">
        <f t="shared" si="6"/>
        <v>0</v>
      </c>
      <c r="G23" s="123">
        <f t="shared" si="6"/>
        <v>0</v>
      </c>
      <c r="H23" s="123">
        <f t="shared" si="6"/>
        <v>0</v>
      </c>
      <c r="I23" s="123">
        <f t="shared" si="6"/>
        <v>0</v>
      </c>
      <c r="J23" s="123">
        <f t="shared" si="6"/>
        <v>0</v>
      </c>
      <c r="K23" s="123">
        <f t="shared" si="6"/>
        <v>0</v>
      </c>
      <c r="L23" s="123">
        <f t="shared" si="6"/>
        <v>0</v>
      </c>
      <c r="M23" s="123">
        <f t="shared" si="6"/>
        <v>11110961.449999999</v>
      </c>
      <c r="N23" s="123">
        <f t="shared" si="6"/>
        <v>9222621.5299999993</v>
      </c>
      <c r="O23" s="123">
        <f t="shared" si="6"/>
        <v>0</v>
      </c>
      <c r="P23" s="123">
        <f t="shared" ref="P23:Q23" si="7">P15+P19</f>
        <v>0</v>
      </c>
      <c r="Q23" s="126">
        <f t="shared" si="7"/>
        <v>0</v>
      </c>
      <c r="R23" s="19" t="b">
        <f t="shared" si="0"/>
        <v>1</v>
      </c>
      <c r="S23" s="38" t="b">
        <f t="shared" si="1"/>
        <v>1</v>
      </c>
      <c r="T23" s="23"/>
      <c r="U23" s="23"/>
      <c r="V23" s="24"/>
      <c r="W23" s="24"/>
      <c r="X23" s="24"/>
      <c r="Y23" s="24"/>
      <c r="Z23" s="24"/>
    </row>
    <row r="24" spans="1:26" ht="39.950000000000003" customHeight="1" thickTop="1" x14ac:dyDescent="0.25">
      <c r="A24" s="99" t="s">
        <v>2</v>
      </c>
      <c r="B24" s="100">
        <f>COUNTA('pow rez'!K3:K4)</f>
        <v>0</v>
      </c>
      <c r="C24" s="101">
        <f>SUM('pow rez'!J3:J4)</f>
        <v>0</v>
      </c>
      <c r="D24" s="102">
        <f>SUM('pow rez'!L3:L4)</f>
        <v>0</v>
      </c>
      <c r="E24" s="103">
        <f>SUM('pow rez'!K3:K4)</f>
        <v>0</v>
      </c>
      <c r="F24" s="104">
        <f>SUM('pow rez'!N3:N4)</f>
        <v>0</v>
      </c>
      <c r="G24" s="101">
        <f>SUM('pow rez'!O3:O4)</f>
        <v>0</v>
      </c>
      <c r="H24" s="101">
        <f>SUM('pow rez'!P3:P4)</f>
        <v>0</v>
      </c>
      <c r="I24" s="101">
        <f>SUM('pow rez'!Q3:Q4)</f>
        <v>0</v>
      </c>
      <c r="J24" s="101">
        <f>SUM('pow rez'!R3:R4)</f>
        <v>0</v>
      </c>
      <c r="K24" s="101">
        <f>SUM('pow rez'!S3:S4)</f>
        <v>0</v>
      </c>
      <c r="L24" s="101">
        <f>SUM('pow rez'!T3:T4)</f>
        <v>0</v>
      </c>
      <c r="M24" s="101">
        <f>SUM('pow rez'!U3:U4)</f>
        <v>0</v>
      </c>
      <c r="N24" s="101">
        <f>SUM('pow rez'!V3:V4)</f>
        <v>0</v>
      </c>
      <c r="O24" s="101">
        <f>SUM('pow rez'!W3:W4)</f>
        <v>0</v>
      </c>
      <c r="P24" s="101">
        <f>SUM('pow rez'!X3:X4)</f>
        <v>0</v>
      </c>
      <c r="Q24" s="105">
        <f>SUM('pow rez'!Y3:Y4)</f>
        <v>0</v>
      </c>
      <c r="R24" s="19" t="b">
        <f t="shared" si="0"/>
        <v>1</v>
      </c>
      <c r="S24" s="38" t="b">
        <f t="shared" si="1"/>
        <v>1</v>
      </c>
      <c r="T24" s="20"/>
      <c r="U24" s="20"/>
      <c r="V24" s="21"/>
      <c r="W24" s="21"/>
      <c r="X24" s="21"/>
      <c r="Y24" s="21"/>
      <c r="Z24" s="21"/>
    </row>
    <row r="25" spans="1:26" ht="39.950000000000003" customHeight="1" x14ac:dyDescent="0.25">
      <c r="A25" s="107" t="s">
        <v>38</v>
      </c>
      <c r="B25" s="152">
        <f>COUNTIF('pow rez'!C3:C4,"N")</f>
        <v>0</v>
      </c>
      <c r="C25" s="153">
        <f>SUMIF('pow rez'!C3:C4,"N",'pow rez'!J3:J4)</f>
        <v>0</v>
      </c>
      <c r="D25" s="154">
        <f>SUMIF('pow rez'!C3:C4,"N",'pow rez'!L3:L4)</f>
        <v>0</v>
      </c>
      <c r="E25" s="47">
        <f>SUMIF('pow rez'!C3:C4,"N",'pow rez'!K3:K4)</f>
        <v>0</v>
      </c>
      <c r="F25" s="160">
        <f>SUMIF('pow rez'!C3:C4,"N",'pow rez'!N3:N4)</f>
        <v>0</v>
      </c>
      <c r="G25" s="153">
        <f>SUMIF('pow rez'!C3:C4,"N",'pow rez'!O3:O4)</f>
        <v>0</v>
      </c>
      <c r="H25" s="153">
        <f>SUMIF('pow rez'!C3:C4,"N",'pow rez'!P3:P4)</f>
        <v>0</v>
      </c>
      <c r="I25" s="153">
        <f>SUMIF('pow rez'!C3:C4,"N",'pow rez'!Q3:Q4)</f>
        <v>0</v>
      </c>
      <c r="J25" s="153">
        <f>SUMIF('pow rez'!C3:C4,"N",'pow rez'!R3:R4)</f>
        <v>0</v>
      </c>
      <c r="K25" s="153">
        <f>SUMIF('pow rez'!C3:C4,"N",'pow rez'!S3:S4)</f>
        <v>0</v>
      </c>
      <c r="L25" s="153">
        <f>SUMIF('pow rez'!C3:C4,"N",'pow rez'!T3:T4)</f>
        <v>0</v>
      </c>
      <c r="M25" s="153">
        <f>SUMIF('pow rez'!C3:C4,"N",'pow rez'!U3:U4)</f>
        <v>0</v>
      </c>
      <c r="N25" s="153">
        <f>SUMIF('pow rez'!C3:C4,"N",'pow rez'!V3:V4)</f>
        <v>0</v>
      </c>
      <c r="O25" s="153">
        <f>SUMIF('pow rez'!C3:C4,"N",'pow rez'!W3:W4)</f>
        <v>0</v>
      </c>
      <c r="P25" s="153">
        <f>SUMIF('pow rez'!D3:D4,"N",'pow rez'!X3:X4)</f>
        <v>0</v>
      </c>
      <c r="Q25" s="161">
        <f>SUMIF('pow rez'!E3:E4,"N",'pow rez'!Y3:Y4)</f>
        <v>0</v>
      </c>
      <c r="R25" s="19" t="b">
        <f t="shared" si="0"/>
        <v>1</v>
      </c>
      <c r="S25" s="38" t="b">
        <f t="shared" si="1"/>
        <v>1</v>
      </c>
      <c r="T25" s="20"/>
      <c r="U25" s="20"/>
      <c r="V25" s="21"/>
      <c r="W25" s="21"/>
      <c r="X25" s="21"/>
      <c r="Y25" s="21"/>
      <c r="Z25" s="21"/>
    </row>
    <row r="26" spans="1:26" ht="39.950000000000003" customHeight="1" thickBot="1" x14ac:dyDescent="0.3">
      <c r="A26" s="108" t="s">
        <v>39</v>
      </c>
      <c r="B26" s="155">
        <f>COUNTIF('pow rez'!C3:C4,"W")</f>
        <v>0</v>
      </c>
      <c r="C26" s="156">
        <f>SUMIF('pow rez'!C3:C4,"W",'pow rez'!J3:J4)</f>
        <v>0</v>
      </c>
      <c r="D26" s="157">
        <f>SUMIF('pow rez'!C3:C4,"W",'pow rez'!L3:L4)</f>
        <v>0</v>
      </c>
      <c r="E26" s="109">
        <f>SUMIF('pow rez'!C3:C4,"W",'pow rez'!K3:K4)</f>
        <v>0</v>
      </c>
      <c r="F26" s="162">
        <f>SUMIF('pow rez'!C3:C4,"W",'pow rez'!N3:N4)</f>
        <v>0</v>
      </c>
      <c r="G26" s="156">
        <f>SUMIF('pow rez'!C3:C4,"W",'pow rez'!O3:O4)</f>
        <v>0</v>
      </c>
      <c r="H26" s="156">
        <f>SUMIF('pow rez'!C3:C4,"W",'pow rez'!P3:P4)</f>
        <v>0</v>
      </c>
      <c r="I26" s="156">
        <f>SUMIF('pow rez'!C3:C4,"W",'pow rez'!Q3:Q4)</f>
        <v>0</v>
      </c>
      <c r="J26" s="156">
        <f>SUMIF('pow rez'!C3:C4,"W",'pow rez'!R3:R4)</f>
        <v>0</v>
      </c>
      <c r="K26" s="156">
        <f>SUMIF('pow rez'!C3:C4,"W",'pow rez'!S3:S4)</f>
        <v>0</v>
      </c>
      <c r="L26" s="156">
        <f>SUMIF('pow rez'!C3:C4,"W",'pow rez'!T3:T4)</f>
        <v>0</v>
      </c>
      <c r="M26" s="156">
        <f>SUMIF('pow rez'!C3:C4,"W",'pow rez'!U3:U4)</f>
        <v>0</v>
      </c>
      <c r="N26" s="156">
        <f>SUMIF('pow rez'!C3:C4,"W",'pow rez'!V3:V4)</f>
        <v>0</v>
      </c>
      <c r="O26" s="156">
        <f>SUMIF('pow rez'!C3:C4,"W",'pow rez'!W3:W4)</f>
        <v>0</v>
      </c>
      <c r="P26" s="156">
        <f>SUMIF('pow rez'!D3:D4,"W",'pow rez'!X3:X4)</f>
        <v>0</v>
      </c>
      <c r="Q26" s="163">
        <f>SUMIF('pow rez'!E3:E4,"W",'pow rez'!Y3:Y4)</f>
        <v>0</v>
      </c>
      <c r="R26" s="19" t="b">
        <f t="shared" si="0"/>
        <v>1</v>
      </c>
      <c r="S26" s="38" t="b">
        <f t="shared" si="1"/>
        <v>1</v>
      </c>
      <c r="T26" s="20"/>
      <c r="U26" s="20"/>
      <c r="V26" s="21"/>
      <c r="W26" s="21"/>
      <c r="X26" s="21"/>
      <c r="Y26" s="21"/>
      <c r="Z26" s="21"/>
    </row>
    <row r="27" spans="1:26" ht="39.950000000000003" customHeight="1" thickTop="1" x14ac:dyDescent="0.25">
      <c r="A27" s="99" t="s">
        <v>3</v>
      </c>
      <c r="B27" s="100">
        <f>COUNTA('gm rez'!L3:L11)</f>
        <v>6</v>
      </c>
      <c r="C27" s="101">
        <f>SUM('gm rez'!K3:K11)</f>
        <v>6768706.6699999999</v>
      </c>
      <c r="D27" s="102">
        <f>SUM('gm rez'!M3:M11)</f>
        <v>3384353.34</v>
      </c>
      <c r="E27" s="103">
        <f>SUM('gm rez'!L3:L11)</f>
        <v>3384353.33</v>
      </c>
      <c r="F27" s="104">
        <f>SUM('gm rez'!O3:O11)</f>
        <v>0</v>
      </c>
      <c r="G27" s="101">
        <f>SUM('gm rez'!P3:P11)</f>
        <v>0</v>
      </c>
      <c r="H27" s="101">
        <f>SUM('gm rez'!Q3:Q11)</f>
        <v>0</v>
      </c>
      <c r="I27" s="101">
        <f>SUM('gm rez'!R3:R11)</f>
        <v>0</v>
      </c>
      <c r="J27" s="101">
        <f>SUM('gm rez'!S3:S11)</f>
        <v>0</v>
      </c>
      <c r="K27" s="101">
        <f>SUM('gm rez'!T3:T11)</f>
        <v>0</v>
      </c>
      <c r="L27" s="101">
        <f>SUM('gm rez'!U3:U11)</f>
        <v>0</v>
      </c>
      <c r="M27" s="101">
        <f>SUM('gm rez'!V3:V11)</f>
        <v>3384353.33</v>
      </c>
      <c r="N27" s="101">
        <f>SUM('gm rez'!W3:W11)</f>
        <v>0</v>
      </c>
      <c r="O27" s="101">
        <f>SUM('gm rez'!X3:X11)</f>
        <v>0</v>
      </c>
      <c r="P27" s="101">
        <f>SUM('gm rez'!Y3:Y11)</f>
        <v>0</v>
      </c>
      <c r="Q27" s="105">
        <f>SUM('gm rez'!Z3:Z11)</f>
        <v>0</v>
      </c>
      <c r="R27" s="19" t="b">
        <f t="shared" si="0"/>
        <v>1</v>
      </c>
      <c r="S27" s="38" t="b">
        <f t="shared" si="1"/>
        <v>1</v>
      </c>
      <c r="T27" s="26"/>
      <c r="U27" s="26"/>
      <c r="V27" s="27"/>
      <c r="W27" s="27"/>
      <c r="X27" s="22"/>
      <c r="Y27" s="11"/>
      <c r="Z27" s="11"/>
    </row>
    <row r="28" spans="1:26" ht="39.950000000000003" customHeight="1" x14ac:dyDescent="0.25">
      <c r="A28" s="107" t="s">
        <v>38</v>
      </c>
      <c r="B28" s="152">
        <f>COUNTIF('gm rez'!C3:C11,"N")</f>
        <v>6</v>
      </c>
      <c r="C28" s="153">
        <f>SUMIF('gm rez'!C3:C11,"N",'gm rez'!K3:K11)</f>
        <v>6768706.6699999999</v>
      </c>
      <c r="D28" s="154">
        <f>SUMIF('gm rez'!C3:C11,"N",'gm rez'!M3:M11)</f>
        <v>3384353.34</v>
      </c>
      <c r="E28" s="47">
        <f>SUMIF('gm rez'!C3:C11,"N",'gm rez'!L3:L11)</f>
        <v>3384353.33</v>
      </c>
      <c r="F28" s="160">
        <f>SUMIF('gm rez'!C3:C11,"N",'gm rez'!O3:O11)</f>
        <v>0</v>
      </c>
      <c r="G28" s="153">
        <f>SUMIF('gm rez'!C3:C11,"N",'gm rez'!P3:P11)</f>
        <v>0</v>
      </c>
      <c r="H28" s="153">
        <f>SUMIF('gm rez'!C3:C11,"N",'gm rez'!Q3:Q11)</f>
        <v>0</v>
      </c>
      <c r="I28" s="153">
        <f>SUMIF('gm rez'!C3:C11,"N",'gm rez'!R3:R11)</f>
        <v>0</v>
      </c>
      <c r="J28" s="153">
        <f>SUMIF('gm rez'!C3:C11,"N",'gm rez'!S3:S11)</f>
        <v>0</v>
      </c>
      <c r="K28" s="153">
        <f>SUMIF('gm rez'!C3:C11,"N",'gm rez'!T3:T11)</f>
        <v>0</v>
      </c>
      <c r="L28" s="153">
        <f>SUMIF('gm rez'!C3:C11,"N",'gm rez'!U3:U11)</f>
        <v>0</v>
      </c>
      <c r="M28" s="153">
        <f>SUMIF('gm rez'!C3:C11,"N",'gm rez'!V3:V11)</f>
        <v>3384353.33</v>
      </c>
      <c r="N28" s="153">
        <f>SUMIF('gm rez'!C3:C11,"N",'gm rez'!W3:W11)</f>
        <v>0</v>
      </c>
      <c r="O28" s="153">
        <f>SUMIF('gm rez'!C3:C11,"N",'gm rez'!X3:X11)</f>
        <v>0</v>
      </c>
      <c r="P28" s="153">
        <f>SUMIF('gm rez'!D3:D11,"N",'gm rez'!Y3:Y11)</f>
        <v>0</v>
      </c>
      <c r="Q28" s="161">
        <f>SUMIF('gm rez'!E3:E11,"N",'gm rez'!Z3:Z11)</f>
        <v>0</v>
      </c>
      <c r="R28" s="19" t="b">
        <f t="shared" si="0"/>
        <v>1</v>
      </c>
      <c r="S28" s="38" t="b">
        <f t="shared" si="1"/>
        <v>1</v>
      </c>
      <c r="T28" s="26"/>
      <c r="U28" s="26"/>
      <c r="V28" s="27"/>
      <c r="W28" s="27"/>
      <c r="X28" s="22"/>
      <c r="Y28" s="11"/>
      <c r="Z28" s="11"/>
    </row>
    <row r="29" spans="1:26" ht="39.950000000000003" customHeight="1" thickBot="1" x14ac:dyDescent="0.3">
      <c r="A29" s="108" t="s">
        <v>39</v>
      </c>
      <c r="B29" s="155">
        <f>COUNTIF('gm rez'!C3:C11,"W")</f>
        <v>0</v>
      </c>
      <c r="C29" s="156">
        <f>SUMIF('gm rez'!C3:C11,"W",'gm rez'!K3:K11)</f>
        <v>0</v>
      </c>
      <c r="D29" s="157">
        <f>SUMIF('gm rez'!C3:C11,"W",'gm rez'!M3:M11)</f>
        <v>0</v>
      </c>
      <c r="E29" s="109">
        <f>SUMIF('gm rez'!C3:C11,"W",'gm rez'!L3:L11)</f>
        <v>0</v>
      </c>
      <c r="F29" s="162">
        <f>SUMIF('gm rez'!C3:C11,"W",'gm rez'!O3:O11)</f>
        <v>0</v>
      </c>
      <c r="G29" s="156">
        <f>SUMIF('gm rez'!C3:C11,"W",'gm rez'!P3:P11)</f>
        <v>0</v>
      </c>
      <c r="H29" s="156">
        <f>SUMIF('gm rez'!C3:C11,"W",'gm rez'!Q3:Q11)</f>
        <v>0</v>
      </c>
      <c r="I29" s="156">
        <f>SUMIF('gm rez'!C3:C11,"W",'gm rez'!R3:R11)</f>
        <v>0</v>
      </c>
      <c r="J29" s="156">
        <f>SUMIF('gm rez'!C3:C11,"W",'gm rez'!S3:S11)</f>
        <v>0</v>
      </c>
      <c r="K29" s="156">
        <f>SUMIF('gm rez'!C3:C11,"W",'gm rez'!T3:T11)</f>
        <v>0</v>
      </c>
      <c r="L29" s="156">
        <f>SUMIF('gm rez'!C3:C11,"W",'gm rez'!U3:U11)</f>
        <v>0</v>
      </c>
      <c r="M29" s="156">
        <f>SUMIF('gm rez'!C3:C11,"W",'gm rez'!V3:V11)</f>
        <v>0</v>
      </c>
      <c r="N29" s="156">
        <f>SUMIF('gm rez'!C3:C11,"W",'gm rez'!W3:W11)</f>
        <v>0</v>
      </c>
      <c r="O29" s="156">
        <f>SUMIF('gm rez'!C3:C11,"W",'gm rez'!X3:X11)</f>
        <v>0</v>
      </c>
      <c r="P29" s="156">
        <f>SUMIF('gm rez'!D3:D11,"W",'gm rez'!Y3:Y11)</f>
        <v>0</v>
      </c>
      <c r="Q29" s="163">
        <f>SUMIF('gm rez'!E3:E11,"W",'gm rez'!Z3:Z11)</f>
        <v>0</v>
      </c>
      <c r="R29" s="19" t="b">
        <f t="shared" si="0"/>
        <v>1</v>
      </c>
      <c r="S29" s="38" t="b">
        <f t="shared" si="1"/>
        <v>1</v>
      </c>
      <c r="T29" s="26"/>
      <c r="U29" s="26"/>
      <c r="V29" s="27"/>
      <c r="W29" s="27"/>
      <c r="X29" s="22"/>
      <c r="Y29" s="11"/>
      <c r="Z29" s="11"/>
    </row>
    <row r="30" spans="1:26" ht="39.950000000000003" customHeight="1" thickTop="1" x14ac:dyDescent="0.25">
      <c r="A30" s="174" t="s">
        <v>22</v>
      </c>
      <c r="B30" s="175">
        <f>B24+B27</f>
        <v>6</v>
      </c>
      <c r="C30" s="176">
        <f t="shared" ref="C30:O30" si="8">C24+C27</f>
        <v>6768706.6699999999</v>
      </c>
      <c r="D30" s="177">
        <f t="shared" si="8"/>
        <v>3384353.34</v>
      </c>
      <c r="E30" s="178">
        <f t="shared" si="8"/>
        <v>3384353.33</v>
      </c>
      <c r="F30" s="179">
        <f t="shared" si="8"/>
        <v>0</v>
      </c>
      <c r="G30" s="176">
        <f t="shared" si="8"/>
        <v>0</v>
      </c>
      <c r="H30" s="176">
        <f t="shared" si="8"/>
        <v>0</v>
      </c>
      <c r="I30" s="176">
        <f t="shared" si="8"/>
        <v>0</v>
      </c>
      <c r="J30" s="176">
        <f t="shared" si="8"/>
        <v>0</v>
      </c>
      <c r="K30" s="176">
        <f t="shared" si="8"/>
        <v>0</v>
      </c>
      <c r="L30" s="176">
        <f t="shared" si="8"/>
        <v>0</v>
      </c>
      <c r="M30" s="176">
        <f t="shared" si="8"/>
        <v>3384353.33</v>
      </c>
      <c r="N30" s="176">
        <f t="shared" si="8"/>
        <v>0</v>
      </c>
      <c r="O30" s="176">
        <f t="shared" si="8"/>
        <v>0</v>
      </c>
      <c r="P30" s="176">
        <f t="shared" ref="P30:Q30" si="9">P24+P27</f>
        <v>0</v>
      </c>
      <c r="Q30" s="180">
        <f t="shared" si="9"/>
        <v>0</v>
      </c>
      <c r="R30" s="19" t="b">
        <f t="shared" si="0"/>
        <v>1</v>
      </c>
      <c r="S30" s="38" t="b">
        <f t="shared" si="1"/>
        <v>1</v>
      </c>
      <c r="T30" s="28"/>
      <c r="U30" s="28"/>
      <c r="V30" s="2"/>
      <c r="W30" s="2"/>
    </row>
    <row r="31" spans="1:26" ht="39.950000000000003" customHeight="1" x14ac:dyDescent="0.25">
      <c r="A31" s="85" t="s">
        <v>38</v>
      </c>
      <c r="B31" s="83">
        <f t="shared" ref="B31:O31" si="10">B25+B28</f>
        <v>6</v>
      </c>
      <c r="C31" s="74">
        <f t="shared" si="10"/>
        <v>6768706.6699999999</v>
      </c>
      <c r="D31" s="88">
        <f t="shared" si="10"/>
        <v>3384353.34</v>
      </c>
      <c r="E31" s="47">
        <f t="shared" si="10"/>
        <v>3384353.33</v>
      </c>
      <c r="F31" s="93">
        <f t="shared" si="10"/>
        <v>0</v>
      </c>
      <c r="G31" s="74">
        <f t="shared" si="10"/>
        <v>0</v>
      </c>
      <c r="H31" s="74">
        <f t="shared" si="10"/>
        <v>0</v>
      </c>
      <c r="I31" s="74">
        <f t="shared" si="10"/>
        <v>0</v>
      </c>
      <c r="J31" s="74">
        <f t="shared" si="10"/>
        <v>0</v>
      </c>
      <c r="K31" s="74">
        <f t="shared" si="10"/>
        <v>0</v>
      </c>
      <c r="L31" s="74">
        <f t="shared" si="10"/>
        <v>0</v>
      </c>
      <c r="M31" s="74">
        <f t="shared" si="10"/>
        <v>3384353.33</v>
      </c>
      <c r="N31" s="74">
        <f t="shared" si="10"/>
        <v>0</v>
      </c>
      <c r="O31" s="74">
        <f t="shared" si="10"/>
        <v>0</v>
      </c>
      <c r="P31" s="74">
        <f t="shared" ref="P31:Q31" si="11">P25+P28</f>
        <v>0</v>
      </c>
      <c r="Q31" s="80">
        <f t="shared" si="11"/>
        <v>0</v>
      </c>
      <c r="R31" s="19" t="b">
        <f t="shared" si="0"/>
        <v>1</v>
      </c>
      <c r="S31" s="38" t="b">
        <f t="shared" si="1"/>
        <v>1</v>
      </c>
      <c r="T31" s="28"/>
      <c r="U31" s="28"/>
      <c r="V31" s="2"/>
      <c r="W31" s="2"/>
    </row>
    <row r="32" spans="1:26" ht="39.950000000000003" customHeight="1" thickBot="1" x14ac:dyDescent="0.3">
      <c r="A32" s="127" t="s">
        <v>39</v>
      </c>
      <c r="B32" s="128">
        <f t="shared" ref="B32:O32" si="12">B26+B29</f>
        <v>0</v>
      </c>
      <c r="C32" s="129">
        <f t="shared" si="12"/>
        <v>0</v>
      </c>
      <c r="D32" s="130">
        <f t="shared" si="12"/>
        <v>0</v>
      </c>
      <c r="E32" s="131">
        <f t="shared" si="12"/>
        <v>0</v>
      </c>
      <c r="F32" s="132">
        <f t="shared" si="12"/>
        <v>0</v>
      </c>
      <c r="G32" s="129">
        <f t="shared" si="12"/>
        <v>0</v>
      </c>
      <c r="H32" s="129">
        <f t="shared" si="12"/>
        <v>0</v>
      </c>
      <c r="I32" s="129">
        <f t="shared" si="12"/>
        <v>0</v>
      </c>
      <c r="J32" s="129">
        <f t="shared" si="12"/>
        <v>0</v>
      </c>
      <c r="K32" s="129">
        <f t="shared" si="12"/>
        <v>0</v>
      </c>
      <c r="L32" s="129">
        <f t="shared" si="12"/>
        <v>0</v>
      </c>
      <c r="M32" s="129">
        <f t="shared" si="12"/>
        <v>0</v>
      </c>
      <c r="N32" s="129">
        <f t="shared" si="12"/>
        <v>0</v>
      </c>
      <c r="O32" s="129">
        <f t="shared" si="12"/>
        <v>0</v>
      </c>
      <c r="P32" s="129">
        <f t="shared" ref="P32:Q32" si="13">P26+P29</f>
        <v>0</v>
      </c>
      <c r="Q32" s="133">
        <f t="shared" si="13"/>
        <v>0</v>
      </c>
      <c r="R32" s="19" t="b">
        <f t="shared" si="0"/>
        <v>1</v>
      </c>
      <c r="S32" s="38" t="b">
        <f t="shared" si="1"/>
        <v>1</v>
      </c>
      <c r="T32" s="28"/>
      <c r="U32" s="28"/>
      <c r="V32" s="2"/>
      <c r="W32" s="2"/>
    </row>
    <row r="33" spans="1:23" ht="39.950000000000003" customHeight="1" thickTop="1" x14ac:dyDescent="0.25">
      <c r="A33" s="134" t="s">
        <v>33</v>
      </c>
      <c r="B33" s="135">
        <f>B20+B30</f>
        <v>51</v>
      </c>
      <c r="C33" s="136">
        <f t="shared" ref="C33:O33" si="14">C20+C30</f>
        <v>169469990.14000002</v>
      </c>
      <c r="D33" s="137">
        <f t="shared" si="14"/>
        <v>69645103.769999996</v>
      </c>
      <c r="E33" s="138">
        <f t="shared" si="14"/>
        <v>99824886.37000002</v>
      </c>
      <c r="F33" s="139">
        <f t="shared" si="14"/>
        <v>0</v>
      </c>
      <c r="G33" s="136">
        <f t="shared" si="14"/>
        <v>0</v>
      </c>
      <c r="H33" s="136">
        <f t="shared" si="14"/>
        <v>0</v>
      </c>
      <c r="I33" s="136">
        <f t="shared" si="14"/>
        <v>0</v>
      </c>
      <c r="J33" s="136">
        <f t="shared" si="14"/>
        <v>0</v>
      </c>
      <c r="K33" s="136">
        <f t="shared" si="14"/>
        <v>3955960.44</v>
      </c>
      <c r="L33" s="136">
        <f t="shared" si="14"/>
        <v>24368784.940000001</v>
      </c>
      <c r="M33" s="136">
        <f t="shared" si="14"/>
        <v>62277519.460000001</v>
      </c>
      <c r="N33" s="136">
        <f t="shared" si="14"/>
        <v>9222621.5299999993</v>
      </c>
      <c r="O33" s="136">
        <f t="shared" si="14"/>
        <v>0</v>
      </c>
      <c r="P33" s="136">
        <f t="shared" ref="P33:Q33" si="15">P20+P30</f>
        <v>0</v>
      </c>
      <c r="Q33" s="140">
        <f t="shared" si="15"/>
        <v>0</v>
      </c>
      <c r="R33" s="19" t="b">
        <f t="shared" si="0"/>
        <v>1</v>
      </c>
      <c r="S33" s="38" t="b">
        <f t="shared" si="1"/>
        <v>1</v>
      </c>
      <c r="T33" s="28"/>
      <c r="U33" s="28"/>
      <c r="V33" s="2"/>
      <c r="W33" s="2"/>
    </row>
    <row r="34" spans="1:23" ht="39.950000000000003" customHeight="1" x14ac:dyDescent="0.25">
      <c r="A34" s="167" t="s">
        <v>37</v>
      </c>
      <c r="B34" s="168">
        <f>B21</f>
        <v>7</v>
      </c>
      <c r="C34" s="169">
        <f t="shared" ref="C34:O34" si="16">C21</f>
        <v>43055368.450000003</v>
      </c>
      <c r="D34" s="170">
        <f t="shared" si="16"/>
        <v>5601955.6399999987</v>
      </c>
      <c r="E34" s="48">
        <f t="shared" si="16"/>
        <v>37453412.810000002</v>
      </c>
      <c r="F34" s="171">
        <f t="shared" si="16"/>
        <v>0</v>
      </c>
      <c r="G34" s="169">
        <f t="shared" si="16"/>
        <v>0</v>
      </c>
      <c r="H34" s="169">
        <f t="shared" si="16"/>
        <v>0</v>
      </c>
      <c r="I34" s="169">
        <f t="shared" si="16"/>
        <v>0</v>
      </c>
      <c r="J34" s="169">
        <f t="shared" si="16"/>
        <v>0</v>
      </c>
      <c r="K34" s="169">
        <f t="shared" si="16"/>
        <v>3955960.44</v>
      </c>
      <c r="L34" s="169">
        <f t="shared" si="16"/>
        <v>24368784.940000001</v>
      </c>
      <c r="M34" s="169">
        <f t="shared" si="16"/>
        <v>9128667.4299999997</v>
      </c>
      <c r="N34" s="169">
        <f t="shared" si="16"/>
        <v>0</v>
      </c>
      <c r="O34" s="169">
        <f t="shared" si="16"/>
        <v>0</v>
      </c>
      <c r="P34" s="169">
        <f t="shared" ref="P34:Q34" si="17">P21</f>
        <v>0</v>
      </c>
      <c r="Q34" s="172">
        <f t="shared" si="17"/>
        <v>0</v>
      </c>
      <c r="R34" s="19" t="b">
        <f t="shared" si="0"/>
        <v>1</v>
      </c>
      <c r="S34" s="38" t="b">
        <f t="shared" si="1"/>
        <v>1</v>
      </c>
      <c r="T34" s="28"/>
      <c r="U34" s="28"/>
      <c r="V34" s="2"/>
      <c r="W34" s="2"/>
    </row>
    <row r="35" spans="1:23" ht="39.950000000000003" customHeight="1" x14ac:dyDescent="0.25">
      <c r="A35" s="141" t="s">
        <v>38</v>
      </c>
      <c r="B35" s="84">
        <f>B22+B31</f>
        <v>38</v>
      </c>
      <c r="C35" s="75">
        <f t="shared" ref="C35:O35" si="18">C22+C31</f>
        <v>85747455.710000008</v>
      </c>
      <c r="D35" s="89">
        <f t="shared" si="18"/>
        <v>43709565.129999995</v>
      </c>
      <c r="E35" s="95">
        <f t="shared" si="18"/>
        <v>42037890.579999998</v>
      </c>
      <c r="F35" s="94">
        <f t="shared" si="18"/>
        <v>0</v>
      </c>
      <c r="G35" s="75">
        <f t="shared" si="18"/>
        <v>0</v>
      </c>
      <c r="H35" s="75">
        <f t="shared" si="18"/>
        <v>0</v>
      </c>
      <c r="I35" s="75">
        <f t="shared" si="18"/>
        <v>0</v>
      </c>
      <c r="J35" s="75">
        <f t="shared" si="18"/>
        <v>0</v>
      </c>
      <c r="K35" s="75">
        <f t="shared" si="18"/>
        <v>0</v>
      </c>
      <c r="L35" s="75">
        <f t="shared" si="18"/>
        <v>0</v>
      </c>
      <c r="M35" s="75">
        <f t="shared" si="18"/>
        <v>42037890.579999998</v>
      </c>
      <c r="N35" s="75">
        <f t="shared" si="18"/>
        <v>0</v>
      </c>
      <c r="O35" s="75">
        <f t="shared" si="18"/>
        <v>0</v>
      </c>
      <c r="P35" s="75">
        <f t="shared" ref="P35:Q35" si="19">P22+P31</f>
        <v>0</v>
      </c>
      <c r="Q35" s="142">
        <f t="shared" si="19"/>
        <v>0</v>
      </c>
      <c r="R35" s="19" t="b">
        <f t="shared" si="0"/>
        <v>1</v>
      </c>
      <c r="S35" s="38" t="b">
        <f t="shared" si="1"/>
        <v>1</v>
      </c>
      <c r="T35" s="28"/>
      <c r="U35" s="28"/>
      <c r="V35" s="2"/>
      <c r="W35" s="2"/>
    </row>
    <row r="36" spans="1:23" ht="39.950000000000003" customHeight="1" thickBot="1" x14ac:dyDescent="0.3">
      <c r="A36" s="143" t="s">
        <v>39</v>
      </c>
      <c r="B36" s="144">
        <f>B23+B32</f>
        <v>6</v>
      </c>
      <c r="C36" s="145">
        <f t="shared" ref="C36:O36" si="20">C23+C32</f>
        <v>40667165.979999997</v>
      </c>
      <c r="D36" s="146">
        <f t="shared" si="20"/>
        <v>20333583</v>
      </c>
      <c r="E36" s="109">
        <f t="shared" si="20"/>
        <v>20333582.98</v>
      </c>
      <c r="F36" s="147">
        <f t="shared" si="20"/>
        <v>0</v>
      </c>
      <c r="G36" s="145">
        <f t="shared" si="20"/>
        <v>0</v>
      </c>
      <c r="H36" s="145">
        <f t="shared" si="20"/>
        <v>0</v>
      </c>
      <c r="I36" s="145">
        <f t="shared" si="20"/>
        <v>0</v>
      </c>
      <c r="J36" s="145">
        <f t="shared" si="20"/>
        <v>0</v>
      </c>
      <c r="K36" s="145">
        <f t="shared" si="20"/>
        <v>0</v>
      </c>
      <c r="L36" s="145">
        <f t="shared" si="20"/>
        <v>0</v>
      </c>
      <c r="M36" s="145">
        <f t="shared" si="20"/>
        <v>11110961.449999999</v>
      </c>
      <c r="N36" s="145">
        <f t="shared" si="20"/>
        <v>9222621.5299999993</v>
      </c>
      <c r="O36" s="145">
        <f t="shared" si="20"/>
        <v>0</v>
      </c>
      <c r="P36" s="145">
        <f t="shared" ref="P36:Q36" si="21">P23+P32</f>
        <v>0</v>
      </c>
      <c r="Q36" s="148">
        <f t="shared" si="21"/>
        <v>0</v>
      </c>
      <c r="R36" s="19" t="b">
        <f t="shared" si="0"/>
        <v>1</v>
      </c>
      <c r="S36" s="38" t="b">
        <f t="shared" si="1"/>
        <v>1</v>
      </c>
      <c r="T36" s="28"/>
      <c r="U36" s="28"/>
      <c r="V36" s="2"/>
      <c r="W36" s="2"/>
    </row>
    <row r="37" spans="1:23" ht="15.75" thickTop="1" x14ac:dyDescent="0.25">
      <c r="A37" s="29"/>
      <c r="B37" s="29" t="b">
        <f>B12+B16=B20</f>
        <v>1</v>
      </c>
      <c r="C37" s="29" t="b">
        <f t="shared" ref="C37:Q37" si="22">C12+C16=C20</f>
        <v>1</v>
      </c>
      <c r="D37" s="29" t="b">
        <f t="shared" si="22"/>
        <v>1</v>
      </c>
      <c r="E37" s="29" t="b">
        <f t="shared" si="22"/>
        <v>1</v>
      </c>
      <c r="F37" s="29" t="b">
        <f t="shared" si="22"/>
        <v>1</v>
      </c>
      <c r="G37" s="29" t="b">
        <f t="shared" si="22"/>
        <v>1</v>
      </c>
      <c r="H37" s="29" t="b">
        <f t="shared" si="22"/>
        <v>1</v>
      </c>
      <c r="I37" s="29" t="b">
        <f t="shared" si="22"/>
        <v>1</v>
      </c>
      <c r="J37" s="29" t="b">
        <f t="shared" si="22"/>
        <v>1</v>
      </c>
      <c r="K37" s="29" t="b">
        <f t="shared" si="22"/>
        <v>1</v>
      </c>
      <c r="L37" s="29" t="b">
        <f t="shared" si="22"/>
        <v>1</v>
      </c>
      <c r="M37" s="29" t="b">
        <f t="shared" si="22"/>
        <v>1</v>
      </c>
      <c r="N37" s="29" t="b">
        <f t="shared" si="22"/>
        <v>1</v>
      </c>
      <c r="O37" s="29" t="b">
        <f t="shared" si="22"/>
        <v>1</v>
      </c>
      <c r="P37" s="29" t="b">
        <f t="shared" si="22"/>
        <v>1</v>
      </c>
      <c r="Q37" s="29" t="b">
        <f t="shared" si="22"/>
        <v>1</v>
      </c>
      <c r="R37" s="29"/>
      <c r="S37" s="29"/>
      <c r="T37" s="28"/>
      <c r="U37" s="28"/>
      <c r="V37" s="2"/>
      <c r="W37" s="2"/>
    </row>
    <row r="38" spans="1:23" x14ac:dyDescent="0.25">
      <c r="A38" s="29"/>
      <c r="B38" s="29" t="b">
        <f>B13+B17=B21</f>
        <v>1</v>
      </c>
      <c r="C38" s="29" t="b">
        <f t="shared" ref="C38:Q38" si="23">C13+C17=C21</f>
        <v>1</v>
      </c>
      <c r="D38" s="29" t="b">
        <f t="shared" si="23"/>
        <v>1</v>
      </c>
      <c r="E38" s="29" t="b">
        <f t="shared" si="23"/>
        <v>1</v>
      </c>
      <c r="F38" s="29" t="b">
        <f t="shared" si="23"/>
        <v>1</v>
      </c>
      <c r="G38" s="29" t="b">
        <f t="shared" si="23"/>
        <v>1</v>
      </c>
      <c r="H38" s="29" t="b">
        <f t="shared" si="23"/>
        <v>1</v>
      </c>
      <c r="I38" s="29" t="b">
        <f t="shared" si="23"/>
        <v>1</v>
      </c>
      <c r="J38" s="29" t="b">
        <f t="shared" si="23"/>
        <v>1</v>
      </c>
      <c r="K38" s="29" t="b">
        <f t="shared" si="23"/>
        <v>1</v>
      </c>
      <c r="L38" s="29" t="b">
        <f t="shared" si="23"/>
        <v>1</v>
      </c>
      <c r="M38" s="29" t="b">
        <f t="shared" si="23"/>
        <v>1</v>
      </c>
      <c r="N38" s="29" t="b">
        <f t="shared" si="23"/>
        <v>1</v>
      </c>
      <c r="O38" s="29" t="b">
        <f t="shared" si="23"/>
        <v>1</v>
      </c>
      <c r="P38" s="29" t="b">
        <f t="shared" si="23"/>
        <v>1</v>
      </c>
      <c r="Q38" s="29" t="b">
        <f t="shared" si="23"/>
        <v>1</v>
      </c>
      <c r="R38" s="29"/>
      <c r="S38" s="29"/>
      <c r="T38" s="28"/>
      <c r="U38" s="28"/>
      <c r="V38" s="2"/>
      <c r="W38" s="2"/>
    </row>
    <row r="39" spans="1:23" x14ac:dyDescent="0.25">
      <c r="A39" s="29"/>
      <c r="B39" s="29" t="b">
        <f>B14+B18=B22</f>
        <v>1</v>
      </c>
      <c r="C39" s="29" t="b">
        <f t="shared" ref="C39:Q39" si="24">C14+C18=C22</f>
        <v>1</v>
      </c>
      <c r="D39" s="29" t="b">
        <f t="shared" si="24"/>
        <v>1</v>
      </c>
      <c r="E39" s="29" t="b">
        <f t="shared" si="24"/>
        <v>1</v>
      </c>
      <c r="F39" s="29" t="b">
        <f t="shared" si="24"/>
        <v>1</v>
      </c>
      <c r="G39" s="29" t="b">
        <f t="shared" si="24"/>
        <v>1</v>
      </c>
      <c r="H39" s="29" t="b">
        <f t="shared" si="24"/>
        <v>1</v>
      </c>
      <c r="I39" s="29" t="b">
        <f t="shared" si="24"/>
        <v>1</v>
      </c>
      <c r="J39" s="29" t="b">
        <f t="shared" si="24"/>
        <v>1</v>
      </c>
      <c r="K39" s="29" t="b">
        <f t="shared" si="24"/>
        <v>1</v>
      </c>
      <c r="L39" s="29" t="b">
        <f t="shared" si="24"/>
        <v>1</v>
      </c>
      <c r="M39" s="29" t="b">
        <f t="shared" si="24"/>
        <v>1</v>
      </c>
      <c r="N39" s="29" t="b">
        <f t="shared" si="24"/>
        <v>1</v>
      </c>
      <c r="O39" s="29" t="b">
        <f t="shared" si="24"/>
        <v>1</v>
      </c>
      <c r="P39" s="29" t="b">
        <f t="shared" si="24"/>
        <v>1</v>
      </c>
      <c r="Q39" s="29" t="b">
        <f t="shared" si="24"/>
        <v>1</v>
      </c>
      <c r="R39" s="29"/>
      <c r="S39" s="29"/>
      <c r="T39" s="28"/>
      <c r="U39" s="28"/>
      <c r="V39" s="2"/>
      <c r="W39" s="2"/>
    </row>
    <row r="40" spans="1:23" x14ac:dyDescent="0.25">
      <c r="A40" s="29"/>
      <c r="B40" s="29" t="b">
        <f>B15+B19=B23</f>
        <v>1</v>
      </c>
      <c r="C40" s="29" t="b">
        <f t="shared" ref="C40:Q40" si="25">C15+C19=C23</f>
        <v>1</v>
      </c>
      <c r="D40" s="29" t="b">
        <f t="shared" si="25"/>
        <v>1</v>
      </c>
      <c r="E40" s="29" t="b">
        <f t="shared" si="25"/>
        <v>1</v>
      </c>
      <c r="F40" s="29" t="b">
        <f t="shared" si="25"/>
        <v>1</v>
      </c>
      <c r="G40" s="29" t="b">
        <f t="shared" si="25"/>
        <v>1</v>
      </c>
      <c r="H40" s="29" t="b">
        <f t="shared" si="25"/>
        <v>1</v>
      </c>
      <c r="I40" s="29" t="b">
        <f t="shared" si="25"/>
        <v>1</v>
      </c>
      <c r="J40" s="29" t="b">
        <f t="shared" si="25"/>
        <v>1</v>
      </c>
      <c r="K40" s="29" t="b">
        <f t="shared" si="25"/>
        <v>1</v>
      </c>
      <c r="L40" s="29" t="b">
        <f t="shared" si="25"/>
        <v>1</v>
      </c>
      <c r="M40" s="29" t="b">
        <f t="shared" si="25"/>
        <v>1</v>
      </c>
      <c r="N40" s="29" t="b">
        <f t="shared" si="25"/>
        <v>1</v>
      </c>
      <c r="O40" s="29" t="b">
        <f t="shared" si="25"/>
        <v>1</v>
      </c>
      <c r="P40" s="29" t="b">
        <f t="shared" si="25"/>
        <v>1</v>
      </c>
      <c r="Q40" s="29" t="b">
        <f t="shared" si="25"/>
        <v>1</v>
      </c>
      <c r="R40" s="29"/>
      <c r="S40" s="29"/>
      <c r="T40" s="28"/>
      <c r="U40" s="28"/>
      <c r="V40" s="2"/>
      <c r="W40" s="2"/>
    </row>
    <row r="41" spans="1:23" x14ac:dyDescent="0.25">
      <c r="A41" s="30"/>
      <c r="B41" s="30" t="b">
        <f>B24+B27=B30</f>
        <v>1</v>
      </c>
      <c r="C41" s="30" t="b">
        <f t="shared" ref="C41:Q41" si="26">C24+C27=C30</f>
        <v>1</v>
      </c>
      <c r="D41" s="30" t="b">
        <f t="shared" si="26"/>
        <v>1</v>
      </c>
      <c r="E41" s="30" t="b">
        <f t="shared" si="26"/>
        <v>1</v>
      </c>
      <c r="F41" s="30" t="b">
        <f t="shared" si="26"/>
        <v>1</v>
      </c>
      <c r="G41" s="30" t="b">
        <f t="shared" si="26"/>
        <v>1</v>
      </c>
      <c r="H41" s="30" t="b">
        <f t="shared" si="26"/>
        <v>1</v>
      </c>
      <c r="I41" s="30" t="b">
        <f t="shared" si="26"/>
        <v>1</v>
      </c>
      <c r="J41" s="30" t="b">
        <f t="shared" si="26"/>
        <v>1</v>
      </c>
      <c r="K41" s="30" t="b">
        <f t="shared" si="26"/>
        <v>1</v>
      </c>
      <c r="L41" s="30" t="b">
        <f t="shared" si="26"/>
        <v>1</v>
      </c>
      <c r="M41" s="30" t="b">
        <f t="shared" si="26"/>
        <v>1</v>
      </c>
      <c r="N41" s="30" t="b">
        <f t="shared" si="26"/>
        <v>1</v>
      </c>
      <c r="O41" s="30" t="b">
        <f t="shared" si="26"/>
        <v>1</v>
      </c>
      <c r="P41" s="30" t="b">
        <f t="shared" si="26"/>
        <v>1</v>
      </c>
      <c r="Q41" s="30" t="b">
        <f t="shared" si="26"/>
        <v>1</v>
      </c>
      <c r="R41" s="30"/>
      <c r="S41" s="30"/>
      <c r="T41" s="2"/>
      <c r="U41" s="2"/>
      <c r="V41" s="2"/>
      <c r="W41" s="2"/>
    </row>
    <row r="42" spans="1:23" x14ac:dyDescent="0.25">
      <c r="A42" s="30"/>
      <c r="B42" s="30" t="b">
        <f>B28+B25=B31</f>
        <v>1</v>
      </c>
      <c r="C42" s="30" t="b">
        <f t="shared" ref="C42:Q42" si="27">C28+C25=C31</f>
        <v>1</v>
      </c>
      <c r="D42" s="30" t="b">
        <f t="shared" si="27"/>
        <v>1</v>
      </c>
      <c r="E42" s="30" t="b">
        <f t="shared" si="27"/>
        <v>1</v>
      </c>
      <c r="F42" s="30" t="b">
        <f t="shared" si="27"/>
        <v>1</v>
      </c>
      <c r="G42" s="30" t="b">
        <f t="shared" si="27"/>
        <v>1</v>
      </c>
      <c r="H42" s="30" t="b">
        <f t="shared" si="27"/>
        <v>1</v>
      </c>
      <c r="I42" s="30" t="b">
        <f t="shared" si="27"/>
        <v>1</v>
      </c>
      <c r="J42" s="30" t="b">
        <f t="shared" si="27"/>
        <v>1</v>
      </c>
      <c r="K42" s="30" t="b">
        <f t="shared" si="27"/>
        <v>1</v>
      </c>
      <c r="L42" s="30" t="b">
        <f>L28+L25=L31</f>
        <v>1</v>
      </c>
      <c r="M42" s="30" t="b">
        <f t="shared" si="27"/>
        <v>1</v>
      </c>
      <c r="N42" s="30" t="b">
        <f t="shared" si="27"/>
        <v>1</v>
      </c>
      <c r="O42" s="30" t="b">
        <f t="shared" si="27"/>
        <v>1</v>
      </c>
      <c r="P42" s="30" t="b">
        <f t="shared" si="27"/>
        <v>1</v>
      </c>
      <c r="Q42" s="30" t="b">
        <f t="shared" si="27"/>
        <v>1</v>
      </c>
      <c r="R42" s="30"/>
      <c r="S42" s="30"/>
      <c r="T42" s="2"/>
      <c r="U42" s="2"/>
      <c r="V42" s="2"/>
      <c r="W42" s="2"/>
    </row>
    <row r="43" spans="1:23" x14ac:dyDescent="0.25">
      <c r="A43" s="30"/>
      <c r="B43" s="30" t="b">
        <f>B26+B29=B32</f>
        <v>1</v>
      </c>
      <c r="C43" s="30" t="b">
        <f t="shared" ref="C43:Q43" si="28">C26+C29=C32</f>
        <v>1</v>
      </c>
      <c r="D43" s="30" t="b">
        <f t="shared" si="28"/>
        <v>1</v>
      </c>
      <c r="E43" s="30" t="b">
        <f t="shared" si="28"/>
        <v>1</v>
      </c>
      <c r="F43" s="30" t="b">
        <f t="shared" si="28"/>
        <v>1</v>
      </c>
      <c r="G43" s="30" t="b">
        <f t="shared" si="28"/>
        <v>1</v>
      </c>
      <c r="H43" s="30" t="b">
        <f t="shared" si="28"/>
        <v>1</v>
      </c>
      <c r="I43" s="30" t="b">
        <f t="shared" si="28"/>
        <v>1</v>
      </c>
      <c r="J43" s="30" t="b">
        <f t="shared" si="28"/>
        <v>1</v>
      </c>
      <c r="K43" s="30" t="b">
        <f t="shared" si="28"/>
        <v>1</v>
      </c>
      <c r="L43" s="30" t="b">
        <f t="shared" si="28"/>
        <v>1</v>
      </c>
      <c r="M43" s="30" t="b">
        <f t="shared" si="28"/>
        <v>1</v>
      </c>
      <c r="N43" s="30" t="b">
        <f t="shared" si="28"/>
        <v>1</v>
      </c>
      <c r="O43" s="30" t="b">
        <f t="shared" si="28"/>
        <v>1</v>
      </c>
      <c r="P43" s="30" t="b">
        <f t="shared" si="28"/>
        <v>1</v>
      </c>
      <c r="Q43" s="30" t="b">
        <f t="shared" si="28"/>
        <v>1</v>
      </c>
      <c r="R43" s="30"/>
      <c r="S43" s="30"/>
      <c r="T43" s="2"/>
      <c r="U43" s="2"/>
      <c r="V43" s="2"/>
      <c r="W43" s="2"/>
    </row>
    <row r="44" spans="1:23" x14ac:dyDescent="0.25">
      <c r="B44" s="13" t="b">
        <f>B20+B30=B33</f>
        <v>1</v>
      </c>
      <c r="C44" s="13" t="b">
        <f t="shared" ref="C44:Q44" si="29">C20+C30=C33</f>
        <v>1</v>
      </c>
      <c r="D44" s="13" t="b">
        <f t="shared" si="29"/>
        <v>1</v>
      </c>
      <c r="E44" s="13" t="b">
        <f t="shared" si="29"/>
        <v>1</v>
      </c>
      <c r="F44" s="13" t="b">
        <f t="shared" si="29"/>
        <v>1</v>
      </c>
      <c r="G44" s="13" t="b">
        <f t="shared" si="29"/>
        <v>1</v>
      </c>
      <c r="H44" s="13" t="b">
        <f t="shared" si="29"/>
        <v>1</v>
      </c>
      <c r="I44" s="13" t="b">
        <f t="shared" si="29"/>
        <v>1</v>
      </c>
      <c r="J44" s="13" t="b">
        <f t="shared" si="29"/>
        <v>1</v>
      </c>
      <c r="K44" s="13" t="b">
        <f t="shared" si="29"/>
        <v>1</v>
      </c>
      <c r="L44" s="13" t="b">
        <f t="shared" si="29"/>
        <v>1</v>
      </c>
      <c r="M44" s="13" t="b">
        <f t="shared" si="29"/>
        <v>1</v>
      </c>
      <c r="N44" s="13" t="b">
        <f t="shared" si="29"/>
        <v>1</v>
      </c>
      <c r="O44" s="13" t="b">
        <f t="shared" si="29"/>
        <v>1</v>
      </c>
      <c r="P44" s="13" t="b">
        <f t="shared" si="29"/>
        <v>1</v>
      </c>
      <c r="Q44" s="13" t="b">
        <f t="shared" si="29"/>
        <v>1</v>
      </c>
    </row>
  </sheetData>
  <customSheetViews>
    <customSheetView guid="{A8A5BDFE-16B2-40FE-8A28-1419092A9D18}" scale="70" showPageBreaks="1" fitToPage="1" printArea="1" view="pageBreakPreview">
      <selection activeCell="O7" sqref="O7"/>
      <pageMargins left="0.70866141732283472" right="0.70866141732283472" top="0.74803149606299213" bottom="0.74803149606299213" header="0.31496062992125984" footer="0.31496062992125984"/>
      <pageSetup paperSize="8" scale="62" orientation="landscape" r:id="rId1"/>
      <headerFooter>
        <oddHeader>&amp;LWojewództwo &amp;KFF0000Opolskie</oddHeader>
      </headerFooter>
    </customSheetView>
    <customSheetView guid="{B6C44C0D-54D9-45CE-9067-9F4D20DEBE8D}" scale="70" showPageBreaks="1" fitToPage="1" printArea="1" view="pageBreakPreview">
      <selection activeCell="P8" sqref="P8"/>
      <pageMargins left="0.70866141732283472" right="0.70866141732283472" top="0.74803149606299213" bottom="0.74803149606299213" header="0.31496062992125984" footer="0.31496062992125984"/>
      <pageSetup paperSize="8" scale="62" orientation="landscape" r:id="rId2"/>
      <headerFooter>
        <oddHeader>&amp;LWojewództwo &amp;KFF0000Opolskie</oddHeader>
      </headerFooter>
    </customSheetView>
  </customSheetViews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3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0"/>
  <sheetViews>
    <sheetView showGridLines="0" view="pageBreakPreview" zoomScale="80" zoomScaleNormal="80" zoomScaleSheetLayoutView="80" workbookViewId="0">
      <selection sqref="A1:A2"/>
    </sheetView>
  </sheetViews>
  <sheetFormatPr defaultColWidth="9.140625" defaultRowHeight="15" x14ac:dyDescent="0.25"/>
  <cols>
    <col min="1" max="1" width="5" style="39" customWidth="1"/>
    <col min="2" max="2" width="15.85546875" style="3" customWidth="1"/>
    <col min="3" max="3" width="12.140625" style="39" customWidth="1"/>
    <col min="4" max="4" width="18.42578125" style="3" customWidth="1"/>
    <col min="5" max="5" width="8.7109375" style="39" customWidth="1"/>
    <col min="6" max="6" width="52.7109375" style="39" customWidth="1"/>
    <col min="7" max="7" width="7.42578125" style="266" customWidth="1"/>
    <col min="8" max="8" width="7.7109375" style="3" customWidth="1"/>
    <col min="9" max="9" width="15.28515625" style="39" customWidth="1"/>
    <col min="10" max="10" width="13.85546875" style="4" customWidth="1"/>
    <col min="11" max="11" width="16.28515625" style="3" customWidth="1"/>
    <col min="12" max="12" width="15.7109375" style="3" customWidth="1"/>
    <col min="13" max="13" width="14" style="1" customWidth="1"/>
    <col min="14" max="19" width="6.7109375" style="3" customWidth="1"/>
    <col min="20" max="20" width="12.7109375" style="3" customWidth="1"/>
    <col min="21" max="21" width="13.5703125" style="3" customWidth="1"/>
    <col min="22" max="22" width="12.7109375" style="3" customWidth="1"/>
    <col min="23" max="25" width="6.7109375" style="3" customWidth="1"/>
    <col min="26" max="26" width="15.7109375" style="39" customWidth="1"/>
    <col min="27" max="28" width="15.7109375" style="1" customWidth="1"/>
    <col min="29" max="29" width="15.7109375" style="39" customWidth="1"/>
    <col min="30" max="16384" width="9.140625" style="3"/>
  </cols>
  <sheetData>
    <row r="1" spans="1:29" ht="20.100000000000001" customHeight="1" x14ac:dyDescent="0.25">
      <c r="A1" s="294" t="s">
        <v>4</v>
      </c>
      <c r="B1" s="294" t="s">
        <v>5</v>
      </c>
      <c r="C1" s="302" t="s">
        <v>43</v>
      </c>
      <c r="D1" s="298" t="s">
        <v>6</v>
      </c>
      <c r="E1" s="298" t="s">
        <v>32</v>
      </c>
      <c r="F1" s="298" t="s">
        <v>7</v>
      </c>
      <c r="G1" s="295" t="s">
        <v>26</v>
      </c>
      <c r="H1" s="294" t="s">
        <v>8</v>
      </c>
      <c r="I1" s="294" t="s">
        <v>23</v>
      </c>
      <c r="J1" s="295" t="s">
        <v>9</v>
      </c>
      <c r="K1" s="294" t="s">
        <v>16</v>
      </c>
      <c r="L1" s="298" t="s">
        <v>13</v>
      </c>
      <c r="M1" s="294" t="s">
        <v>11</v>
      </c>
      <c r="N1" s="296" t="s">
        <v>12</v>
      </c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1"/>
    </row>
    <row r="2" spans="1:29" ht="31.5" customHeight="1" x14ac:dyDescent="0.25">
      <c r="A2" s="294"/>
      <c r="B2" s="294"/>
      <c r="C2" s="303"/>
      <c r="D2" s="299"/>
      <c r="E2" s="299"/>
      <c r="F2" s="299"/>
      <c r="G2" s="295"/>
      <c r="H2" s="294"/>
      <c r="I2" s="294"/>
      <c r="J2" s="295"/>
      <c r="K2" s="294"/>
      <c r="L2" s="299"/>
      <c r="M2" s="294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3">
        <v>2029</v>
      </c>
      <c r="Y2" s="173">
        <v>2030</v>
      </c>
      <c r="Z2" s="1" t="s">
        <v>28</v>
      </c>
      <c r="AA2" s="1" t="s">
        <v>29</v>
      </c>
      <c r="AB2" s="1" t="s">
        <v>30</v>
      </c>
      <c r="AC2" s="40" t="s">
        <v>31</v>
      </c>
    </row>
    <row r="3" spans="1:29" s="186" customFormat="1" ht="30" customHeight="1" x14ac:dyDescent="0.25">
      <c r="A3" s="197" t="s">
        <v>98</v>
      </c>
      <c r="B3" s="181" t="s">
        <v>60</v>
      </c>
      <c r="C3" s="187" t="s">
        <v>62</v>
      </c>
      <c r="D3" s="182" t="s">
        <v>63</v>
      </c>
      <c r="E3" s="194">
        <v>1609</v>
      </c>
      <c r="F3" s="197" t="s">
        <v>65</v>
      </c>
      <c r="G3" s="197" t="s">
        <v>66</v>
      </c>
      <c r="H3" s="183">
        <v>1.335</v>
      </c>
      <c r="I3" s="271" t="s">
        <v>67</v>
      </c>
      <c r="J3" s="184">
        <v>5374889.6699999999</v>
      </c>
      <c r="K3" s="184">
        <f>ROUNDDOWN(J3*M3,2)</f>
        <v>5374889.6699999999</v>
      </c>
      <c r="L3" s="185">
        <f>J3-K3</f>
        <v>0</v>
      </c>
      <c r="M3" s="213">
        <v>1</v>
      </c>
      <c r="N3" s="184">
        <v>0</v>
      </c>
      <c r="O3" s="184">
        <v>0</v>
      </c>
      <c r="P3" s="184">
        <v>0</v>
      </c>
      <c r="Q3" s="184">
        <v>0</v>
      </c>
      <c r="R3" s="184">
        <v>0</v>
      </c>
      <c r="S3" s="184">
        <v>0</v>
      </c>
      <c r="T3" s="185">
        <v>5374889.6699999999</v>
      </c>
      <c r="U3" s="184">
        <v>0</v>
      </c>
      <c r="V3" s="184">
        <v>0</v>
      </c>
      <c r="W3" s="184">
        <v>0</v>
      </c>
      <c r="X3" s="184">
        <v>0</v>
      </c>
      <c r="Y3" s="184">
        <v>0</v>
      </c>
      <c r="Z3" s="209" t="b">
        <f>K3=SUM(N3:Y3)</f>
        <v>1</v>
      </c>
      <c r="AA3" s="211">
        <f t="shared" ref="AA3" si="0">ROUND(K3/J3,4)</f>
        <v>1</v>
      </c>
      <c r="AB3" s="212" t="b">
        <f t="shared" ref="AB3" si="1">AA3=M3</f>
        <v>1</v>
      </c>
      <c r="AC3" s="212" t="b">
        <f>J3=K3+L3</f>
        <v>1</v>
      </c>
    </row>
    <row r="4" spans="1:29" s="186" customFormat="1" ht="30" customHeight="1" x14ac:dyDescent="0.25">
      <c r="A4" s="197" t="s">
        <v>99</v>
      </c>
      <c r="B4" s="181" t="s">
        <v>61</v>
      </c>
      <c r="C4" s="187" t="s">
        <v>62</v>
      </c>
      <c r="D4" s="182" t="s">
        <v>64</v>
      </c>
      <c r="E4" s="194">
        <v>1611</v>
      </c>
      <c r="F4" s="197" t="s">
        <v>68</v>
      </c>
      <c r="G4" s="197" t="s">
        <v>66</v>
      </c>
      <c r="H4" s="183">
        <v>0.94062999999999997</v>
      </c>
      <c r="I4" s="271" t="s">
        <v>111</v>
      </c>
      <c r="J4" s="184">
        <v>3260818.56</v>
      </c>
      <c r="K4" s="184">
        <f t="shared" ref="K4:K18" si="2">ROUNDDOWN(J4*M4,2)</f>
        <v>1630409.28</v>
      </c>
      <c r="L4" s="185">
        <f t="shared" ref="L4:L18" si="3">J4-K4</f>
        <v>1630409.28</v>
      </c>
      <c r="M4" s="213">
        <v>0.5</v>
      </c>
      <c r="N4" s="184">
        <v>0</v>
      </c>
      <c r="O4" s="184">
        <v>0</v>
      </c>
      <c r="P4" s="184">
        <v>0</v>
      </c>
      <c r="Q4" s="184">
        <v>0</v>
      </c>
      <c r="R4" s="184">
        <v>0</v>
      </c>
      <c r="S4" s="184">
        <v>0</v>
      </c>
      <c r="T4" s="185">
        <v>625376.28</v>
      </c>
      <c r="U4" s="185">
        <f>K4-T4</f>
        <v>1005033</v>
      </c>
      <c r="V4" s="184">
        <v>0</v>
      </c>
      <c r="W4" s="184">
        <v>0</v>
      </c>
      <c r="X4" s="184">
        <v>0</v>
      </c>
      <c r="Y4" s="184">
        <v>0</v>
      </c>
      <c r="Z4" s="209" t="b">
        <f t="shared" ref="Z4:Z25" si="4">K4=SUM(N4:Y4)</f>
        <v>1</v>
      </c>
      <c r="AA4" s="211">
        <f t="shared" ref="AA4:AA24" si="5">ROUND(K4/J4,4)</f>
        <v>0.5</v>
      </c>
      <c r="AB4" s="212" t="b">
        <f t="shared" ref="AB4:AB21" si="6">AA4=M4</f>
        <v>1</v>
      </c>
      <c r="AC4" s="212" t="b">
        <f t="shared" ref="AC4:AC24" si="7">J4=K4+L4</f>
        <v>1</v>
      </c>
    </row>
    <row r="5" spans="1:29" ht="30" customHeight="1" x14ac:dyDescent="0.25">
      <c r="A5" s="189" t="s">
        <v>100</v>
      </c>
      <c r="B5" s="49" t="s">
        <v>48</v>
      </c>
      <c r="C5" s="188" t="s">
        <v>69</v>
      </c>
      <c r="D5" s="50" t="s">
        <v>70</v>
      </c>
      <c r="E5" s="195">
        <v>1607</v>
      </c>
      <c r="F5" s="189" t="s">
        <v>71</v>
      </c>
      <c r="G5" s="189" t="s">
        <v>72</v>
      </c>
      <c r="H5" s="51">
        <v>0.72599999999999998</v>
      </c>
      <c r="I5" s="272" t="s">
        <v>245</v>
      </c>
      <c r="J5" s="45">
        <v>5928746.5099999998</v>
      </c>
      <c r="K5" s="45">
        <f t="shared" si="2"/>
        <v>2964373.25</v>
      </c>
      <c r="L5" s="52">
        <f t="shared" si="3"/>
        <v>2964373.26</v>
      </c>
      <c r="M5" s="214">
        <v>0.5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201">
        <v>0</v>
      </c>
      <c r="T5" s="52">
        <v>0</v>
      </c>
      <c r="U5" s="52">
        <f>K5</f>
        <v>2964373.25</v>
      </c>
      <c r="V5" s="201">
        <v>0</v>
      </c>
      <c r="W5" s="45">
        <v>0</v>
      </c>
      <c r="X5" s="45">
        <v>0</v>
      </c>
      <c r="Y5" s="45">
        <v>0</v>
      </c>
      <c r="Z5" s="1" t="b">
        <f t="shared" si="4"/>
        <v>1</v>
      </c>
      <c r="AA5" s="41">
        <f t="shared" si="5"/>
        <v>0.5</v>
      </c>
      <c r="AB5" s="42" t="b">
        <f t="shared" si="6"/>
        <v>1</v>
      </c>
      <c r="AC5" s="42" t="b">
        <f t="shared" si="7"/>
        <v>1</v>
      </c>
    </row>
    <row r="6" spans="1:29" ht="30" customHeight="1" x14ac:dyDescent="0.25">
      <c r="A6" s="189" t="s">
        <v>101</v>
      </c>
      <c r="B6" s="49" t="s">
        <v>49</v>
      </c>
      <c r="C6" s="188" t="s">
        <v>69</v>
      </c>
      <c r="D6" s="50" t="s">
        <v>73</v>
      </c>
      <c r="E6" s="195">
        <v>1601</v>
      </c>
      <c r="F6" s="189" t="s">
        <v>233</v>
      </c>
      <c r="G6" s="189" t="s">
        <v>74</v>
      </c>
      <c r="H6" s="51">
        <v>0.69</v>
      </c>
      <c r="I6" s="272" t="s">
        <v>75</v>
      </c>
      <c r="J6" s="45">
        <v>4601189.13</v>
      </c>
      <c r="K6" s="45">
        <f t="shared" si="2"/>
        <v>2300594.56</v>
      </c>
      <c r="L6" s="52">
        <f t="shared" si="3"/>
        <v>2300594.5699999998</v>
      </c>
      <c r="M6" s="214">
        <v>0.5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201">
        <v>0</v>
      </c>
      <c r="T6" s="52">
        <v>0</v>
      </c>
      <c r="U6" s="52">
        <f t="shared" ref="U6:U15" si="8">K6</f>
        <v>2300594.56</v>
      </c>
      <c r="V6" s="201">
        <v>0</v>
      </c>
      <c r="W6" s="45">
        <v>0</v>
      </c>
      <c r="X6" s="45">
        <v>0</v>
      </c>
      <c r="Y6" s="45">
        <v>0</v>
      </c>
      <c r="Z6" s="1" t="b">
        <f t="shared" si="4"/>
        <v>1</v>
      </c>
      <c r="AA6" s="41">
        <f t="shared" si="5"/>
        <v>0.5</v>
      </c>
      <c r="AB6" s="42" t="b">
        <f t="shared" si="6"/>
        <v>1</v>
      </c>
      <c r="AC6" s="42" t="b">
        <f t="shared" si="7"/>
        <v>1</v>
      </c>
    </row>
    <row r="7" spans="1:29" ht="30" customHeight="1" x14ac:dyDescent="0.25">
      <c r="A7" s="189" t="s">
        <v>102</v>
      </c>
      <c r="B7" s="49" t="s">
        <v>50</v>
      </c>
      <c r="C7" s="188" t="s">
        <v>69</v>
      </c>
      <c r="D7" s="57" t="s">
        <v>63</v>
      </c>
      <c r="E7" s="196">
        <v>1609</v>
      </c>
      <c r="F7" s="224" t="s">
        <v>76</v>
      </c>
      <c r="G7" s="189" t="s">
        <v>66</v>
      </c>
      <c r="H7" s="51">
        <v>0.89800000000000002</v>
      </c>
      <c r="I7" s="272" t="s">
        <v>77</v>
      </c>
      <c r="J7" s="58">
        <v>4314739.3499999996</v>
      </c>
      <c r="K7" s="45">
        <f t="shared" si="2"/>
        <v>2157369.67</v>
      </c>
      <c r="L7" s="52">
        <f t="shared" si="3"/>
        <v>2157369.6799999997</v>
      </c>
      <c r="M7" s="214">
        <v>0.5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201">
        <v>0</v>
      </c>
      <c r="T7" s="52">
        <v>0</v>
      </c>
      <c r="U7" s="52">
        <f t="shared" si="8"/>
        <v>2157369.67</v>
      </c>
      <c r="V7" s="201">
        <v>0</v>
      </c>
      <c r="W7" s="45">
        <v>0</v>
      </c>
      <c r="X7" s="45">
        <v>0</v>
      </c>
      <c r="Y7" s="45">
        <v>0</v>
      </c>
      <c r="Z7" s="1" t="b">
        <f t="shared" si="4"/>
        <v>1</v>
      </c>
      <c r="AA7" s="41">
        <f t="shared" si="5"/>
        <v>0.5</v>
      </c>
      <c r="AB7" s="42" t="b">
        <f t="shared" si="6"/>
        <v>1</v>
      </c>
      <c r="AC7" s="42" t="b">
        <f t="shared" si="7"/>
        <v>1</v>
      </c>
    </row>
    <row r="8" spans="1:29" ht="40.5" customHeight="1" x14ac:dyDescent="0.25">
      <c r="A8" s="189" t="s">
        <v>103</v>
      </c>
      <c r="B8" s="49" t="s">
        <v>51</v>
      </c>
      <c r="C8" s="188" t="s">
        <v>69</v>
      </c>
      <c r="D8" s="50" t="s">
        <v>78</v>
      </c>
      <c r="E8" s="195">
        <v>1603</v>
      </c>
      <c r="F8" s="189" t="s">
        <v>79</v>
      </c>
      <c r="G8" s="189" t="s">
        <v>74</v>
      </c>
      <c r="H8" s="51">
        <v>0.78</v>
      </c>
      <c r="I8" s="272" t="s">
        <v>80</v>
      </c>
      <c r="J8" s="46">
        <v>3159540.61</v>
      </c>
      <c r="K8" s="45">
        <f t="shared" si="2"/>
        <v>1579770.3</v>
      </c>
      <c r="L8" s="52">
        <f t="shared" si="3"/>
        <v>1579770.3099999998</v>
      </c>
      <c r="M8" s="214">
        <v>0.5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201">
        <v>0</v>
      </c>
      <c r="T8" s="52">
        <v>0</v>
      </c>
      <c r="U8" s="52">
        <f t="shared" si="8"/>
        <v>1579770.3</v>
      </c>
      <c r="V8" s="201">
        <v>0</v>
      </c>
      <c r="W8" s="45">
        <v>0</v>
      </c>
      <c r="X8" s="45">
        <v>0</v>
      </c>
      <c r="Y8" s="45">
        <v>0</v>
      </c>
      <c r="Z8" s="1" t="b">
        <f t="shared" si="4"/>
        <v>1</v>
      </c>
      <c r="AA8" s="41">
        <f t="shared" si="5"/>
        <v>0.5</v>
      </c>
      <c r="AB8" s="42" t="b">
        <f t="shared" si="6"/>
        <v>1</v>
      </c>
      <c r="AC8" s="42" t="b">
        <f t="shared" si="7"/>
        <v>1</v>
      </c>
    </row>
    <row r="9" spans="1:29" ht="30" customHeight="1" x14ac:dyDescent="0.25">
      <c r="A9" s="189" t="s">
        <v>104</v>
      </c>
      <c r="B9" s="49" t="s">
        <v>52</v>
      </c>
      <c r="C9" s="188" t="s">
        <v>69</v>
      </c>
      <c r="D9" s="50" t="s">
        <v>81</v>
      </c>
      <c r="E9" s="195">
        <v>1608</v>
      </c>
      <c r="F9" s="189" t="s">
        <v>82</v>
      </c>
      <c r="G9" s="189" t="s">
        <v>74</v>
      </c>
      <c r="H9" s="51">
        <v>4.8070000000000004</v>
      </c>
      <c r="I9" s="272" t="s">
        <v>211</v>
      </c>
      <c r="J9" s="46">
        <v>2645964.7799999998</v>
      </c>
      <c r="K9" s="45">
        <f t="shared" si="2"/>
        <v>1322982.3899999999</v>
      </c>
      <c r="L9" s="52">
        <f t="shared" si="3"/>
        <v>1322982.3899999999</v>
      </c>
      <c r="M9" s="214">
        <v>0.5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201">
        <v>0</v>
      </c>
      <c r="T9" s="52">
        <v>0</v>
      </c>
      <c r="U9" s="52">
        <f t="shared" si="8"/>
        <v>1322982.3899999999</v>
      </c>
      <c r="V9" s="201">
        <v>0</v>
      </c>
      <c r="W9" s="45">
        <v>0</v>
      </c>
      <c r="X9" s="45">
        <v>0</v>
      </c>
      <c r="Y9" s="45">
        <v>0</v>
      </c>
      <c r="Z9" s="1" t="b">
        <f t="shared" si="4"/>
        <v>1</v>
      </c>
      <c r="AA9" s="41">
        <f t="shared" si="5"/>
        <v>0.5</v>
      </c>
      <c r="AB9" s="42" t="b">
        <f t="shared" si="6"/>
        <v>1</v>
      </c>
      <c r="AC9" s="42" t="b">
        <f t="shared" si="7"/>
        <v>1</v>
      </c>
    </row>
    <row r="10" spans="1:29" ht="38.25" customHeight="1" x14ac:dyDescent="0.25">
      <c r="A10" s="189" t="s">
        <v>105</v>
      </c>
      <c r="B10" s="49" t="s">
        <v>53</v>
      </c>
      <c r="C10" s="188" t="s">
        <v>69</v>
      </c>
      <c r="D10" s="50" t="s">
        <v>78</v>
      </c>
      <c r="E10" s="195">
        <v>1603</v>
      </c>
      <c r="F10" s="189" t="s">
        <v>84</v>
      </c>
      <c r="G10" s="189" t="s">
        <v>72</v>
      </c>
      <c r="H10" s="51">
        <v>1</v>
      </c>
      <c r="I10" s="272" t="s">
        <v>80</v>
      </c>
      <c r="J10" s="45">
        <v>2458209.2400000002</v>
      </c>
      <c r="K10" s="45">
        <f t="shared" si="2"/>
        <v>1229104.6200000001</v>
      </c>
      <c r="L10" s="52">
        <f t="shared" si="3"/>
        <v>1229104.6200000001</v>
      </c>
      <c r="M10" s="214">
        <v>0.5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201">
        <v>0</v>
      </c>
      <c r="T10" s="52">
        <v>0</v>
      </c>
      <c r="U10" s="52">
        <f t="shared" si="8"/>
        <v>1229104.6200000001</v>
      </c>
      <c r="V10" s="201">
        <v>0</v>
      </c>
      <c r="W10" s="45">
        <v>0</v>
      </c>
      <c r="X10" s="45">
        <v>0</v>
      </c>
      <c r="Y10" s="45">
        <v>0</v>
      </c>
      <c r="Z10" s="1" t="b">
        <f t="shared" si="4"/>
        <v>1</v>
      </c>
      <c r="AA10" s="41">
        <f t="shared" si="5"/>
        <v>0.5</v>
      </c>
      <c r="AB10" s="42" t="b">
        <f t="shared" si="6"/>
        <v>1</v>
      </c>
      <c r="AC10" s="42" t="b">
        <f t="shared" si="7"/>
        <v>1</v>
      </c>
    </row>
    <row r="11" spans="1:29" ht="30" customHeight="1" x14ac:dyDescent="0.25">
      <c r="A11" s="189" t="s">
        <v>106</v>
      </c>
      <c r="B11" s="49" t="s">
        <v>54</v>
      </c>
      <c r="C11" s="188" t="s">
        <v>69</v>
      </c>
      <c r="D11" s="57" t="s">
        <v>85</v>
      </c>
      <c r="E11" s="196">
        <v>1610</v>
      </c>
      <c r="F11" s="224" t="s">
        <v>237</v>
      </c>
      <c r="G11" s="189" t="s">
        <v>74</v>
      </c>
      <c r="H11" s="51">
        <v>1.0498700000000001</v>
      </c>
      <c r="I11" s="272" t="s">
        <v>86</v>
      </c>
      <c r="J11" s="58">
        <v>2371500</v>
      </c>
      <c r="K11" s="45">
        <f t="shared" si="2"/>
        <v>1185750</v>
      </c>
      <c r="L11" s="52">
        <f t="shared" si="3"/>
        <v>1185750</v>
      </c>
      <c r="M11" s="214">
        <v>0.5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201">
        <v>0</v>
      </c>
      <c r="T11" s="52">
        <v>0</v>
      </c>
      <c r="U11" s="52">
        <f t="shared" si="8"/>
        <v>1185750</v>
      </c>
      <c r="V11" s="201">
        <v>0</v>
      </c>
      <c r="W11" s="45">
        <v>0</v>
      </c>
      <c r="X11" s="45">
        <v>0</v>
      </c>
      <c r="Y11" s="45">
        <v>0</v>
      </c>
      <c r="Z11" s="1" t="b">
        <f t="shared" si="4"/>
        <v>1</v>
      </c>
      <c r="AA11" s="41">
        <f t="shared" si="5"/>
        <v>0.5</v>
      </c>
      <c r="AB11" s="42" t="b">
        <f t="shared" si="6"/>
        <v>1</v>
      </c>
      <c r="AC11" s="42" t="b">
        <f t="shared" si="7"/>
        <v>1</v>
      </c>
    </row>
    <row r="12" spans="1:29" ht="30" customHeight="1" x14ac:dyDescent="0.25">
      <c r="A12" s="189" t="s">
        <v>107</v>
      </c>
      <c r="B12" s="49" t="s">
        <v>55</v>
      </c>
      <c r="C12" s="188" t="s">
        <v>69</v>
      </c>
      <c r="D12" s="57" t="s">
        <v>87</v>
      </c>
      <c r="E12" s="196">
        <v>1606</v>
      </c>
      <c r="F12" s="224" t="s">
        <v>88</v>
      </c>
      <c r="G12" s="189" t="s">
        <v>74</v>
      </c>
      <c r="H12" s="51">
        <v>0.73699999999999999</v>
      </c>
      <c r="I12" s="272" t="s">
        <v>89</v>
      </c>
      <c r="J12" s="59">
        <v>499031.63</v>
      </c>
      <c r="K12" s="45">
        <f t="shared" si="2"/>
        <v>249515.81</v>
      </c>
      <c r="L12" s="52">
        <f t="shared" si="3"/>
        <v>249515.82</v>
      </c>
      <c r="M12" s="214">
        <v>0.5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201">
        <v>0</v>
      </c>
      <c r="T12" s="52">
        <v>0</v>
      </c>
      <c r="U12" s="52">
        <f t="shared" si="8"/>
        <v>249515.81</v>
      </c>
      <c r="V12" s="201">
        <v>0</v>
      </c>
      <c r="W12" s="45">
        <v>0</v>
      </c>
      <c r="X12" s="45">
        <v>0</v>
      </c>
      <c r="Y12" s="45">
        <v>0</v>
      </c>
      <c r="Z12" s="1" t="b">
        <f t="shared" si="4"/>
        <v>1</v>
      </c>
      <c r="AA12" s="41">
        <f t="shared" si="5"/>
        <v>0.5</v>
      </c>
      <c r="AB12" s="42" t="b">
        <f t="shared" si="6"/>
        <v>1</v>
      </c>
      <c r="AC12" s="42" t="b">
        <f t="shared" si="7"/>
        <v>1</v>
      </c>
    </row>
    <row r="13" spans="1:29" ht="30" customHeight="1" x14ac:dyDescent="0.25">
      <c r="A13" s="189" t="s">
        <v>108</v>
      </c>
      <c r="B13" s="49" t="s">
        <v>56</v>
      </c>
      <c r="C13" s="188" t="s">
        <v>69</v>
      </c>
      <c r="D13" s="50" t="s">
        <v>63</v>
      </c>
      <c r="E13" s="195">
        <v>1609</v>
      </c>
      <c r="F13" s="189" t="s">
        <v>90</v>
      </c>
      <c r="G13" s="189" t="s">
        <v>72</v>
      </c>
      <c r="H13" s="51">
        <v>0.90200000000000002</v>
      </c>
      <c r="I13" s="272" t="s">
        <v>77</v>
      </c>
      <c r="J13" s="46">
        <v>4465068.95</v>
      </c>
      <c r="K13" s="45">
        <f t="shared" si="2"/>
        <v>2232534.4700000002</v>
      </c>
      <c r="L13" s="52">
        <f t="shared" si="3"/>
        <v>2232534.48</v>
      </c>
      <c r="M13" s="214">
        <v>0.5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201">
        <v>0</v>
      </c>
      <c r="T13" s="52">
        <v>0</v>
      </c>
      <c r="U13" s="52">
        <f t="shared" si="8"/>
        <v>2232534.4700000002</v>
      </c>
      <c r="V13" s="201">
        <v>0</v>
      </c>
      <c r="W13" s="45">
        <v>0</v>
      </c>
      <c r="X13" s="45">
        <v>0</v>
      </c>
      <c r="Y13" s="45">
        <v>0</v>
      </c>
      <c r="Z13" s="1" t="b">
        <f t="shared" si="4"/>
        <v>1</v>
      </c>
      <c r="AA13" s="41">
        <f t="shared" si="5"/>
        <v>0.5</v>
      </c>
      <c r="AB13" s="42" t="b">
        <f t="shared" si="6"/>
        <v>1</v>
      </c>
      <c r="AC13" s="42" t="b">
        <f t="shared" si="7"/>
        <v>1</v>
      </c>
    </row>
    <row r="14" spans="1:29" ht="30" customHeight="1" x14ac:dyDescent="0.25">
      <c r="A14" s="189" t="s">
        <v>109</v>
      </c>
      <c r="B14" s="49" t="s">
        <v>57</v>
      </c>
      <c r="C14" s="188" t="s">
        <v>69</v>
      </c>
      <c r="D14" s="57" t="s">
        <v>85</v>
      </c>
      <c r="E14" s="196">
        <v>1610</v>
      </c>
      <c r="F14" s="225" t="s">
        <v>112</v>
      </c>
      <c r="G14" s="189" t="s">
        <v>66</v>
      </c>
      <c r="H14" s="51">
        <v>0.96930000000000005</v>
      </c>
      <c r="I14" s="272" t="s">
        <v>91</v>
      </c>
      <c r="J14" s="59">
        <v>2771500</v>
      </c>
      <c r="K14" s="45">
        <f t="shared" si="2"/>
        <v>1385750</v>
      </c>
      <c r="L14" s="52">
        <f t="shared" si="3"/>
        <v>1385750</v>
      </c>
      <c r="M14" s="214">
        <v>0.5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201">
        <v>0</v>
      </c>
      <c r="T14" s="52">
        <v>0</v>
      </c>
      <c r="U14" s="52">
        <f t="shared" si="8"/>
        <v>1385750</v>
      </c>
      <c r="V14" s="201">
        <v>0</v>
      </c>
      <c r="W14" s="45">
        <v>0</v>
      </c>
      <c r="X14" s="45">
        <v>0</v>
      </c>
      <c r="Y14" s="45">
        <v>0</v>
      </c>
      <c r="Z14" s="1" t="b">
        <f t="shared" si="4"/>
        <v>1</v>
      </c>
      <c r="AA14" s="41">
        <f t="shared" si="5"/>
        <v>0.5</v>
      </c>
      <c r="AB14" s="42" t="b">
        <f t="shared" si="6"/>
        <v>1</v>
      </c>
      <c r="AC14" s="42" t="b">
        <f t="shared" si="7"/>
        <v>1</v>
      </c>
    </row>
    <row r="15" spans="1:29" ht="30" customHeight="1" x14ac:dyDescent="0.25">
      <c r="A15" s="189" t="s">
        <v>110</v>
      </c>
      <c r="B15" s="49" t="s">
        <v>58</v>
      </c>
      <c r="C15" s="188" t="s">
        <v>69</v>
      </c>
      <c r="D15" s="50" t="s">
        <v>92</v>
      </c>
      <c r="E15" s="195">
        <v>1604</v>
      </c>
      <c r="F15" s="189" t="s">
        <v>93</v>
      </c>
      <c r="G15" s="189" t="s">
        <v>72</v>
      </c>
      <c r="H15" s="51">
        <v>0.30499999999999999</v>
      </c>
      <c r="I15" s="272" t="s">
        <v>239</v>
      </c>
      <c r="J15" s="46">
        <v>2175067.2599999998</v>
      </c>
      <c r="K15" s="45">
        <f t="shared" si="2"/>
        <v>1087533.6299999999</v>
      </c>
      <c r="L15" s="52">
        <f t="shared" si="3"/>
        <v>1087533.6299999999</v>
      </c>
      <c r="M15" s="214">
        <v>0.5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201">
        <v>0</v>
      </c>
      <c r="T15" s="52">
        <v>0</v>
      </c>
      <c r="U15" s="52">
        <f t="shared" si="8"/>
        <v>1087533.6299999999</v>
      </c>
      <c r="V15" s="201">
        <v>0</v>
      </c>
      <c r="W15" s="45">
        <v>0</v>
      </c>
      <c r="X15" s="45">
        <v>0</v>
      </c>
      <c r="Y15" s="45">
        <v>0</v>
      </c>
      <c r="Z15" s="1" t="b">
        <f t="shared" si="4"/>
        <v>1</v>
      </c>
      <c r="AA15" s="41">
        <f t="shared" si="5"/>
        <v>0.5</v>
      </c>
      <c r="AB15" s="42" t="b">
        <f t="shared" si="6"/>
        <v>1</v>
      </c>
      <c r="AC15" s="42" t="b">
        <f t="shared" si="7"/>
        <v>1</v>
      </c>
    </row>
    <row r="16" spans="1:29" s="186" customFormat="1" ht="30" customHeight="1" x14ac:dyDescent="0.25">
      <c r="A16" s="197">
        <v>14</v>
      </c>
      <c r="B16" s="181" t="s">
        <v>59</v>
      </c>
      <c r="C16" s="187" t="s">
        <v>94</v>
      </c>
      <c r="D16" s="198" t="s">
        <v>95</v>
      </c>
      <c r="E16" s="199">
        <v>1602</v>
      </c>
      <c r="F16" s="226" t="s">
        <v>96</v>
      </c>
      <c r="G16" s="197" t="s">
        <v>72</v>
      </c>
      <c r="H16" s="183">
        <v>1.635</v>
      </c>
      <c r="I16" s="271" t="s">
        <v>97</v>
      </c>
      <c r="J16" s="200">
        <v>8013585</v>
      </c>
      <c r="K16" s="184">
        <f t="shared" si="2"/>
        <v>4006792.5</v>
      </c>
      <c r="L16" s="185">
        <f t="shared" si="3"/>
        <v>4006792.5</v>
      </c>
      <c r="M16" s="213">
        <v>0.5</v>
      </c>
      <c r="N16" s="184">
        <v>0</v>
      </c>
      <c r="O16" s="184">
        <v>0</v>
      </c>
      <c r="P16" s="184">
        <v>0</v>
      </c>
      <c r="Q16" s="184">
        <v>0</v>
      </c>
      <c r="R16" s="184">
        <v>0</v>
      </c>
      <c r="S16" s="202">
        <v>0</v>
      </c>
      <c r="T16" s="185">
        <v>0</v>
      </c>
      <c r="U16" s="185">
        <v>1956396.25</v>
      </c>
      <c r="V16" s="185">
        <f>K16-U16</f>
        <v>2050396.25</v>
      </c>
      <c r="W16" s="184">
        <v>0</v>
      </c>
      <c r="X16" s="184">
        <v>0</v>
      </c>
      <c r="Y16" s="184">
        <v>0</v>
      </c>
      <c r="Z16" s="209" t="b">
        <f t="shared" si="4"/>
        <v>1</v>
      </c>
      <c r="AA16" s="211">
        <f t="shared" si="5"/>
        <v>0.5</v>
      </c>
      <c r="AB16" s="212" t="b">
        <f t="shared" si="6"/>
        <v>1</v>
      </c>
      <c r="AC16" s="212" t="b">
        <f t="shared" si="7"/>
        <v>1</v>
      </c>
    </row>
    <row r="17" spans="1:29" s="186" customFormat="1" ht="30" customHeight="1" x14ac:dyDescent="0.25">
      <c r="A17" s="197">
        <v>15</v>
      </c>
      <c r="B17" s="181" t="s">
        <v>113</v>
      </c>
      <c r="C17" s="187" t="s">
        <v>94</v>
      </c>
      <c r="D17" s="198" t="s">
        <v>73</v>
      </c>
      <c r="E17" s="199">
        <v>1601</v>
      </c>
      <c r="F17" s="226" t="s">
        <v>116</v>
      </c>
      <c r="G17" s="197" t="s">
        <v>72</v>
      </c>
      <c r="H17" s="183">
        <v>1.3149999999999999</v>
      </c>
      <c r="I17" s="271" t="s">
        <v>117</v>
      </c>
      <c r="J17" s="200">
        <v>12836432.199999999</v>
      </c>
      <c r="K17" s="184">
        <f t="shared" si="2"/>
        <v>6418216.0999999996</v>
      </c>
      <c r="L17" s="185">
        <f t="shared" si="3"/>
        <v>6418216.0999999996</v>
      </c>
      <c r="M17" s="213">
        <v>0.5</v>
      </c>
      <c r="N17" s="184">
        <v>0</v>
      </c>
      <c r="O17" s="184">
        <v>0</v>
      </c>
      <c r="P17" s="184">
        <v>0</v>
      </c>
      <c r="Q17" s="184">
        <v>0</v>
      </c>
      <c r="R17" s="184">
        <v>0</v>
      </c>
      <c r="S17" s="202">
        <v>0</v>
      </c>
      <c r="T17" s="185">
        <v>0</v>
      </c>
      <c r="U17" s="185">
        <v>3210608.05</v>
      </c>
      <c r="V17" s="185">
        <f>K17-U17</f>
        <v>3207608.05</v>
      </c>
      <c r="W17" s="184">
        <v>0</v>
      </c>
      <c r="X17" s="184">
        <v>0</v>
      </c>
      <c r="Y17" s="184">
        <v>0</v>
      </c>
      <c r="Z17" s="209" t="b">
        <f t="shared" ref="Z17:Z18" si="9">K17=SUM(N17:Y17)</f>
        <v>1</v>
      </c>
      <c r="AA17" s="211">
        <f t="shared" ref="AA17:AA19" si="10">ROUND(K17/J17,4)</f>
        <v>0.5</v>
      </c>
      <c r="AB17" s="212" t="b">
        <f t="shared" ref="AB17:AB19" si="11">AA17=M17</f>
        <v>1</v>
      </c>
      <c r="AC17" s="212" t="b">
        <f t="shared" ref="AC17:AC19" si="12">J17=K17+L17</f>
        <v>1</v>
      </c>
    </row>
    <row r="18" spans="1:29" s="186" customFormat="1" ht="30" customHeight="1" x14ac:dyDescent="0.25">
      <c r="A18" s="197">
        <v>16</v>
      </c>
      <c r="B18" s="181" t="s">
        <v>114</v>
      </c>
      <c r="C18" s="187" t="s">
        <v>94</v>
      </c>
      <c r="D18" s="198" t="s">
        <v>64</v>
      </c>
      <c r="E18" s="199">
        <v>1611</v>
      </c>
      <c r="F18" s="226" t="s">
        <v>234</v>
      </c>
      <c r="G18" s="197" t="s">
        <v>72</v>
      </c>
      <c r="H18" s="183">
        <v>0.436</v>
      </c>
      <c r="I18" s="271" t="s">
        <v>118</v>
      </c>
      <c r="J18" s="200">
        <v>1860067.67</v>
      </c>
      <c r="K18" s="184">
        <f t="shared" si="2"/>
        <v>930033.83</v>
      </c>
      <c r="L18" s="185">
        <f t="shared" si="3"/>
        <v>930033.84</v>
      </c>
      <c r="M18" s="213">
        <v>0.5</v>
      </c>
      <c r="N18" s="184">
        <v>0</v>
      </c>
      <c r="O18" s="184">
        <v>0</v>
      </c>
      <c r="P18" s="184">
        <v>0</v>
      </c>
      <c r="Q18" s="184">
        <v>0</v>
      </c>
      <c r="R18" s="184">
        <v>0</v>
      </c>
      <c r="S18" s="202">
        <v>0</v>
      </c>
      <c r="T18" s="185">
        <v>0</v>
      </c>
      <c r="U18" s="185">
        <v>593968.16</v>
      </c>
      <c r="V18" s="185">
        <f>K18-U18</f>
        <v>336065.66999999993</v>
      </c>
      <c r="W18" s="184">
        <v>0</v>
      </c>
      <c r="X18" s="184">
        <v>0</v>
      </c>
      <c r="Y18" s="184">
        <v>0</v>
      </c>
      <c r="Z18" s="209" t="b">
        <f t="shared" si="9"/>
        <v>1</v>
      </c>
      <c r="AA18" s="211">
        <f t="shared" si="10"/>
        <v>0.5</v>
      </c>
      <c r="AB18" s="212" t="b">
        <f t="shared" si="11"/>
        <v>1</v>
      </c>
      <c r="AC18" s="212" t="b">
        <f t="shared" si="12"/>
        <v>1</v>
      </c>
    </row>
    <row r="19" spans="1:29" ht="58.5" customHeight="1" x14ac:dyDescent="0.25">
      <c r="A19" s="189">
        <v>17</v>
      </c>
      <c r="B19" s="49" t="s">
        <v>115</v>
      </c>
      <c r="C19" s="188" t="s">
        <v>69</v>
      </c>
      <c r="D19" s="50" t="s">
        <v>92</v>
      </c>
      <c r="E19" s="195">
        <v>1604</v>
      </c>
      <c r="F19" s="189" t="s">
        <v>119</v>
      </c>
      <c r="G19" s="189" t="s">
        <v>72</v>
      </c>
      <c r="H19" s="51">
        <v>0.192</v>
      </c>
      <c r="I19" s="272" t="s">
        <v>91</v>
      </c>
      <c r="J19" s="46">
        <v>2244604.2799999998</v>
      </c>
      <c r="K19" s="45">
        <f>ROUNDDOWN(J19*M19,2)</f>
        <v>1122302.1399999999</v>
      </c>
      <c r="L19" s="52">
        <f t="shared" ref="L19:L21" si="13">J19-K19</f>
        <v>1122302.1399999999</v>
      </c>
      <c r="M19" s="214">
        <v>0.5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201">
        <v>0</v>
      </c>
      <c r="T19" s="52">
        <v>0</v>
      </c>
      <c r="U19" s="52">
        <f>K19</f>
        <v>1122302.1399999999</v>
      </c>
      <c r="V19" s="201">
        <v>0</v>
      </c>
      <c r="W19" s="45">
        <v>0</v>
      </c>
      <c r="X19" s="45">
        <v>0</v>
      </c>
      <c r="Y19" s="45">
        <v>0</v>
      </c>
      <c r="Z19" s="1" t="b">
        <f t="shared" ref="Z19" si="14">K19=SUM(N19:Y19)</f>
        <v>1</v>
      </c>
      <c r="AA19" s="41">
        <f t="shared" si="10"/>
        <v>0.5</v>
      </c>
      <c r="AB19" s="42" t="b">
        <f t="shared" si="11"/>
        <v>1</v>
      </c>
      <c r="AC19" s="42" t="b">
        <f t="shared" si="12"/>
        <v>1</v>
      </c>
    </row>
    <row r="20" spans="1:29" s="186" customFormat="1" ht="36.75" customHeight="1" x14ac:dyDescent="0.25">
      <c r="A20" s="189">
        <v>18</v>
      </c>
      <c r="B20" s="203" t="s">
        <v>241</v>
      </c>
      <c r="C20" s="188" t="s">
        <v>69</v>
      </c>
      <c r="D20" s="204" t="s">
        <v>95</v>
      </c>
      <c r="E20" s="195">
        <v>1602</v>
      </c>
      <c r="F20" s="189" t="s">
        <v>120</v>
      </c>
      <c r="G20" s="189" t="s">
        <v>74</v>
      </c>
      <c r="H20" s="56">
        <v>0.999</v>
      </c>
      <c r="I20" s="272" t="s">
        <v>83</v>
      </c>
      <c r="J20" s="53">
        <v>1444476</v>
      </c>
      <c r="K20" s="54">
        <f t="shared" ref="K20:K21" si="15">ROUNDDOWN(J20*M20,2)</f>
        <v>722238</v>
      </c>
      <c r="L20" s="55">
        <f t="shared" si="13"/>
        <v>722238</v>
      </c>
      <c r="M20" s="214">
        <v>0.5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201">
        <v>0</v>
      </c>
      <c r="T20" s="52">
        <v>0</v>
      </c>
      <c r="U20" s="52">
        <f>K20</f>
        <v>722238</v>
      </c>
      <c r="V20" s="201">
        <v>0</v>
      </c>
      <c r="W20" s="45">
        <v>0</v>
      </c>
      <c r="X20" s="45">
        <v>0</v>
      </c>
      <c r="Y20" s="45">
        <v>0</v>
      </c>
      <c r="Z20" s="1" t="b">
        <f t="shared" ref="Z20" si="16">K20=SUM(N20:Y20)</f>
        <v>1</v>
      </c>
      <c r="AA20" s="41">
        <f t="shared" ref="AA20" si="17">ROUND(K20/J20,4)</f>
        <v>0.5</v>
      </c>
      <c r="AB20" s="42" t="b">
        <f t="shared" ref="AB20" si="18">AA20=M20</f>
        <v>1</v>
      </c>
      <c r="AC20" s="42" t="b">
        <f t="shared" ref="AC20" si="19">J20=K20+L20</f>
        <v>1</v>
      </c>
    </row>
    <row r="21" spans="1:29" s="249" customFormat="1" ht="48" customHeight="1" x14ac:dyDescent="0.2">
      <c r="A21" s="189">
        <v>19</v>
      </c>
      <c r="B21" s="203" t="s">
        <v>242</v>
      </c>
      <c r="C21" s="189" t="s">
        <v>69</v>
      </c>
      <c r="D21" s="204" t="s">
        <v>121</v>
      </c>
      <c r="E21" s="195">
        <v>1605</v>
      </c>
      <c r="F21" s="189" t="s">
        <v>122</v>
      </c>
      <c r="G21" s="189" t="s">
        <v>72</v>
      </c>
      <c r="H21" s="56">
        <v>0.745</v>
      </c>
      <c r="I21" s="272" t="s">
        <v>123</v>
      </c>
      <c r="J21" s="53">
        <v>2892116.61</v>
      </c>
      <c r="K21" s="54">
        <f t="shared" si="15"/>
        <v>1446058.3</v>
      </c>
      <c r="L21" s="55">
        <f t="shared" si="13"/>
        <v>1446058.3099999998</v>
      </c>
      <c r="M21" s="214">
        <v>0.5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201">
        <v>0</v>
      </c>
      <c r="T21" s="52">
        <v>0</v>
      </c>
      <c r="U21" s="52">
        <f>K21</f>
        <v>1446058.3</v>
      </c>
      <c r="V21" s="201">
        <v>0</v>
      </c>
      <c r="W21" s="45">
        <v>0</v>
      </c>
      <c r="X21" s="45">
        <v>0</v>
      </c>
      <c r="Y21" s="45">
        <v>0</v>
      </c>
      <c r="Z21" s="232" t="b">
        <f t="shared" si="4"/>
        <v>1</v>
      </c>
      <c r="AA21" s="41">
        <f t="shared" si="5"/>
        <v>0.5</v>
      </c>
      <c r="AB21" s="259" t="b">
        <f t="shared" si="6"/>
        <v>1</v>
      </c>
      <c r="AC21" s="259" t="b">
        <f t="shared" si="7"/>
        <v>1</v>
      </c>
    </row>
    <row r="22" spans="1:29" ht="20.100000000000001" customHeight="1" x14ac:dyDescent="0.25">
      <c r="A22" s="301" t="s">
        <v>44</v>
      </c>
      <c r="B22" s="301"/>
      <c r="C22" s="301"/>
      <c r="D22" s="301"/>
      <c r="E22" s="301"/>
      <c r="F22" s="301"/>
      <c r="G22" s="301"/>
      <c r="H22" s="60">
        <f>SUM(H3:H21)</f>
        <v>20.4618</v>
      </c>
      <c r="I22" s="61" t="s">
        <v>14</v>
      </c>
      <c r="J22" s="62">
        <f>SUM(J3:J21)</f>
        <v>73317547.450000003</v>
      </c>
      <c r="K22" s="62">
        <f>SUM(K3:K21)</f>
        <v>39346218.519999996</v>
      </c>
      <c r="L22" s="62">
        <f>SUM(L3:L21)</f>
        <v>33971328.93</v>
      </c>
      <c r="M22" s="64" t="s">
        <v>14</v>
      </c>
      <c r="N22" s="63">
        <f t="shared" ref="N22:Y22" si="20">SUM(N3:N21)</f>
        <v>0</v>
      </c>
      <c r="O22" s="63">
        <f t="shared" si="20"/>
        <v>0</v>
      </c>
      <c r="P22" s="65">
        <f t="shared" si="20"/>
        <v>0</v>
      </c>
      <c r="Q22" s="65">
        <f t="shared" si="20"/>
        <v>0</v>
      </c>
      <c r="R22" s="65">
        <f t="shared" si="20"/>
        <v>0</v>
      </c>
      <c r="S22" s="65">
        <f t="shared" si="20"/>
        <v>0</v>
      </c>
      <c r="T22" s="65">
        <f t="shared" si="20"/>
        <v>6000265.9500000002</v>
      </c>
      <c r="U22" s="65">
        <f t="shared" si="20"/>
        <v>27751882.600000005</v>
      </c>
      <c r="V22" s="65">
        <f t="shared" si="20"/>
        <v>5594069.9699999997</v>
      </c>
      <c r="W22" s="65">
        <f t="shared" si="20"/>
        <v>0</v>
      </c>
      <c r="X22" s="65">
        <f t="shared" si="20"/>
        <v>0</v>
      </c>
      <c r="Y22" s="65">
        <f t="shared" si="20"/>
        <v>0</v>
      </c>
      <c r="Z22" s="1" t="b">
        <f t="shared" si="4"/>
        <v>1</v>
      </c>
      <c r="AA22" s="41">
        <f t="shared" si="5"/>
        <v>0.53669999999999995</v>
      </c>
      <c r="AB22" s="42" t="s">
        <v>14</v>
      </c>
      <c r="AC22" s="42" t="b">
        <f t="shared" si="7"/>
        <v>1</v>
      </c>
    </row>
    <row r="23" spans="1:29" ht="20.100000000000001" customHeight="1" x14ac:dyDescent="0.25">
      <c r="A23" s="300" t="s">
        <v>37</v>
      </c>
      <c r="B23" s="300"/>
      <c r="C23" s="300"/>
      <c r="D23" s="300"/>
      <c r="E23" s="300"/>
      <c r="F23" s="300"/>
      <c r="G23" s="300"/>
      <c r="H23" s="66">
        <f>SUMIF($C$3:$C$21,"K",H3:H21)</f>
        <v>2.27563</v>
      </c>
      <c r="I23" s="267" t="s">
        <v>14</v>
      </c>
      <c r="J23" s="67">
        <f>SUMIF($C$3:$C$21,"K",J3:J21)</f>
        <v>8635708.2300000004</v>
      </c>
      <c r="K23" s="67">
        <f>SUMIF($C$3:$C$21,"K",K3:K21)</f>
        <v>7005298.9500000002</v>
      </c>
      <c r="L23" s="67">
        <f>SUMIF($C$3:$C$21,"K",L3:L21)</f>
        <v>1630409.28</v>
      </c>
      <c r="M23" s="69" t="s">
        <v>14</v>
      </c>
      <c r="N23" s="68">
        <f t="shared" ref="N23:Y23" si="21">SUMIF($C$3:$C$21,"K",N3:N21)</f>
        <v>0</v>
      </c>
      <c r="O23" s="68">
        <f t="shared" si="21"/>
        <v>0</v>
      </c>
      <c r="P23" s="70">
        <f t="shared" si="21"/>
        <v>0</v>
      </c>
      <c r="Q23" s="70">
        <f t="shared" si="21"/>
        <v>0</v>
      </c>
      <c r="R23" s="70">
        <f t="shared" si="21"/>
        <v>0</v>
      </c>
      <c r="S23" s="70">
        <f t="shared" si="21"/>
        <v>0</v>
      </c>
      <c r="T23" s="70">
        <f t="shared" si="21"/>
        <v>6000265.9500000002</v>
      </c>
      <c r="U23" s="70">
        <f t="shared" si="21"/>
        <v>1005033</v>
      </c>
      <c r="V23" s="70">
        <f t="shared" si="21"/>
        <v>0</v>
      </c>
      <c r="W23" s="70">
        <f t="shared" si="21"/>
        <v>0</v>
      </c>
      <c r="X23" s="70">
        <f t="shared" si="21"/>
        <v>0</v>
      </c>
      <c r="Y23" s="70">
        <f t="shared" si="21"/>
        <v>0</v>
      </c>
      <c r="Z23" s="1" t="b">
        <f t="shared" si="4"/>
        <v>1</v>
      </c>
      <c r="AA23" s="41">
        <f t="shared" ref="AA23" si="22">ROUND(K23/J23,4)</f>
        <v>0.81120000000000003</v>
      </c>
      <c r="AB23" s="42" t="s">
        <v>14</v>
      </c>
      <c r="AC23" s="42" t="b">
        <f t="shared" ref="AC23" si="23">J23=K23+L23</f>
        <v>1</v>
      </c>
    </row>
    <row r="24" spans="1:29" ht="20.100000000000001" customHeight="1" x14ac:dyDescent="0.25">
      <c r="A24" s="301" t="s">
        <v>38</v>
      </c>
      <c r="B24" s="301"/>
      <c r="C24" s="301"/>
      <c r="D24" s="301"/>
      <c r="E24" s="301"/>
      <c r="F24" s="301"/>
      <c r="G24" s="301"/>
      <c r="H24" s="60">
        <f>SUMIF($C$3:$C$21,"N",H3:H21)</f>
        <v>14.80017</v>
      </c>
      <c r="I24" s="61" t="s">
        <v>14</v>
      </c>
      <c r="J24" s="62">
        <f>SUMIF($C$3:$C$21,"N",J3:J21)</f>
        <v>41971754.350000001</v>
      </c>
      <c r="K24" s="62">
        <f>SUMIF($C$3:$C$21,"N",K3:K21)</f>
        <v>20985877.140000004</v>
      </c>
      <c r="L24" s="62">
        <f>SUMIF($C$3:$C$21,"N",L3:L21)</f>
        <v>20985877.210000001</v>
      </c>
      <c r="M24" s="64" t="s">
        <v>14</v>
      </c>
      <c r="N24" s="63">
        <f t="shared" ref="N24:Y24" si="24">SUMIF($C$3:$C$21,"N",N3:N21)</f>
        <v>0</v>
      </c>
      <c r="O24" s="63">
        <f t="shared" si="24"/>
        <v>0</v>
      </c>
      <c r="P24" s="65">
        <f t="shared" si="24"/>
        <v>0</v>
      </c>
      <c r="Q24" s="65">
        <f t="shared" si="24"/>
        <v>0</v>
      </c>
      <c r="R24" s="65">
        <f t="shared" si="24"/>
        <v>0</v>
      </c>
      <c r="S24" s="65">
        <f t="shared" si="24"/>
        <v>0</v>
      </c>
      <c r="T24" s="65">
        <f t="shared" si="24"/>
        <v>0</v>
      </c>
      <c r="U24" s="65">
        <f t="shared" si="24"/>
        <v>20985877.140000004</v>
      </c>
      <c r="V24" s="65">
        <f t="shared" si="24"/>
        <v>0</v>
      </c>
      <c r="W24" s="65">
        <f t="shared" si="24"/>
        <v>0</v>
      </c>
      <c r="X24" s="65">
        <f t="shared" si="24"/>
        <v>0</v>
      </c>
      <c r="Y24" s="65">
        <f t="shared" si="24"/>
        <v>0</v>
      </c>
      <c r="Z24" s="1" t="b">
        <f t="shared" si="4"/>
        <v>1</v>
      </c>
      <c r="AA24" s="41">
        <f t="shared" si="5"/>
        <v>0.5</v>
      </c>
      <c r="AB24" s="42" t="s">
        <v>14</v>
      </c>
      <c r="AC24" s="42" t="b">
        <f t="shared" si="7"/>
        <v>1</v>
      </c>
    </row>
    <row r="25" spans="1:29" ht="20.100000000000001" customHeight="1" x14ac:dyDescent="0.25">
      <c r="A25" s="300" t="s">
        <v>39</v>
      </c>
      <c r="B25" s="300"/>
      <c r="C25" s="300"/>
      <c r="D25" s="300"/>
      <c r="E25" s="300"/>
      <c r="F25" s="300"/>
      <c r="G25" s="300"/>
      <c r="H25" s="66">
        <f>SUMIF($C$3:$C$21,"W",H3:H21)</f>
        <v>3.3860000000000001</v>
      </c>
      <c r="I25" s="267" t="s">
        <v>14</v>
      </c>
      <c r="J25" s="67">
        <f>SUMIF($C$3:$C$21,"W",J3:J21)</f>
        <v>22710084.869999997</v>
      </c>
      <c r="K25" s="68">
        <f>SUMIF($C$3:$C$21,"W",K3:K21)</f>
        <v>11355042.43</v>
      </c>
      <c r="L25" s="68">
        <f>SUMIF($C$3:$C$21,"W",L3:L21)</f>
        <v>11355042.439999999</v>
      </c>
      <c r="M25" s="69" t="s">
        <v>14</v>
      </c>
      <c r="N25" s="68">
        <f t="shared" ref="N25:Y25" si="25">SUMIF($C$3:$C$21,"W",N3:N21)</f>
        <v>0</v>
      </c>
      <c r="O25" s="68">
        <f t="shared" si="25"/>
        <v>0</v>
      </c>
      <c r="P25" s="70">
        <f t="shared" si="25"/>
        <v>0</v>
      </c>
      <c r="Q25" s="70">
        <f t="shared" si="25"/>
        <v>0</v>
      </c>
      <c r="R25" s="70">
        <f t="shared" si="25"/>
        <v>0</v>
      </c>
      <c r="S25" s="70">
        <f t="shared" si="25"/>
        <v>0</v>
      </c>
      <c r="T25" s="70">
        <f t="shared" si="25"/>
        <v>0</v>
      </c>
      <c r="U25" s="70">
        <f t="shared" si="25"/>
        <v>5760972.46</v>
      </c>
      <c r="V25" s="70">
        <f t="shared" si="25"/>
        <v>5594069.9699999997</v>
      </c>
      <c r="W25" s="70">
        <f t="shared" si="25"/>
        <v>0</v>
      </c>
      <c r="X25" s="70">
        <f t="shared" si="25"/>
        <v>0</v>
      </c>
      <c r="Y25" s="70">
        <f t="shared" si="25"/>
        <v>0</v>
      </c>
      <c r="Z25" s="1" t="b">
        <f t="shared" si="4"/>
        <v>1</v>
      </c>
      <c r="AA25" s="41">
        <f t="shared" ref="AA25" si="26">ROUND(K25/J25,4)</f>
        <v>0.5</v>
      </c>
      <c r="AB25" s="42" t="s">
        <v>14</v>
      </c>
      <c r="AC25" s="42" t="b">
        <f t="shared" ref="AC25" si="27">J25=K25+L25</f>
        <v>1</v>
      </c>
    </row>
    <row r="26" spans="1:29" x14ac:dyDescent="0.25">
      <c r="A26" s="190"/>
      <c r="B26" s="33"/>
      <c r="C26" s="190"/>
      <c r="D26" s="33"/>
      <c r="E26" s="190"/>
      <c r="F26" s="190"/>
      <c r="G26" s="264"/>
    </row>
    <row r="27" spans="1:29" x14ac:dyDescent="0.25">
      <c r="A27" s="191" t="s">
        <v>24</v>
      </c>
      <c r="B27" s="31"/>
      <c r="C27" s="191"/>
      <c r="D27" s="31"/>
      <c r="E27" s="191"/>
      <c r="F27" s="191"/>
      <c r="G27" s="191"/>
      <c r="H27" s="13"/>
      <c r="I27" s="1"/>
      <c r="J27" s="5"/>
      <c r="K27" s="13"/>
      <c r="L27" s="35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"/>
      <c r="AC27" s="42"/>
    </row>
    <row r="28" spans="1:29" x14ac:dyDescent="0.25">
      <c r="A28" s="192" t="s">
        <v>25</v>
      </c>
      <c r="B28" s="32"/>
      <c r="C28" s="192"/>
      <c r="D28" s="32"/>
      <c r="E28" s="192"/>
      <c r="F28" s="192"/>
      <c r="G28" s="192"/>
      <c r="H28" s="13"/>
      <c r="I28" s="1"/>
      <c r="J28" s="29"/>
      <c r="K28" s="13"/>
      <c r="L28" s="35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"/>
    </row>
    <row r="29" spans="1:29" x14ac:dyDescent="0.25">
      <c r="A29" s="191" t="s">
        <v>42</v>
      </c>
      <c r="B29" s="33"/>
      <c r="C29" s="190"/>
      <c r="D29" s="33"/>
      <c r="E29" s="190"/>
      <c r="F29" s="190"/>
      <c r="G29" s="264"/>
      <c r="J29" s="28"/>
    </row>
    <row r="30" spans="1:29" x14ac:dyDescent="0.25">
      <c r="A30" s="193" t="s">
        <v>46</v>
      </c>
      <c r="B30" s="34"/>
      <c r="C30" s="193"/>
      <c r="D30" s="34"/>
      <c r="E30" s="193"/>
      <c r="F30" s="193"/>
      <c r="G30" s="265"/>
      <c r="J30" s="28"/>
    </row>
  </sheetData>
  <customSheetViews>
    <customSheetView guid="{A8A5BDFE-16B2-40FE-8A28-1419092A9D18}" scale="85" showPageBreaks="1" showGridLines="0" fitToPage="1" printArea="1" showAutoFilter="1" view="pageBreakPreview" topLeftCell="A17">
      <selection activeCell="I38" sqref="I38"/>
      <pageMargins left="0.23622047244094491" right="0.23622047244094491" top="0.74803149606299213" bottom="0.74803149606299213" header="0.31496062992125984" footer="0.31496062992125984"/>
      <pageSetup paperSize="8" scale="66" fitToHeight="0" orientation="landscape" r:id="rId1"/>
      <headerFooter>
        <oddHeader>&amp;LWojewództwo &amp;KFF0000Opolskie&amp;K01+000 - zadania powiatowe lista podstawowa</oddHeader>
        <oddFooter>Strona &amp;P z &amp;N</oddFooter>
      </headerFooter>
      <autoFilter ref="A1:AC25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B6C44C0D-54D9-45CE-9067-9F4D20DEBE8D}" scale="85" showPageBreaks="1" showGridLines="0" fitToPage="1" printArea="1" showAutoFilter="1" view="pageBreakPreview">
      <selection activeCell="F19" sqref="F19"/>
      <pageMargins left="0.23622047244094491" right="0.23622047244094491" top="0.74803149606299213" bottom="0.74803149606299213" header="0.31496062992125984" footer="0.31496062992125984"/>
      <pageSetup paperSize="8" scale="66" fitToHeight="0" orientation="landscape" r:id="rId2"/>
      <headerFooter>
        <oddHeader>&amp;LWojewództwo &amp;KFF0000Opolskie&amp;K01+000 - zadania powiatowe lista podstawowa</oddHeader>
        <oddFooter>Strona &amp;P z &amp;N</oddFooter>
      </headerFooter>
      <autoFilter ref="A1:AC25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</customSheetViews>
  <mergeCells count="18">
    <mergeCell ref="D1:D2"/>
    <mergeCell ref="A25:G25"/>
    <mergeCell ref="A24:G24"/>
    <mergeCell ref="E1:E2"/>
    <mergeCell ref="A22:G22"/>
    <mergeCell ref="A1:A2"/>
    <mergeCell ref="B1:B2"/>
    <mergeCell ref="C1:C2"/>
    <mergeCell ref="F1:F2"/>
    <mergeCell ref="G1:G2"/>
    <mergeCell ref="A23:G23"/>
    <mergeCell ref="H1:H2"/>
    <mergeCell ref="I1:I2"/>
    <mergeCell ref="J1:J2"/>
    <mergeCell ref="K1:K2"/>
    <mergeCell ref="N1:Y1"/>
    <mergeCell ref="L1:L2"/>
    <mergeCell ref="M1:M2"/>
  </mergeCells>
  <conditionalFormatting sqref="Z3:AB25">
    <cfRule type="containsText" dxfId="10" priority="2" operator="containsText" text="fałsz">
      <formula>NOT(ISERROR(SEARCH("fałsz",Z3)))</formula>
    </cfRule>
  </conditionalFormatting>
  <conditionalFormatting sqref="Z3:AC25">
    <cfRule type="cellIs" dxfId="9" priority="1" operator="equal">
      <formula>FALSE</formula>
    </cfRule>
  </conditionalFormatting>
  <conditionalFormatting sqref="AC27">
    <cfRule type="cellIs" dxfId="8" priority="13" operator="equal">
      <formula>FALSE</formula>
    </cfRule>
  </conditionalFormatting>
  <dataValidations count="3">
    <dataValidation type="list" allowBlank="1" showInputMessage="1" showErrorMessage="1" sqref="C3:C19" xr:uid="{00000000-0002-0000-0100-000000000000}">
      <formula1>"N,K,W"</formula1>
    </dataValidation>
    <dataValidation type="list" allowBlank="1" showInputMessage="1" showErrorMessage="1" sqref="G3:G21" xr:uid="{00000000-0002-0000-0100-000001000000}">
      <formula1>"B,P,R"</formula1>
    </dataValidation>
    <dataValidation type="list" allowBlank="1" showInputMessage="1" showErrorMessage="1" sqref="C20:C21" xr:uid="{72B2BDB0-F57A-4526-8FB6-310236D5EDF1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7" fitToHeight="0" orientation="landscape" r:id="rId3"/>
  <headerFooter>
    <oddHeader>&amp;LWojewództwo &amp;KFF0000Opolskie&amp;K01+000 - zadania powiatowe lista podstawowa</oddHeader>
    <oddFooter>Strona &amp;P z &amp;N</oddFooter>
  </headerFooter>
  <ignoredErrors>
    <ignoredError sqref="N22:Y22 Z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7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1" width="4.85546875" style="3" customWidth="1"/>
    <col min="2" max="2" width="15.7109375" style="3" customWidth="1"/>
    <col min="3" max="3" width="10.140625" style="39" customWidth="1"/>
    <col min="4" max="4" width="15.7109375" style="3" customWidth="1"/>
    <col min="5" max="5" width="9" style="3" customWidth="1"/>
    <col min="6" max="6" width="15.7109375" style="3" customWidth="1"/>
    <col min="7" max="7" width="52.7109375" style="39" customWidth="1"/>
    <col min="8" max="8" width="7.28515625" style="266" customWidth="1"/>
    <col min="9" max="9" width="8.5703125" style="3" customWidth="1"/>
    <col min="10" max="10" width="15" style="39" customWidth="1"/>
    <col min="11" max="11" width="14" style="4" customWidth="1"/>
    <col min="12" max="12" width="13.85546875" style="3" customWidth="1"/>
    <col min="13" max="13" width="13.42578125" style="3" customWidth="1"/>
    <col min="14" max="14" width="12.7109375" style="1" customWidth="1"/>
    <col min="15" max="19" width="5.85546875" style="3" customWidth="1"/>
    <col min="20" max="20" width="11.7109375" style="3" customWidth="1"/>
    <col min="21" max="21" width="14.42578125" style="3" customWidth="1"/>
    <col min="22" max="22" width="13.85546875" style="25" customWidth="1"/>
    <col min="23" max="23" width="11.7109375" style="25" customWidth="1"/>
    <col min="24" max="26" width="6" style="3" customWidth="1"/>
    <col min="27" max="29" width="15.7109375" style="13" customWidth="1"/>
    <col min="30" max="30" width="15.7109375" style="3" customWidth="1"/>
    <col min="31" max="16384" width="9.140625" style="3"/>
  </cols>
  <sheetData>
    <row r="1" spans="1:30" ht="33" customHeight="1" x14ac:dyDescent="0.25">
      <c r="A1" s="294" t="s">
        <v>4</v>
      </c>
      <c r="B1" s="294" t="s">
        <v>5</v>
      </c>
      <c r="C1" s="302" t="s">
        <v>43</v>
      </c>
      <c r="D1" s="298" t="s">
        <v>6</v>
      </c>
      <c r="E1" s="294" t="s">
        <v>32</v>
      </c>
      <c r="F1" s="298" t="s">
        <v>15</v>
      </c>
      <c r="G1" s="294" t="s">
        <v>7</v>
      </c>
      <c r="H1" s="295" t="s">
        <v>26</v>
      </c>
      <c r="I1" s="294" t="s">
        <v>8</v>
      </c>
      <c r="J1" s="294" t="s">
        <v>27</v>
      </c>
      <c r="K1" s="295" t="s">
        <v>9</v>
      </c>
      <c r="L1" s="294" t="s">
        <v>17</v>
      </c>
      <c r="M1" s="298" t="s">
        <v>13</v>
      </c>
      <c r="N1" s="294" t="s">
        <v>11</v>
      </c>
      <c r="O1" s="303" t="s">
        <v>12</v>
      </c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</row>
    <row r="2" spans="1:30" ht="26.25" customHeight="1" x14ac:dyDescent="0.25">
      <c r="A2" s="294"/>
      <c r="B2" s="294"/>
      <c r="C2" s="303"/>
      <c r="D2" s="299"/>
      <c r="E2" s="294"/>
      <c r="F2" s="299"/>
      <c r="G2" s="294"/>
      <c r="H2" s="295"/>
      <c r="I2" s="294"/>
      <c r="J2" s="294"/>
      <c r="K2" s="295"/>
      <c r="L2" s="294"/>
      <c r="M2" s="299"/>
      <c r="N2" s="294"/>
      <c r="O2" s="36">
        <v>2019</v>
      </c>
      <c r="P2" s="36">
        <v>2020</v>
      </c>
      <c r="Q2" s="36">
        <v>2021</v>
      </c>
      <c r="R2" s="36">
        <v>2022</v>
      </c>
      <c r="S2" s="36">
        <v>2023</v>
      </c>
      <c r="T2" s="36">
        <v>2024</v>
      </c>
      <c r="U2" s="36">
        <v>2025</v>
      </c>
      <c r="V2" s="263">
        <v>2026</v>
      </c>
      <c r="W2" s="263">
        <v>2027</v>
      </c>
      <c r="X2" s="36">
        <v>2028</v>
      </c>
      <c r="Y2" s="173">
        <v>2029</v>
      </c>
      <c r="Z2" s="173">
        <v>2030</v>
      </c>
      <c r="AA2" s="1" t="s">
        <v>28</v>
      </c>
      <c r="AB2" s="1" t="s">
        <v>29</v>
      </c>
      <c r="AC2" s="1" t="s">
        <v>30</v>
      </c>
      <c r="AD2" s="40" t="s">
        <v>31</v>
      </c>
    </row>
    <row r="3" spans="1:30" s="218" customFormat="1" ht="30" customHeight="1" x14ac:dyDescent="0.2">
      <c r="A3" s="227">
        <v>1</v>
      </c>
      <c r="B3" s="181" t="s">
        <v>125</v>
      </c>
      <c r="C3" s="187" t="s">
        <v>62</v>
      </c>
      <c r="D3" s="182" t="s">
        <v>126</v>
      </c>
      <c r="E3" s="182">
        <v>1601011</v>
      </c>
      <c r="F3" s="181" t="s">
        <v>73</v>
      </c>
      <c r="G3" s="197" t="s">
        <v>127</v>
      </c>
      <c r="H3" s="197" t="s">
        <v>72</v>
      </c>
      <c r="I3" s="183">
        <v>0.55700000000000005</v>
      </c>
      <c r="J3" s="271" t="s">
        <v>128</v>
      </c>
      <c r="K3" s="216">
        <v>15575964.119999999</v>
      </c>
      <c r="L3" s="184">
        <v>11605249.48</v>
      </c>
      <c r="M3" s="185">
        <f>K3-L3</f>
        <v>3970714.6399999987</v>
      </c>
      <c r="N3" s="215">
        <v>0.74509999999999998</v>
      </c>
      <c r="O3" s="184">
        <v>0</v>
      </c>
      <c r="P3" s="184">
        <v>0</v>
      </c>
      <c r="Q3" s="219">
        <v>0</v>
      </c>
      <c r="R3" s="219">
        <v>0</v>
      </c>
      <c r="S3" s="219">
        <v>0</v>
      </c>
      <c r="T3" s="217">
        <v>3955960.44</v>
      </c>
      <c r="U3" s="217">
        <v>5661938.2800000003</v>
      </c>
      <c r="V3" s="216">
        <v>1987350.7600000007</v>
      </c>
      <c r="W3" s="268">
        <v>0</v>
      </c>
      <c r="X3" s="219">
        <v>0</v>
      </c>
      <c r="Y3" s="219">
        <v>0</v>
      </c>
      <c r="Z3" s="219">
        <v>0</v>
      </c>
      <c r="AA3" s="221" t="b">
        <f>L3=SUM(O3:Z3)</f>
        <v>1</v>
      </c>
      <c r="AB3" s="41">
        <f t="shared" ref="AB3:AB32" si="0">ROUND(L3/K3,4)</f>
        <v>0.74509999999999998</v>
      </c>
      <c r="AC3" s="222" t="b">
        <f t="shared" ref="AC3:AC18" si="1">AB3=N3</f>
        <v>1</v>
      </c>
      <c r="AD3" s="222" t="b">
        <f t="shared" ref="AD3:AD32" si="2">K3=L3+M3</f>
        <v>1</v>
      </c>
    </row>
    <row r="4" spans="1:30" ht="53.25" customHeight="1" x14ac:dyDescent="0.25">
      <c r="A4" s="227">
        <v>2</v>
      </c>
      <c r="B4" s="181" t="s">
        <v>129</v>
      </c>
      <c r="C4" s="187" t="s">
        <v>62</v>
      </c>
      <c r="D4" s="182" t="s">
        <v>130</v>
      </c>
      <c r="E4" s="182" t="s">
        <v>131</v>
      </c>
      <c r="F4" s="181" t="s">
        <v>70</v>
      </c>
      <c r="G4" s="197" t="s">
        <v>132</v>
      </c>
      <c r="H4" s="197" t="s">
        <v>66</v>
      </c>
      <c r="I4" s="183">
        <v>0.54652999999999996</v>
      </c>
      <c r="J4" s="271" t="s">
        <v>133</v>
      </c>
      <c r="K4" s="216">
        <v>8045444.46</v>
      </c>
      <c r="L4" s="184">
        <v>8044612.7400000002</v>
      </c>
      <c r="M4" s="185">
        <f t="shared" ref="M4:M7" si="3">K4-L4</f>
        <v>831.71999999973923</v>
      </c>
      <c r="N4" s="274">
        <v>0.99990000000000001</v>
      </c>
      <c r="O4" s="184">
        <v>0</v>
      </c>
      <c r="P4" s="184">
        <v>0</v>
      </c>
      <c r="Q4" s="219">
        <v>0</v>
      </c>
      <c r="R4" s="219">
        <v>0</v>
      </c>
      <c r="S4" s="219">
        <v>0</v>
      </c>
      <c r="T4" s="217">
        <v>0</v>
      </c>
      <c r="U4" s="217">
        <v>6691346.9299999997</v>
      </c>
      <c r="V4" s="216">
        <v>1353265.81</v>
      </c>
      <c r="W4" s="268">
        <v>0</v>
      </c>
      <c r="X4" s="219">
        <v>0</v>
      </c>
      <c r="Y4" s="219">
        <v>0</v>
      </c>
      <c r="Z4" s="219">
        <v>0</v>
      </c>
      <c r="AA4" s="1" t="b">
        <f t="shared" ref="AA4:AA33" si="4">L4=SUM(O4:Z4)</f>
        <v>1</v>
      </c>
      <c r="AB4" s="41">
        <f t="shared" si="0"/>
        <v>0.99990000000000001</v>
      </c>
      <c r="AC4" s="42" t="b">
        <f t="shared" si="1"/>
        <v>1</v>
      </c>
      <c r="AD4" s="42" t="b">
        <f t="shared" si="2"/>
        <v>1</v>
      </c>
    </row>
    <row r="5" spans="1:30" ht="30" customHeight="1" x14ac:dyDescent="0.25">
      <c r="A5" s="227">
        <v>3</v>
      </c>
      <c r="B5" s="181" t="s">
        <v>134</v>
      </c>
      <c r="C5" s="187" t="s">
        <v>62</v>
      </c>
      <c r="D5" s="182" t="s">
        <v>135</v>
      </c>
      <c r="E5" s="182" t="s">
        <v>136</v>
      </c>
      <c r="F5" s="181" t="s">
        <v>63</v>
      </c>
      <c r="G5" s="197" t="s">
        <v>137</v>
      </c>
      <c r="H5" s="197" t="s">
        <v>66</v>
      </c>
      <c r="I5" s="183">
        <v>0.61199999999999999</v>
      </c>
      <c r="J5" s="271" t="s">
        <v>133</v>
      </c>
      <c r="K5" s="216">
        <v>3518603.31</v>
      </c>
      <c r="L5" s="184">
        <f t="shared" ref="L5:L7" si="5">ROUNDDOWN(K5*N5,2)</f>
        <v>3518603.31</v>
      </c>
      <c r="M5" s="185">
        <f t="shared" si="3"/>
        <v>0</v>
      </c>
      <c r="N5" s="213">
        <v>1</v>
      </c>
      <c r="O5" s="184">
        <v>0</v>
      </c>
      <c r="P5" s="184">
        <v>0</v>
      </c>
      <c r="Q5" s="219">
        <v>0</v>
      </c>
      <c r="R5" s="219">
        <v>0</v>
      </c>
      <c r="S5" s="219">
        <v>0</v>
      </c>
      <c r="T5" s="217">
        <v>0</v>
      </c>
      <c r="U5" s="217">
        <v>2634506.5</v>
      </c>
      <c r="V5" s="216">
        <v>884096.81</v>
      </c>
      <c r="W5" s="268">
        <v>0</v>
      </c>
      <c r="X5" s="219">
        <v>0</v>
      </c>
      <c r="Y5" s="219">
        <v>0</v>
      </c>
      <c r="Z5" s="219">
        <v>0</v>
      </c>
      <c r="AA5" s="1" t="b">
        <f t="shared" si="4"/>
        <v>1</v>
      </c>
      <c r="AB5" s="41">
        <f t="shared" si="0"/>
        <v>1</v>
      </c>
      <c r="AC5" s="42" t="b">
        <f t="shared" si="1"/>
        <v>1</v>
      </c>
      <c r="AD5" s="42" t="b">
        <f t="shared" si="2"/>
        <v>1</v>
      </c>
    </row>
    <row r="6" spans="1:30" ht="30" customHeight="1" x14ac:dyDescent="0.25">
      <c r="A6" s="227">
        <v>4</v>
      </c>
      <c r="B6" s="181" t="s">
        <v>138</v>
      </c>
      <c r="C6" s="187" t="s">
        <v>62</v>
      </c>
      <c r="D6" s="182" t="s">
        <v>126</v>
      </c>
      <c r="E6" s="182">
        <v>1601011</v>
      </c>
      <c r="F6" s="181" t="s">
        <v>73</v>
      </c>
      <c r="G6" s="197" t="s">
        <v>139</v>
      </c>
      <c r="H6" s="197" t="s">
        <v>72</v>
      </c>
      <c r="I6" s="183">
        <v>0.46700000000000003</v>
      </c>
      <c r="J6" s="271" t="s">
        <v>140</v>
      </c>
      <c r="K6" s="216">
        <v>6262428.7300000004</v>
      </c>
      <c r="L6" s="184">
        <f t="shared" si="5"/>
        <v>6262428.7300000004</v>
      </c>
      <c r="M6" s="185">
        <f t="shared" si="3"/>
        <v>0</v>
      </c>
      <c r="N6" s="213">
        <v>1</v>
      </c>
      <c r="O6" s="184">
        <v>0</v>
      </c>
      <c r="P6" s="184">
        <v>0</v>
      </c>
      <c r="Q6" s="219">
        <v>0</v>
      </c>
      <c r="R6" s="219">
        <v>0</v>
      </c>
      <c r="S6" s="219">
        <v>0</v>
      </c>
      <c r="T6" s="217">
        <v>0</v>
      </c>
      <c r="U6" s="217">
        <v>2929772.05</v>
      </c>
      <c r="V6" s="216">
        <v>3332656.68</v>
      </c>
      <c r="W6" s="268">
        <v>0</v>
      </c>
      <c r="X6" s="219">
        <v>0</v>
      </c>
      <c r="Y6" s="219">
        <v>0</v>
      </c>
      <c r="Z6" s="219">
        <v>0</v>
      </c>
      <c r="AA6" s="1" t="b">
        <f t="shared" si="4"/>
        <v>1</v>
      </c>
      <c r="AB6" s="41">
        <f t="shared" si="0"/>
        <v>1</v>
      </c>
      <c r="AC6" s="42" t="b">
        <f t="shared" si="1"/>
        <v>1</v>
      </c>
      <c r="AD6" s="42" t="b">
        <f t="shared" si="2"/>
        <v>1</v>
      </c>
    </row>
    <row r="7" spans="1:30" ht="30" customHeight="1" x14ac:dyDescent="0.25">
      <c r="A7" s="227">
        <v>5</v>
      </c>
      <c r="B7" s="181" t="s">
        <v>143</v>
      </c>
      <c r="C7" s="187" t="s">
        <v>62</v>
      </c>
      <c r="D7" s="182" t="s">
        <v>141</v>
      </c>
      <c r="E7" s="182">
        <v>1609052</v>
      </c>
      <c r="F7" s="181" t="s">
        <v>63</v>
      </c>
      <c r="G7" s="197" t="s">
        <v>142</v>
      </c>
      <c r="H7" s="197" t="s">
        <v>66</v>
      </c>
      <c r="I7" s="183">
        <v>0.31087999999999999</v>
      </c>
      <c r="J7" s="271" t="s">
        <v>133</v>
      </c>
      <c r="K7" s="216">
        <v>1017219.6</v>
      </c>
      <c r="L7" s="184">
        <f t="shared" si="5"/>
        <v>1017219.6</v>
      </c>
      <c r="M7" s="185">
        <f t="shared" si="3"/>
        <v>0</v>
      </c>
      <c r="N7" s="213">
        <v>1</v>
      </c>
      <c r="O7" s="184">
        <v>0</v>
      </c>
      <c r="P7" s="184">
        <v>0</v>
      </c>
      <c r="Q7" s="219">
        <v>0</v>
      </c>
      <c r="R7" s="219">
        <v>0</v>
      </c>
      <c r="S7" s="219">
        <v>0</v>
      </c>
      <c r="T7" s="217">
        <v>0</v>
      </c>
      <c r="U7" s="217">
        <v>450955.23</v>
      </c>
      <c r="V7" s="216">
        <v>566264.37</v>
      </c>
      <c r="W7" s="268">
        <v>0</v>
      </c>
      <c r="X7" s="219">
        <v>0</v>
      </c>
      <c r="Y7" s="219">
        <v>0</v>
      </c>
      <c r="Z7" s="219">
        <v>0</v>
      </c>
      <c r="AA7" s="1" t="b">
        <f t="shared" si="4"/>
        <v>1</v>
      </c>
      <c r="AB7" s="41">
        <f t="shared" si="0"/>
        <v>1</v>
      </c>
      <c r="AC7" s="42" t="b">
        <f t="shared" si="1"/>
        <v>1</v>
      </c>
      <c r="AD7" s="42" t="b">
        <f t="shared" si="2"/>
        <v>1</v>
      </c>
    </row>
    <row r="8" spans="1:30" s="223" customFormat="1" ht="30" customHeight="1" x14ac:dyDescent="0.25">
      <c r="A8" s="228">
        <v>6</v>
      </c>
      <c r="B8" s="49" t="s">
        <v>144</v>
      </c>
      <c r="C8" s="188" t="s">
        <v>69</v>
      </c>
      <c r="D8" s="50" t="s">
        <v>145</v>
      </c>
      <c r="E8" s="50" t="s">
        <v>146</v>
      </c>
      <c r="F8" s="49" t="s">
        <v>63</v>
      </c>
      <c r="G8" s="189" t="s">
        <v>147</v>
      </c>
      <c r="H8" s="189" t="s">
        <v>66</v>
      </c>
      <c r="I8" s="51">
        <v>0.90700000000000003</v>
      </c>
      <c r="J8" s="272" t="s">
        <v>83</v>
      </c>
      <c r="K8" s="46">
        <v>2688421.88</v>
      </c>
      <c r="L8" s="45">
        <f>ROUNDDOWN(K8*N8,2)</f>
        <v>1344210.94</v>
      </c>
      <c r="M8" s="52">
        <f t="shared" ref="M8:M18" si="6">K8-L8</f>
        <v>1344210.94</v>
      </c>
      <c r="N8" s="214">
        <v>0.5</v>
      </c>
      <c r="O8" s="45">
        <v>0</v>
      </c>
      <c r="P8" s="45">
        <v>0</v>
      </c>
      <c r="Q8" s="273">
        <v>0</v>
      </c>
      <c r="R8" s="273">
        <v>0</v>
      </c>
      <c r="S8" s="273">
        <v>0</v>
      </c>
      <c r="T8" s="220">
        <v>0</v>
      </c>
      <c r="U8" s="220">
        <v>0</v>
      </c>
      <c r="V8" s="46">
        <f>L8</f>
        <v>1344210.94</v>
      </c>
      <c r="W8" s="269">
        <v>0</v>
      </c>
      <c r="X8" s="273">
        <v>0</v>
      </c>
      <c r="Y8" s="273">
        <v>0</v>
      </c>
      <c r="Z8" s="273">
        <v>0</v>
      </c>
      <c r="AA8" s="209" t="b">
        <f t="shared" si="4"/>
        <v>1</v>
      </c>
      <c r="AB8" s="211">
        <f t="shared" si="0"/>
        <v>0.5</v>
      </c>
      <c r="AC8" s="212" t="b">
        <f t="shared" si="1"/>
        <v>1</v>
      </c>
      <c r="AD8" s="212" t="b">
        <f t="shared" si="2"/>
        <v>1</v>
      </c>
    </row>
    <row r="9" spans="1:30" s="223" customFormat="1" ht="30" customHeight="1" x14ac:dyDescent="0.25">
      <c r="A9" s="228">
        <v>7</v>
      </c>
      <c r="B9" s="49" t="s">
        <v>148</v>
      </c>
      <c r="C9" s="188" t="s">
        <v>69</v>
      </c>
      <c r="D9" s="50" t="s">
        <v>135</v>
      </c>
      <c r="E9" s="50">
        <v>1609073</v>
      </c>
      <c r="F9" s="49" t="s">
        <v>63</v>
      </c>
      <c r="G9" s="189" t="s">
        <v>149</v>
      </c>
      <c r="H9" s="189" t="s">
        <v>72</v>
      </c>
      <c r="I9" s="51">
        <v>0.29199999999999998</v>
      </c>
      <c r="J9" s="272" t="s">
        <v>238</v>
      </c>
      <c r="K9" s="46">
        <v>3995644.68</v>
      </c>
      <c r="L9" s="45">
        <f t="shared" ref="L9:L20" si="7">ROUNDDOWN(K9*N9,2)</f>
        <v>1997822.34</v>
      </c>
      <c r="M9" s="52">
        <f t="shared" si="6"/>
        <v>1997822.34</v>
      </c>
      <c r="N9" s="214">
        <v>0.5</v>
      </c>
      <c r="O9" s="45">
        <v>0</v>
      </c>
      <c r="P9" s="45">
        <v>0</v>
      </c>
      <c r="Q9" s="273">
        <v>0</v>
      </c>
      <c r="R9" s="273">
        <v>0</v>
      </c>
      <c r="S9" s="273">
        <v>0</v>
      </c>
      <c r="T9" s="220">
        <v>0</v>
      </c>
      <c r="U9" s="220">
        <v>0</v>
      </c>
      <c r="V9" s="46">
        <f>L9</f>
        <v>1997822.34</v>
      </c>
      <c r="W9" s="269">
        <v>0</v>
      </c>
      <c r="X9" s="273">
        <v>0</v>
      </c>
      <c r="Y9" s="273">
        <v>0</v>
      </c>
      <c r="Z9" s="273">
        <v>0</v>
      </c>
      <c r="AA9" s="209" t="b">
        <f t="shared" si="4"/>
        <v>1</v>
      </c>
      <c r="AB9" s="211">
        <f t="shared" si="0"/>
        <v>0.5</v>
      </c>
      <c r="AC9" s="212" t="b">
        <f t="shared" si="1"/>
        <v>1</v>
      </c>
      <c r="AD9" s="212" t="b">
        <f t="shared" si="2"/>
        <v>1</v>
      </c>
    </row>
    <row r="10" spans="1:30" s="223" customFormat="1" ht="30" customHeight="1" x14ac:dyDescent="0.25">
      <c r="A10" s="227">
        <v>8</v>
      </c>
      <c r="B10" s="181" t="s">
        <v>150</v>
      </c>
      <c r="C10" s="187" t="s">
        <v>94</v>
      </c>
      <c r="D10" s="182" t="s">
        <v>130</v>
      </c>
      <c r="E10" s="182">
        <v>1607053</v>
      </c>
      <c r="F10" s="181" t="s">
        <v>70</v>
      </c>
      <c r="G10" s="197" t="s">
        <v>151</v>
      </c>
      <c r="H10" s="197" t="s">
        <v>66</v>
      </c>
      <c r="I10" s="183">
        <v>2.113</v>
      </c>
      <c r="J10" s="271" t="s">
        <v>152</v>
      </c>
      <c r="K10" s="216">
        <v>10242901.77</v>
      </c>
      <c r="L10" s="184">
        <f t="shared" si="7"/>
        <v>5121450.88</v>
      </c>
      <c r="M10" s="185">
        <f t="shared" si="6"/>
        <v>5121450.8899999997</v>
      </c>
      <c r="N10" s="214">
        <v>0.5</v>
      </c>
      <c r="O10" s="184">
        <v>0</v>
      </c>
      <c r="P10" s="184">
        <v>0</v>
      </c>
      <c r="Q10" s="219">
        <v>0</v>
      </c>
      <c r="R10" s="219">
        <v>0</v>
      </c>
      <c r="S10" s="219">
        <v>0</v>
      </c>
      <c r="T10" s="217">
        <v>0</v>
      </c>
      <c r="U10" s="217">
        <v>0</v>
      </c>
      <c r="V10" s="216">
        <v>2522899.3199999998</v>
      </c>
      <c r="W10" s="270">
        <v>2598551.56</v>
      </c>
      <c r="X10" s="219">
        <v>0</v>
      </c>
      <c r="Y10" s="219">
        <v>0</v>
      </c>
      <c r="Z10" s="219">
        <v>0</v>
      </c>
      <c r="AA10" s="209" t="b">
        <f t="shared" si="4"/>
        <v>1</v>
      </c>
      <c r="AB10" s="211">
        <f t="shared" si="0"/>
        <v>0.5</v>
      </c>
      <c r="AC10" s="212" t="b">
        <f t="shared" si="1"/>
        <v>1</v>
      </c>
      <c r="AD10" s="212" t="b">
        <f t="shared" si="2"/>
        <v>1</v>
      </c>
    </row>
    <row r="11" spans="1:30" s="223" customFormat="1" ht="30" customHeight="1" x14ac:dyDescent="0.25">
      <c r="A11" s="228">
        <v>9</v>
      </c>
      <c r="B11" s="49" t="s">
        <v>153</v>
      </c>
      <c r="C11" s="188" t="s">
        <v>69</v>
      </c>
      <c r="D11" s="50" t="s">
        <v>126</v>
      </c>
      <c r="E11" s="50">
        <v>1601011</v>
      </c>
      <c r="F11" s="49" t="s">
        <v>73</v>
      </c>
      <c r="G11" s="189" t="s">
        <v>154</v>
      </c>
      <c r="H11" s="189" t="s">
        <v>74</v>
      </c>
      <c r="I11" s="51">
        <v>0.42</v>
      </c>
      <c r="J11" s="272" t="s">
        <v>175</v>
      </c>
      <c r="K11" s="46">
        <v>1465490.17</v>
      </c>
      <c r="L11" s="45">
        <f t="shared" si="7"/>
        <v>732745.08</v>
      </c>
      <c r="M11" s="52">
        <f t="shared" si="6"/>
        <v>732745.09</v>
      </c>
      <c r="N11" s="214">
        <v>0.5</v>
      </c>
      <c r="O11" s="45">
        <v>0</v>
      </c>
      <c r="P11" s="45">
        <v>0</v>
      </c>
      <c r="Q11" s="273">
        <v>0</v>
      </c>
      <c r="R11" s="273">
        <v>0</v>
      </c>
      <c r="S11" s="273">
        <v>0</v>
      </c>
      <c r="T11" s="220">
        <v>0</v>
      </c>
      <c r="U11" s="220">
        <v>0</v>
      </c>
      <c r="V11" s="46">
        <f t="shared" ref="V11:V16" si="8">L11</f>
        <v>732745.08</v>
      </c>
      <c r="W11" s="269">
        <v>0</v>
      </c>
      <c r="X11" s="273">
        <v>0</v>
      </c>
      <c r="Y11" s="273">
        <v>0</v>
      </c>
      <c r="Z11" s="273">
        <v>0</v>
      </c>
      <c r="AA11" s="209" t="b">
        <f t="shared" si="4"/>
        <v>1</v>
      </c>
      <c r="AB11" s="211">
        <f t="shared" si="0"/>
        <v>0.5</v>
      </c>
      <c r="AC11" s="212" t="b">
        <f t="shared" si="1"/>
        <v>1</v>
      </c>
      <c r="AD11" s="212" t="b">
        <f t="shared" si="2"/>
        <v>1</v>
      </c>
    </row>
    <row r="12" spans="1:30" s="223" customFormat="1" ht="30" customHeight="1" x14ac:dyDescent="0.25">
      <c r="A12" s="228">
        <v>10</v>
      </c>
      <c r="B12" s="49" t="s">
        <v>155</v>
      </c>
      <c r="C12" s="188" t="s">
        <v>69</v>
      </c>
      <c r="D12" s="50" t="s">
        <v>156</v>
      </c>
      <c r="E12" s="50">
        <v>1602022</v>
      </c>
      <c r="F12" s="49" t="s">
        <v>95</v>
      </c>
      <c r="G12" s="189" t="s">
        <v>180</v>
      </c>
      <c r="H12" s="189" t="s">
        <v>72</v>
      </c>
      <c r="I12" s="51">
        <v>0.68447000000000002</v>
      </c>
      <c r="J12" s="272" t="s">
        <v>157</v>
      </c>
      <c r="K12" s="46">
        <v>4940084.78</v>
      </c>
      <c r="L12" s="45">
        <f t="shared" si="7"/>
        <v>2470042.39</v>
      </c>
      <c r="M12" s="52">
        <f t="shared" si="6"/>
        <v>2470042.39</v>
      </c>
      <c r="N12" s="214">
        <v>0.5</v>
      </c>
      <c r="O12" s="45">
        <v>0</v>
      </c>
      <c r="P12" s="45">
        <v>0</v>
      </c>
      <c r="Q12" s="273">
        <v>0</v>
      </c>
      <c r="R12" s="273">
        <v>0</v>
      </c>
      <c r="S12" s="273">
        <v>0</v>
      </c>
      <c r="T12" s="220">
        <v>0</v>
      </c>
      <c r="U12" s="220">
        <v>0</v>
      </c>
      <c r="V12" s="46">
        <f t="shared" si="8"/>
        <v>2470042.39</v>
      </c>
      <c r="W12" s="269">
        <v>0</v>
      </c>
      <c r="X12" s="273">
        <v>0</v>
      </c>
      <c r="Y12" s="273">
        <v>0</v>
      </c>
      <c r="Z12" s="273">
        <v>0</v>
      </c>
      <c r="AA12" s="209" t="b">
        <f t="shared" si="4"/>
        <v>1</v>
      </c>
      <c r="AB12" s="211">
        <f t="shared" si="0"/>
        <v>0.5</v>
      </c>
      <c r="AC12" s="212" t="b">
        <f t="shared" si="1"/>
        <v>1</v>
      </c>
      <c r="AD12" s="212" t="b">
        <f t="shared" si="2"/>
        <v>1</v>
      </c>
    </row>
    <row r="13" spans="1:30" s="223" customFormat="1" ht="30" customHeight="1" x14ac:dyDescent="0.25">
      <c r="A13" s="228">
        <v>11</v>
      </c>
      <c r="B13" s="49" t="s">
        <v>158</v>
      </c>
      <c r="C13" s="188" t="s">
        <v>69</v>
      </c>
      <c r="D13" s="50" t="s">
        <v>159</v>
      </c>
      <c r="E13" s="50">
        <v>1609083</v>
      </c>
      <c r="F13" s="49" t="s">
        <v>63</v>
      </c>
      <c r="G13" s="189" t="s">
        <v>160</v>
      </c>
      <c r="H13" s="189" t="s">
        <v>72</v>
      </c>
      <c r="I13" s="51">
        <v>0.20499999999999999</v>
      </c>
      <c r="J13" s="272" t="s">
        <v>161</v>
      </c>
      <c r="K13" s="46">
        <v>1183121.9099999999</v>
      </c>
      <c r="L13" s="45">
        <f t="shared" si="7"/>
        <v>591560.94999999995</v>
      </c>
      <c r="M13" s="52">
        <f t="shared" si="6"/>
        <v>591560.95999999996</v>
      </c>
      <c r="N13" s="214">
        <v>0.5</v>
      </c>
      <c r="O13" s="45">
        <v>0</v>
      </c>
      <c r="P13" s="45">
        <v>0</v>
      </c>
      <c r="Q13" s="273">
        <v>0</v>
      </c>
      <c r="R13" s="273">
        <v>0</v>
      </c>
      <c r="S13" s="273">
        <v>0</v>
      </c>
      <c r="T13" s="220">
        <v>0</v>
      </c>
      <c r="U13" s="220">
        <v>0</v>
      </c>
      <c r="V13" s="46">
        <f t="shared" si="8"/>
        <v>591560.94999999995</v>
      </c>
      <c r="W13" s="269">
        <v>0</v>
      </c>
      <c r="X13" s="273">
        <v>0</v>
      </c>
      <c r="Y13" s="273">
        <v>0</v>
      </c>
      <c r="Z13" s="273">
        <v>0</v>
      </c>
      <c r="AA13" s="209" t="b">
        <f t="shared" si="4"/>
        <v>1</v>
      </c>
      <c r="AB13" s="211">
        <f t="shared" si="0"/>
        <v>0.5</v>
      </c>
      <c r="AC13" s="212" t="b">
        <f t="shared" si="1"/>
        <v>1</v>
      </c>
      <c r="AD13" s="212" t="b">
        <f t="shared" si="2"/>
        <v>1</v>
      </c>
    </row>
    <row r="14" spans="1:30" s="223" customFormat="1" ht="30" customHeight="1" x14ac:dyDescent="0.25">
      <c r="A14" s="228">
        <v>12</v>
      </c>
      <c r="B14" s="49" t="s">
        <v>162</v>
      </c>
      <c r="C14" s="188" t="s">
        <v>69</v>
      </c>
      <c r="D14" s="50" t="s">
        <v>163</v>
      </c>
      <c r="E14" s="50">
        <v>1611053</v>
      </c>
      <c r="F14" s="49" t="s">
        <v>64</v>
      </c>
      <c r="G14" s="189" t="s">
        <v>164</v>
      </c>
      <c r="H14" s="189" t="s">
        <v>66</v>
      </c>
      <c r="I14" s="51">
        <v>0.123</v>
      </c>
      <c r="J14" s="272" t="s">
        <v>165</v>
      </c>
      <c r="K14" s="46">
        <v>988081.38</v>
      </c>
      <c r="L14" s="45">
        <f t="shared" si="7"/>
        <v>494040.69</v>
      </c>
      <c r="M14" s="52">
        <f t="shared" si="6"/>
        <v>494040.69</v>
      </c>
      <c r="N14" s="214">
        <v>0.5</v>
      </c>
      <c r="O14" s="45">
        <v>0</v>
      </c>
      <c r="P14" s="45">
        <v>0</v>
      </c>
      <c r="Q14" s="273">
        <v>0</v>
      </c>
      <c r="R14" s="273">
        <v>0</v>
      </c>
      <c r="S14" s="273">
        <v>0</v>
      </c>
      <c r="T14" s="220">
        <v>0</v>
      </c>
      <c r="U14" s="220">
        <v>0</v>
      </c>
      <c r="V14" s="46">
        <f t="shared" si="8"/>
        <v>494040.69</v>
      </c>
      <c r="W14" s="269">
        <v>0</v>
      </c>
      <c r="X14" s="273">
        <v>0</v>
      </c>
      <c r="Y14" s="273">
        <v>0</v>
      </c>
      <c r="Z14" s="273">
        <v>0</v>
      </c>
      <c r="AA14" s="209" t="b">
        <f t="shared" si="4"/>
        <v>1</v>
      </c>
      <c r="AB14" s="211">
        <f t="shared" si="0"/>
        <v>0.5</v>
      </c>
      <c r="AC14" s="212" t="b">
        <f t="shared" si="1"/>
        <v>1</v>
      </c>
      <c r="AD14" s="212" t="b">
        <f t="shared" si="2"/>
        <v>1</v>
      </c>
    </row>
    <row r="15" spans="1:30" s="223" customFormat="1" ht="39.75" customHeight="1" x14ac:dyDescent="0.25">
      <c r="A15" s="228">
        <v>13</v>
      </c>
      <c r="B15" s="49" t="s">
        <v>166</v>
      </c>
      <c r="C15" s="188" t="s">
        <v>69</v>
      </c>
      <c r="D15" s="50" t="s">
        <v>167</v>
      </c>
      <c r="E15" s="50">
        <v>1609123</v>
      </c>
      <c r="F15" s="49" t="s">
        <v>63</v>
      </c>
      <c r="G15" s="189" t="s">
        <v>179</v>
      </c>
      <c r="H15" s="189" t="s">
        <v>66</v>
      </c>
      <c r="I15" s="51">
        <v>0.45700000000000002</v>
      </c>
      <c r="J15" s="272" t="s">
        <v>168</v>
      </c>
      <c r="K15" s="46">
        <v>3378626.63</v>
      </c>
      <c r="L15" s="45">
        <f t="shared" si="7"/>
        <v>1689313.31</v>
      </c>
      <c r="M15" s="52">
        <f t="shared" si="6"/>
        <v>1689313.3199999998</v>
      </c>
      <c r="N15" s="214">
        <v>0.5</v>
      </c>
      <c r="O15" s="45">
        <v>0</v>
      </c>
      <c r="P15" s="45">
        <v>0</v>
      </c>
      <c r="Q15" s="273">
        <v>0</v>
      </c>
      <c r="R15" s="273">
        <v>0</v>
      </c>
      <c r="S15" s="273">
        <v>0</v>
      </c>
      <c r="T15" s="220">
        <v>0</v>
      </c>
      <c r="U15" s="220">
        <v>0</v>
      </c>
      <c r="V15" s="46">
        <f t="shared" si="8"/>
        <v>1689313.31</v>
      </c>
      <c r="W15" s="269">
        <v>0</v>
      </c>
      <c r="X15" s="273">
        <v>0</v>
      </c>
      <c r="Y15" s="273">
        <v>0</v>
      </c>
      <c r="Z15" s="273">
        <v>0</v>
      </c>
      <c r="AA15" s="209" t="b">
        <f t="shared" si="4"/>
        <v>1</v>
      </c>
      <c r="AB15" s="211">
        <f t="shared" si="0"/>
        <v>0.5</v>
      </c>
      <c r="AC15" s="212" t="b">
        <f t="shared" si="1"/>
        <v>1</v>
      </c>
      <c r="AD15" s="212" t="b">
        <f t="shared" si="2"/>
        <v>1</v>
      </c>
    </row>
    <row r="16" spans="1:30" s="223" customFormat="1" ht="30" customHeight="1" x14ac:dyDescent="0.25">
      <c r="A16" s="228">
        <v>14</v>
      </c>
      <c r="B16" s="49" t="s">
        <v>169</v>
      </c>
      <c r="C16" s="188" t="s">
        <v>69</v>
      </c>
      <c r="D16" s="50" t="s">
        <v>170</v>
      </c>
      <c r="E16" s="50">
        <v>1609022</v>
      </c>
      <c r="F16" s="49" t="s">
        <v>63</v>
      </c>
      <c r="G16" s="189" t="s">
        <v>171</v>
      </c>
      <c r="H16" s="189" t="s">
        <v>72</v>
      </c>
      <c r="I16" s="51">
        <v>0.36699999999999999</v>
      </c>
      <c r="J16" s="272" t="s">
        <v>175</v>
      </c>
      <c r="K16" s="46">
        <v>1618482.21</v>
      </c>
      <c r="L16" s="45">
        <f t="shared" si="7"/>
        <v>809241.1</v>
      </c>
      <c r="M16" s="52">
        <f t="shared" si="6"/>
        <v>809241.11</v>
      </c>
      <c r="N16" s="214">
        <v>0.5</v>
      </c>
      <c r="O16" s="45">
        <v>0</v>
      </c>
      <c r="P16" s="45">
        <v>0</v>
      </c>
      <c r="Q16" s="273">
        <v>0</v>
      </c>
      <c r="R16" s="273">
        <v>0</v>
      </c>
      <c r="S16" s="273">
        <v>0</v>
      </c>
      <c r="T16" s="220">
        <v>0</v>
      </c>
      <c r="U16" s="220">
        <v>0</v>
      </c>
      <c r="V16" s="46">
        <f t="shared" si="8"/>
        <v>809241.1</v>
      </c>
      <c r="W16" s="269">
        <v>0</v>
      </c>
      <c r="X16" s="273">
        <v>0</v>
      </c>
      <c r="Y16" s="273">
        <v>0</v>
      </c>
      <c r="Z16" s="273">
        <v>0</v>
      </c>
      <c r="AA16" s="209" t="b">
        <f t="shared" si="4"/>
        <v>1</v>
      </c>
      <c r="AB16" s="211">
        <f t="shared" si="0"/>
        <v>0.5</v>
      </c>
      <c r="AC16" s="212" t="b">
        <f t="shared" si="1"/>
        <v>1</v>
      </c>
      <c r="AD16" s="212" t="b">
        <f t="shared" si="2"/>
        <v>1</v>
      </c>
    </row>
    <row r="17" spans="1:30" s="223" customFormat="1" ht="30" customHeight="1" x14ac:dyDescent="0.25">
      <c r="A17" s="228">
        <v>15</v>
      </c>
      <c r="B17" s="49" t="s">
        <v>185</v>
      </c>
      <c r="C17" s="188" t="s">
        <v>69</v>
      </c>
      <c r="D17" s="50" t="s">
        <v>212</v>
      </c>
      <c r="E17" s="50">
        <v>1608033</v>
      </c>
      <c r="F17" s="49" t="s">
        <v>81</v>
      </c>
      <c r="G17" s="189" t="s">
        <v>213</v>
      </c>
      <c r="H17" s="189" t="s">
        <v>72</v>
      </c>
      <c r="I17" s="51">
        <v>1.4019999999999999</v>
      </c>
      <c r="J17" s="272" t="s">
        <v>214</v>
      </c>
      <c r="K17" s="46">
        <v>2844452.26</v>
      </c>
      <c r="L17" s="45">
        <f t="shared" si="7"/>
        <v>1422226.13</v>
      </c>
      <c r="M17" s="52">
        <f>K17-L17</f>
        <v>1422226.13</v>
      </c>
      <c r="N17" s="214">
        <v>0.5</v>
      </c>
      <c r="O17" s="45">
        <v>0</v>
      </c>
      <c r="P17" s="45">
        <v>0</v>
      </c>
      <c r="Q17" s="273">
        <v>0</v>
      </c>
      <c r="R17" s="273">
        <v>0</v>
      </c>
      <c r="S17" s="273">
        <v>0</v>
      </c>
      <c r="T17" s="220">
        <v>0</v>
      </c>
      <c r="U17" s="220">
        <v>0</v>
      </c>
      <c r="V17" s="46">
        <f>L17</f>
        <v>1422226.13</v>
      </c>
      <c r="W17" s="269">
        <v>0</v>
      </c>
      <c r="X17" s="273">
        <v>0</v>
      </c>
      <c r="Y17" s="273">
        <v>0</v>
      </c>
      <c r="Z17" s="273">
        <v>0</v>
      </c>
      <c r="AA17" s="209" t="b">
        <v>1</v>
      </c>
      <c r="AB17" s="211">
        <v>0.6</v>
      </c>
      <c r="AC17" s="212" t="b">
        <v>1</v>
      </c>
      <c r="AD17" s="212" t="b">
        <v>1</v>
      </c>
    </row>
    <row r="18" spans="1:30" s="223" customFormat="1" ht="38.25" customHeight="1" x14ac:dyDescent="0.25">
      <c r="A18" s="228">
        <v>16</v>
      </c>
      <c r="B18" s="49" t="s">
        <v>172</v>
      </c>
      <c r="C18" s="188" t="s">
        <v>69</v>
      </c>
      <c r="D18" s="50" t="s">
        <v>173</v>
      </c>
      <c r="E18" s="50">
        <v>1605053</v>
      </c>
      <c r="F18" s="49" t="s">
        <v>121</v>
      </c>
      <c r="G18" s="189" t="s">
        <v>174</v>
      </c>
      <c r="H18" s="189" t="s">
        <v>66</v>
      </c>
      <c r="I18" s="51">
        <v>0.60699999999999998</v>
      </c>
      <c r="J18" s="272" t="s">
        <v>175</v>
      </c>
      <c r="K18" s="46">
        <v>1780013.43</v>
      </c>
      <c r="L18" s="45">
        <f t="shared" si="7"/>
        <v>890006.71</v>
      </c>
      <c r="M18" s="52">
        <f t="shared" si="6"/>
        <v>890006.72</v>
      </c>
      <c r="N18" s="214">
        <v>0.5</v>
      </c>
      <c r="O18" s="45">
        <v>0</v>
      </c>
      <c r="P18" s="45">
        <v>0</v>
      </c>
      <c r="Q18" s="273">
        <v>0</v>
      </c>
      <c r="R18" s="273">
        <v>0</v>
      </c>
      <c r="S18" s="273">
        <v>0</v>
      </c>
      <c r="T18" s="220">
        <v>0</v>
      </c>
      <c r="U18" s="220">
        <v>0</v>
      </c>
      <c r="V18" s="46">
        <f>L18</f>
        <v>890006.71</v>
      </c>
      <c r="W18" s="269">
        <v>0</v>
      </c>
      <c r="X18" s="273">
        <v>0</v>
      </c>
      <c r="Y18" s="273">
        <v>0</v>
      </c>
      <c r="Z18" s="273">
        <v>0</v>
      </c>
      <c r="AA18" s="209" t="b">
        <f t="shared" si="4"/>
        <v>1</v>
      </c>
      <c r="AB18" s="211">
        <f t="shared" si="0"/>
        <v>0.5</v>
      </c>
      <c r="AC18" s="212" t="b">
        <f t="shared" si="1"/>
        <v>1</v>
      </c>
      <c r="AD18" s="212" t="b">
        <f t="shared" si="2"/>
        <v>1</v>
      </c>
    </row>
    <row r="19" spans="1:30" s="233" customFormat="1" ht="30" customHeight="1" x14ac:dyDescent="0.25">
      <c r="A19" s="228">
        <v>17</v>
      </c>
      <c r="B19" s="49" t="s">
        <v>176</v>
      </c>
      <c r="C19" s="188" t="s">
        <v>69</v>
      </c>
      <c r="D19" s="50" t="s">
        <v>177</v>
      </c>
      <c r="E19" s="195">
        <v>1610043</v>
      </c>
      <c r="F19" s="49" t="s">
        <v>85</v>
      </c>
      <c r="G19" s="189" t="s">
        <v>178</v>
      </c>
      <c r="H19" s="189" t="s">
        <v>66</v>
      </c>
      <c r="I19" s="51">
        <v>0.21679999999999999</v>
      </c>
      <c r="J19" s="272" t="s">
        <v>175</v>
      </c>
      <c r="K19" s="46">
        <v>1372265.84</v>
      </c>
      <c r="L19" s="45">
        <f t="shared" si="7"/>
        <v>686132.92</v>
      </c>
      <c r="M19" s="52">
        <f t="shared" ref="M19:M20" si="9">K19-L19</f>
        <v>686132.92</v>
      </c>
      <c r="N19" s="214">
        <v>0.5</v>
      </c>
      <c r="O19" s="45">
        <v>0</v>
      </c>
      <c r="P19" s="45">
        <v>0</v>
      </c>
      <c r="Q19" s="273">
        <v>0</v>
      </c>
      <c r="R19" s="273">
        <v>0</v>
      </c>
      <c r="S19" s="273">
        <v>0</v>
      </c>
      <c r="T19" s="220">
        <v>0</v>
      </c>
      <c r="U19" s="220">
        <v>0</v>
      </c>
      <c r="V19" s="46">
        <f>L19</f>
        <v>686132.92</v>
      </c>
      <c r="W19" s="269">
        <v>0</v>
      </c>
      <c r="X19" s="273">
        <v>0</v>
      </c>
      <c r="Y19" s="273">
        <v>0</v>
      </c>
      <c r="Z19" s="273">
        <v>0</v>
      </c>
      <c r="AA19" s="209" t="b">
        <f t="shared" ref="AA19:AA29" si="10">L19=SUM(O19:Z19)</f>
        <v>1</v>
      </c>
      <c r="AB19" s="211">
        <f t="shared" ref="AB19:AB29" si="11">ROUND(L19/K19,4)</f>
        <v>0.5</v>
      </c>
      <c r="AC19" s="212" t="b">
        <f t="shared" ref="AC19:AC29" si="12">AB19=N19</f>
        <v>1</v>
      </c>
      <c r="AD19" s="212" t="b">
        <f t="shared" ref="AD19:AD29" si="13">K19=L19+M19</f>
        <v>1</v>
      </c>
    </row>
    <row r="20" spans="1:30" s="223" customFormat="1" ht="30" customHeight="1" x14ac:dyDescent="0.25">
      <c r="A20" s="227">
        <v>18</v>
      </c>
      <c r="B20" s="181" t="s">
        <v>181</v>
      </c>
      <c r="C20" s="187" t="s">
        <v>94</v>
      </c>
      <c r="D20" s="182" t="s">
        <v>195</v>
      </c>
      <c r="E20" s="194">
        <v>1605023</v>
      </c>
      <c r="F20" s="181" t="s">
        <v>121</v>
      </c>
      <c r="G20" s="197" t="s">
        <v>196</v>
      </c>
      <c r="H20" s="197" t="s">
        <v>66</v>
      </c>
      <c r="I20" s="183">
        <v>0.33400000000000002</v>
      </c>
      <c r="J20" s="271" t="s">
        <v>232</v>
      </c>
      <c r="K20" s="216">
        <v>2480714.16</v>
      </c>
      <c r="L20" s="184">
        <f t="shared" si="7"/>
        <v>1240357.08</v>
      </c>
      <c r="M20" s="185">
        <f t="shared" si="9"/>
        <v>1240357.08</v>
      </c>
      <c r="N20" s="213">
        <v>0.5</v>
      </c>
      <c r="O20" s="184">
        <v>0</v>
      </c>
      <c r="P20" s="184">
        <v>0</v>
      </c>
      <c r="Q20" s="219">
        <v>0</v>
      </c>
      <c r="R20" s="219">
        <v>0</v>
      </c>
      <c r="S20" s="219">
        <v>0</v>
      </c>
      <c r="T20" s="217">
        <v>0</v>
      </c>
      <c r="U20" s="217">
        <v>0</v>
      </c>
      <c r="V20" s="216">
        <v>210357.08</v>
      </c>
      <c r="W20" s="268">
        <v>1030000</v>
      </c>
      <c r="X20" s="219">
        <v>0</v>
      </c>
      <c r="Y20" s="219">
        <v>0</v>
      </c>
      <c r="Z20" s="219">
        <v>0</v>
      </c>
      <c r="AA20" s="209" t="b">
        <f t="shared" si="10"/>
        <v>1</v>
      </c>
      <c r="AB20" s="211">
        <f t="shared" si="11"/>
        <v>0.5</v>
      </c>
      <c r="AC20" s="212" t="b">
        <f t="shared" si="12"/>
        <v>1</v>
      </c>
      <c r="AD20" s="212" t="b">
        <f t="shared" si="13"/>
        <v>1</v>
      </c>
    </row>
    <row r="21" spans="1:30" s="223" customFormat="1" ht="30" customHeight="1" x14ac:dyDescent="0.25">
      <c r="A21" s="228">
        <v>19</v>
      </c>
      <c r="B21" s="236" t="s">
        <v>183</v>
      </c>
      <c r="C21" s="237" t="s">
        <v>69</v>
      </c>
      <c r="D21" s="238" t="s">
        <v>206</v>
      </c>
      <c r="E21" s="239">
        <v>1609092</v>
      </c>
      <c r="F21" s="236" t="s">
        <v>63</v>
      </c>
      <c r="G21" s="189" t="s">
        <v>207</v>
      </c>
      <c r="H21" s="189" t="s">
        <v>74</v>
      </c>
      <c r="I21" s="51">
        <v>0.58499999999999996</v>
      </c>
      <c r="J21" s="272" t="s">
        <v>208</v>
      </c>
      <c r="K21" s="46">
        <v>584361.9</v>
      </c>
      <c r="L21" s="45">
        <f>ROUNDDOWN(K21*N21,2)</f>
        <v>292180.95</v>
      </c>
      <c r="M21" s="52">
        <f>K21-L21</f>
        <v>292180.95</v>
      </c>
      <c r="N21" s="214">
        <v>0.5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52">
        <f>L21</f>
        <v>292180.95</v>
      </c>
      <c r="W21" s="52">
        <v>0</v>
      </c>
      <c r="X21" s="240">
        <v>0</v>
      </c>
      <c r="Y21" s="240">
        <v>0</v>
      </c>
      <c r="Z21" s="240">
        <v>0</v>
      </c>
      <c r="AA21" s="209" t="b">
        <f t="shared" ref="AA21:AA26" si="14">L21=SUM(O21:Z21)</f>
        <v>1</v>
      </c>
      <c r="AB21" s="211">
        <f t="shared" ref="AB21:AB26" si="15">ROUND(L21/K21,4)</f>
        <v>0.5</v>
      </c>
      <c r="AC21" s="212" t="b">
        <f t="shared" ref="AC21:AC26" si="16">AB21=N21</f>
        <v>1</v>
      </c>
      <c r="AD21" s="212" t="b">
        <f t="shared" ref="AD21:AD26" si="17">K21=L21+M21</f>
        <v>1</v>
      </c>
    </row>
    <row r="22" spans="1:30" s="223" customFormat="1" ht="30" customHeight="1" x14ac:dyDescent="0.25">
      <c r="A22" s="228">
        <v>20</v>
      </c>
      <c r="B22" s="236" t="s">
        <v>188</v>
      </c>
      <c r="C22" s="237" t="s">
        <v>69</v>
      </c>
      <c r="D22" s="238" t="s">
        <v>218</v>
      </c>
      <c r="E22" s="239">
        <v>1606023</v>
      </c>
      <c r="F22" s="236" t="s">
        <v>87</v>
      </c>
      <c r="G22" s="189" t="s">
        <v>219</v>
      </c>
      <c r="H22" s="189" t="s">
        <v>66</v>
      </c>
      <c r="I22" s="51">
        <v>0.35660999999999998</v>
      </c>
      <c r="J22" s="272" t="s">
        <v>254</v>
      </c>
      <c r="K22" s="46">
        <v>1297638</v>
      </c>
      <c r="L22" s="45">
        <f>ROUNDDOWN(K22*N22,2)</f>
        <v>648819</v>
      </c>
      <c r="M22" s="52">
        <f t="shared" ref="M22:M25" si="18">K22-L22</f>
        <v>648819</v>
      </c>
      <c r="N22" s="214">
        <v>0.5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52">
        <f t="shared" ref="V22:V25" si="19">L22</f>
        <v>648819</v>
      </c>
      <c r="W22" s="52">
        <v>0</v>
      </c>
      <c r="X22" s="240">
        <v>0</v>
      </c>
      <c r="Y22" s="240">
        <v>0</v>
      </c>
      <c r="Z22" s="240">
        <v>0</v>
      </c>
      <c r="AA22" s="209" t="b">
        <f t="shared" si="14"/>
        <v>1</v>
      </c>
      <c r="AB22" s="211">
        <f t="shared" si="15"/>
        <v>0.5</v>
      </c>
      <c r="AC22" s="212" t="b">
        <f t="shared" si="16"/>
        <v>1</v>
      </c>
      <c r="AD22" s="212" t="b">
        <f t="shared" si="17"/>
        <v>1</v>
      </c>
    </row>
    <row r="23" spans="1:30" s="223" customFormat="1" ht="30" customHeight="1" x14ac:dyDescent="0.25">
      <c r="A23" s="228">
        <v>21</v>
      </c>
      <c r="B23" s="236" t="s">
        <v>189</v>
      </c>
      <c r="C23" s="237"/>
      <c r="D23" s="238" t="s">
        <v>220</v>
      </c>
      <c r="E23" s="239">
        <v>1606032</v>
      </c>
      <c r="F23" s="236" t="s">
        <v>87</v>
      </c>
      <c r="G23" s="189" t="s">
        <v>221</v>
      </c>
      <c r="H23" s="189"/>
      <c r="I23" s="51"/>
      <c r="J23" s="272" t="s">
        <v>240</v>
      </c>
      <c r="K23" s="46"/>
      <c r="L23" s="45"/>
      <c r="M23" s="52"/>
      <c r="N23" s="214">
        <v>0.5</v>
      </c>
      <c r="O23" s="45"/>
      <c r="P23" s="45"/>
      <c r="Q23" s="45"/>
      <c r="R23" s="45"/>
      <c r="S23" s="45"/>
      <c r="T23" s="45"/>
      <c r="U23" s="45"/>
      <c r="V23" s="52"/>
      <c r="W23" s="52"/>
      <c r="X23" s="240"/>
      <c r="Y23" s="240"/>
      <c r="Z23" s="240"/>
      <c r="AA23" s="209" t="b">
        <f t="shared" si="14"/>
        <v>1</v>
      </c>
      <c r="AB23" s="211" t="e">
        <f t="shared" si="15"/>
        <v>#DIV/0!</v>
      </c>
      <c r="AC23" s="212" t="e">
        <f t="shared" si="16"/>
        <v>#DIV/0!</v>
      </c>
      <c r="AD23" s="212" t="b">
        <f t="shared" si="17"/>
        <v>1</v>
      </c>
    </row>
    <row r="24" spans="1:30" s="223" customFormat="1" ht="30" customHeight="1" x14ac:dyDescent="0.25">
      <c r="A24" s="228">
        <v>22</v>
      </c>
      <c r="B24" s="236" t="s">
        <v>193</v>
      </c>
      <c r="C24" s="237" t="s">
        <v>69</v>
      </c>
      <c r="D24" s="238" t="s">
        <v>170</v>
      </c>
      <c r="E24" s="239">
        <v>1609022</v>
      </c>
      <c r="F24" s="236" t="s">
        <v>63</v>
      </c>
      <c r="G24" s="189" t="s">
        <v>229</v>
      </c>
      <c r="H24" s="189" t="s">
        <v>72</v>
      </c>
      <c r="I24" s="51">
        <v>0.374</v>
      </c>
      <c r="J24" s="272" t="s">
        <v>248</v>
      </c>
      <c r="K24" s="46">
        <v>611574.5</v>
      </c>
      <c r="L24" s="45">
        <f t="shared" ref="L24:L25" si="20">ROUNDDOWN(K24*N24,2)</f>
        <v>305787.25</v>
      </c>
      <c r="M24" s="52">
        <f t="shared" si="18"/>
        <v>305787.25</v>
      </c>
      <c r="N24" s="214">
        <v>0.5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52">
        <f t="shared" si="19"/>
        <v>305787.25</v>
      </c>
      <c r="W24" s="52">
        <v>0</v>
      </c>
      <c r="X24" s="240">
        <v>0</v>
      </c>
      <c r="Y24" s="240">
        <v>0</v>
      </c>
      <c r="Z24" s="240">
        <v>0</v>
      </c>
      <c r="AA24" s="209" t="b">
        <f t="shared" si="14"/>
        <v>1</v>
      </c>
      <c r="AB24" s="211">
        <f t="shared" si="15"/>
        <v>0.5</v>
      </c>
      <c r="AC24" s="212" t="b">
        <f t="shared" si="16"/>
        <v>1</v>
      </c>
      <c r="AD24" s="212" t="b">
        <f t="shared" si="17"/>
        <v>1</v>
      </c>
    </row>
    <row r="25" spans="1:30" s="223" customFormat="1" ht="30" customHeight="1" x14ac:dyDescent="0.25">
      <c r="A25" s="228">
        <v>23</v>
      </c>
      <c r="B25" s="236" t="s">
        <v>194</v>
      </c>
      <c r="C25" s="237" t="s">
        <v>69</v>
      </c>
      <c r="D25" s="238" t="s">
        <v>230</v>
      </c>
      <c r="E25" s="239">
        <v>1608043</v>
      </c>
      <c r="F25" s="236" t="s">
        <v>81</v>
      </c>
      <c r="G25" s="189" t="s">
        <v>231</v>
      </c>
      <c r="H25" s="189" t="s">
        <v>72</v>
      </c>
      <c r="I25" s="51">
        <v>0.16700000000000001</v>
      </c>
      <c r="J25" s="272" t="s">
        <v>86</v>
      </c>
      <c r="K25" s="46">
        <v>494860.18</v>
      </c>
      <c r="L25" s="45">
        <f t="shared" si="20"/>
        <v>247430.09</v>
      </c>
      <c r="M25" s="52">
        <f t="shared" si="18"/>
        <v>247430.09</v>
      </c>
      <c r="N25" s="214">
        <v>0.5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52">
        <f t="shared" si="19"/>
        <v>247430.09</v>
      </c>
      <c r="W25" s="52">
        <v>0</v>
      </c>
      <c r="X25" s="240">
        <v>0</v>
      </c>
      <c r="Y25" s="240">
        <v>0</v>
      </c>
      <c r="Z25" s="240">
        <v>0</v>
      </c>
      <c r="AA25" s="209" t="b">
        <f t="shared" si="14"/>
        <v>1</v>
      </c>
      <c r="AB25" s="211">
        <f t="shared" si="15"/>
        <v>0.5</v>
      </c>
      <c r="AC25" s="212" t="b">
        <f t="shared" si="16"/>
        <v>1</v>
      </c>
      <c r="AD25" s="212" t="b">
        <f t="shared" si="17"/>
        <v>1</v>
      </c>
    </row>
    <row r="26" spans="1:30" s="233" customFormat="1" ht="39.75" customHeight="1" x14ac:dyDescent="0.25">
      <c r="A26" s="228">
        <v>24</v>
      </c>
      <c r="B26" s="181" t="s">
        <v>182</v>
      </c>
      <c r="C26" s="187" t="s">
        <v>94</v>
      </c>
      <c r="D26" s="182" t="s">
        <v>197</v>
      </c>
      <c r="E26" s="194">
        <v>1603011</v>
      </c>
      <c r="F26" s="181" t="s">
        <v>78</v>
      </c>
      <c r="G26" s="197" t="s">
        <v>198</v>
      </c>
      <c r="H26" s="197" t="s">
        <v>72</v>
      </c>
      <c r="I26" s="183">
        <v>0.80800000000000005</v>
      </c>
      <c r="J26" s="271" t="s">
        <v>255</v>
      </c>
      <c r="K26" s="216">
        <v>5233465.18</v>
      </c>
      <c r="L26" s="184">
        <f>ROUNDDOWN(K26*N26,2)</f>
        <v>2616732.59</v>
      </c>
      <c r="M26" s="185">
        <f>K26-L26</f>
        <v>2616732.59</v>
      </c>
      <c r="N26" s="214">
        <v>0.5</v>
      </c>
      <c r="O26" s="184">
        <v>0</v>
      </c>
      <c r="P26" s="184">
        <v>0</v>
      </c>
      <c r="Q26" s="219">
        <v>0</v>
      </c>
      <c r="R26" s="219">
        <v>0</v>
      </c>
      <c r="S26" s="219">
        <v>0</v>
      </c>
      <c r="T26" s="217">
        <v>0</v>
      </c>
      <c r="U26" s="217">
        <v>0</v>
      </c>
      <c r="V26" s="216">
        <f>L26</f>
        <v>2616732.59</v>
      </c>
      <c r="W26" s="268">
        <v>0</v>
      </c>
      <c r="X26" s="219">
        <v>0</v>
      </c>
      <c r="Y26" s="219">
        <v>0</v>
      </c>
      <c r="Z26" s="219">
        <v>0</v>
      </c>
      <c r="AA26" s="255" t="b">
        <f t="shared" si="14"/>
        <v>1</v>
      </c>
      <c r="AB26" s="256">
        <f t="shared" si="15"/>
        <v>0.5</v>
      </c>
      <c r="AC26" s="257" t="b">
        <f t="shared" si="16"/>
        <v>1</v>
      </c>
      <c r="AD26" s="257" t="b">
        <f t="shared" si="17"/>
        <v>1</v>
      </c>
    </row>
    <row r="27" spans="1:30" s="223" customFormat="1" ht="40.5" customHeight="1" x14ac:dyDescent="0.25">
      <c r="A27" s="228">
        <v>25</v>
      </c>
      <c r="B27" s="49" t="s">
        <v>249</v>
      </c>
      <c r="C27" s="188" t="s">
        <v>69</v>
      </c>
      <c r="D27" s="50" t="s">
        <v>199</v>
      </c>
      <c r="E27" s="195">
        <v>1605013</v>
      </c>
      <c r="F27" s="49" t="s">
        <v>121</v>
      </c>
      <c r="G27" s="189" t="s">
        <v>200</v>
      </c>
      <c r="H27" s="189" t="s">
        <v>66</v>
      </c>
      <c r="I27" s="51">
        <v>0.29699999999999999</v>
      </c>
      <c r="J27" s="272" t="s">
        <v>175</v>
      </c>
      <c r="K27" s="46">
        <v>2018038.41</v>
      </c>
      <c r="L27" s="45">
        <f>ROUNDDOWN(K27*N27,2)</f>
        <v>1009019.2</v>
      </c>
      <c r="M27" s="52">
        <f>K27-L27</f>
        <v>1009019.21</v>
      </c>
      <c r="N27" s="214">
        <v>0.5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52">
        <f>L27</f>
        <v>1009019.2</v>
      </c>
      <c r="W27" s="52">
        <v>0</v>
      </c>
      <c r="X27" s="240">
        <v>0</v>
      </c>
      <c r="Y27" s="240">
        <v>0</v>
      </c>
      <c r="Z27" s="240">
        <v>0</v>
      </c>
      <c r="AA27" s="255" t="b">
        <f t="shared" ref="AA27:AA28" si="21">L27=SUM(O27:Z27)</f>
        <v>1</v>
      </c>
      <c r="AB27" s="256">
        <f t="shared" ref="AB27:AB28" si="22">ROUND(L27/K27,4)</f>
        <v>0.5</v>
      </c>
      <c r="AC27" s="257" t="b">
        <f t="shared" ref="AC27:AC28" si="23">AB27=N27</f>
        <v>1</v>
      </c>
      <c r="AD27" s="257" t="b">
        <f t="shared" ref="AD27:AD28" si="24">K27=L27+M27</f>
        <v>1</v>
      </c>
    </row>
    <row r="28" spans="1:30" s="233" customFormat="1" ht="44.25" customHeight="1" x14ac:dyDescent="0.25">
      <c r="A28" s="228">
        <v>26</v>
      </c>
      <c r="B28" s="49" t="s">
        <v>250</v>
      </c>
      <c r="C28" s="188" t="s">
        <v>69</v>
      </c>
      <c r="D28" s="50" t="s">
        <v>201</v>
      </c>
      <c r="E28" s="195">
        <v>1608013</v>
      </c>
      <c r="F28" s="49" t="s">
        <v>81</v>
      </c>
      <c r="G28" s="189" t="s">
        <v>202</v>
      </c>
      <c r="H28" s="189" t="s">
        <v>66</v>
      </c>
      <c r="I28" s="51">
        <v>0.99948999999999999</v>
      </c>
      <c r="J28" s="272" t="s">
        <v>91</v>
      </c>
      <c r="K28" s="46">
        <v>3399730.18</v>
      </c>
      <c r="L28" s="45">
        <f>ROUNDDOWN(K28*N28,2)</f>
        <v>1699865.09</v>
      </c>
      <c r="M28" s="52">
        <f>K28-L28</f>
        <v>1699865.09</v>
      </c>
      <c r="N28" s="214">
        <v>0.5</v>
      </c>
      <c r="O28" s="45">
        <v>0</v>
      </c>
      <c r="P28" s="45">
        <v>0</v>
      </c>
      <c r="Q28" s="273">
        <v>0</v>
      </c>
      <c r="R28" s="273">
        <v>0</v>
      </c>
      <c r="S28" s="273">
        <v>0</v>
      </c>
      <c r="T28" s="220">
        <v>0</v>
      </c>
      <c r="U28" s="220">
        <v>0</v>
      </c>
      <c r="V28" s="46">
        <f>L28</f>
        <v>1699865.09</v>
      </c>
      <c r="W28" s="269">
        <v>0</v>
      </c>
      <c r="X28" s="273">
        <v>0</v>
      </c>
      <c r="Y28" s="273">
        <v>0</v>
      </c>
      <c r="Z28" s="273">
        <v>0</v>
      </c>
      <c r="AA28" s="255" t="b">
        <f t="shared" si="21"/>
        <v>1</v>
      </c>
      <c r="AB28" s="256">
        <f t="shared" si="22"/>
        <v>0.5</v>
      </c>
      <c r="AC28" s="257" t="b">
        <f t="shared" si="23"/>
        <v>1</v>
      </c>
      <c r="AD28" s="257" t="b">
        <f t="shared" si="24"/>
        <v>1</v>
      </c>
    </row>
    <row r="29" spans="1:30" s="233" customFormat="1" ht="44.25" customHeight="1" x14ac:dyDescent="0.25">
      <c r="A29" s="258" t="s">
        <v>251</v>
      </c>
      <c r="B29" s="49" t="s">
        <v>250</v>
      </c>
      <c r="C29" s="188" t="s">
        <v>69</v>
      </c>
      <c r="D29" s="50" t="s">
        <v>203</v>
      </c>
      <c r="E29" s="195">
        <v>1611033</v>
      </c>
      <c r="F29" s="49" t="s">
        <v>64</v>
      </c>
      <c r="G29" s="189" t="s">
        <v>204</v>
      </c>
      <c r="H29" s="189" t="s">
        <v>72</v>
      </c>
      <c r="I29" s="51">
        <v>0.5</v>
      </c>
      <c r="J29" s="272" t="s">
        <v>205</v>
      </c>
      <c r="K29" s="46">
        <v>2346106.35</v>
      </c>
      <c r="L29" s="45">
        <v>337215.97</v>
      </c>
      <c r="M29" s="52">
        <f>K29-L29</f>
        <v>2008890.3800000001</v>
      </c>
      <c r="N29" s="214">
        <v>0.5</v>
      </c>
      <c r="O29" s="45">
        <v>0</v>
      </c>
      <c r="P29" s="45">
        <v>0</v>
      </c>
      <c r="Q29" s="273">
        <v>0</v>
      </c>
      <c r="R29" s="273">
        <v>0</v>
      </c>
      <c r="S29" s="273">
        <v>0</v>
      </c>
      <c r="T29" s="220">
        <v>0</v>
      </c>
      <c r="U29" s="220">
        <v>0</v>
      </c>
      <c r="V29" s="46">
        <f>L29</f>
        <v>337215.97</v>
      </c>
      <c r="W29" s="269">
        <v>0</v>
      </c>
      <c r="X29" s="273">
        <v>0</v>
      </c>
      <c r="Y29" s="273">
        <v>0</v>
      </c>
      <c r="Z29" s="273">
        <v>0</v>
      </c>
      <c r="AA29" s="255" t="b">
        <f t="shared" si="10"/>
        <v>1</v>
      </c>
      <c r="AB29" s="256">
        <f t="shared" si="11"/>
        <v>0.14369999999999999</v>
      </c>
      <c r="AC29" s="257" t="b">
        <f t="shared" si="12"/>
        <v>0</v>
      </c>
      <c r="AD29" s="257" t="b">
        <f t="shared" si="13"/>
        <v>1</v>
      </c>
    </row>
    <row r="30" spans="1:30" ht="20.100000000000001" customHeight="1" x14ac:dyDescent="0.25">
      <c r="A30" s="308" t="s">
        <v>44</v>
      </c>
      <c r="B30" s="309"/>
      <c r="C30" s="309"/>
      <c r="D30" s="309"/>
      <c r="E30" s="309"/>
      <c r="F30" s="309"/>
      <c r="G30" s="309"/>
      <c r="H30" s="310"/>
      <c r="I30" s="60">
        <f>SUM(I3:I29)</f>
        <v>14.708779999999999</v>
      </c>
      <c r="J30" s="61" t="s">
        <v>14</v>
      </c>
      <c r="K30" s="62">
        <f>SUM(K3:K29)</f>
        <v>89383736.020000011</v>
      </c>
      <c r="L30" s="63">
        <f>SUM(L3:L29)</f>
        <v>57094314.520000026</v>
      </c>
      <c r="M30" s="63">
        <f>SUM(M3:M29)</f>
        <v>32289421.499999996</v>
      </c>
      <c r="N30" s="64" t="s">
        <v>14</v>
      </c>
      <c r="O30" s="63">
        <f t="shared" ref="O30:Z30" si="25">SUM(O3:O29)</f>
        <v>0</v>
      </c>
      <c r="P30" s="63">
        <f t="shared" si="25"/>
        <v>0</v>
      </c>
      <c r="Q30" s="65">
        <f t="shared" si="25"/>
        <v>0</v>
      </c>
      <c r="R30" s="65">
        <f t="shared" si="25"/>
        <v>0</v>
      </c>
      <c r="S30" s="65">
        <f t="shared" si="25"/>
        <v>0</v>
      </c>
      <c r="T30" s="65">
        <f t="shared" si="25"/>
        <v>3955960.44</v>
      </c>
      <c r="U30" s="65">
        <f t="shared" si="25"/>
        <v>18368518.990000002</v>
      </c>
      <c r="V30" s="65">
        <f t="shared" si="25"/>
        <v>31141283.529999997</v>
      </c>
      <c r="W30" s="65">
        <f t="shared" si="25"/>
        <v>3628551.56</v>
      </c>
      <c r="X30" s="65">
        <f t="shared" si="25"/>
        <v>0</v>
      </c>
      <c r="Y30" s="65">
        <f t="shared" si="25"/>
        <v>0</v>
      </c>
      <c r="Z30" s="65">
        <f t="shared" si="25"/>
        <v>0</v>
      </c>
      <c r="AA30" s="1" t="b">
        <f t="shared" si="4"/>
        <v>1</v>
      </c>
      <c r="AB30" s="41">
        <f t="shared" si="0"/>
        <v>0.63880000000000003</v>
      </c>
      <c r="AC30" s="42" t="s">
        <v>14</v>
      </c>
      <c r="AD30" s="42" t="b">
        <f t="shared" si="2"/>
        <v>1</v>
      </c>
    </row>
    <row r="31" spans="1:30" ht="20.100000000000001" customHeight="1" x14ac:dyDescent="0.25">
      <c r="A31" s="308" t="s">
        <v>37</v>
      </c>
      <c r="B31" s="309"/>
      <c r="C31" s="309"/>
      <c r="D31" s="309"/>
      <c r="E31" s="309"/>
      <c r="F31" s="309"/>
      <c r="G31" s="309"/>
      <c r="H31" s="310"/>
      <c r="I31" s="60">
        <f>SUMIF($C$3:$C$29,"K",I3:I29)</f>
        <v>2.4934100000000003</v>
      </c>
      <c r="J31" s="61" t="s">
        <v>14</v>
      </c>
      <c r="K31" s="62">
        <f>SUMIF($C$3:$C$29,"K",K3:K29)</f>
        <v>34419660.219999999</v>
      </c>
      <c r="L31" s="63">
        <f>SUMIF($C$3:$C$29,"K",L3:L29)</f>
        <v>30448113.859999999</v>
      </c>
      <c r="M31" s="63">
        <f>SUMIF($C$3:$C$29,"K",M3:M29)</f>
        <v>3971546.3599999985</v>
      </c>
      <c r="N31" s="64" t="s">
        <v>14</v>
      </c>
      <c r="O31" s="63">
        <f t="shared" ref="O31:Z31" si="26">SUMIF($C$3:$C$29,"K",O3:O29)</f>
        <v>0</v>
      </c>
      <c r="P31" s="63">
        <f t="shared" si="26"/>
        <v>0</v>
      </c>
      <c r="Q31" s="65">
        <f t="shared" si="26"/>
        <v>0</v>
      </c>
      <c r="R31" s="65">
        <f t="shared" si="26"/>
        <v>0</v>
      </c>
      <c r="S31" s="65">
        <f t="shared" si="26"/>
        <v>0</v>
      </c>
      <c r="T31" s="65">
        <f t="shared" si="26"/>
        <v>3955960.44</v>
      </c>
      <c r="U31" s="65">
        <f t="shared" si="26"/>
        <v>18368518.990000002</v>
      </c>
      <c r="V31" s="65">
        <f t="shared" si="26"/>
        <v>8123634.4300000006</v>
      </c>
      <c r="W31" s="65">
        <f t="shared" si="26"/>
        <v>0</v>
      </c>
      <c r="X31" s="65">
        <f t="shared" si="26"/>
        <v>0</v>
      </c>
      <c r="Y31" s="65">
        <f t="shared" si="26"/>
        <v>0</v>
      </c>
      <c r="Z31" s="65">
        <f t="shared" si="26"/>
        <v>0</v>
      </c>
      <c r="AA31" s="1" t="b">
        <f t="shared" si="4"/>
        <v>1</v>
      </c>
      <c r="AB31" s="41">
        <f t="shared" si="0"/>
        <v>0.88460000000000005</v>
      </c>
      <c r="AC31" s="42" t="s">
        <v>14</v>
      </c>
      <c r="AD31" s="42" t="b">
        <f t="shared" si="2"/>
        <v>1</v>
      </c>
    </row>
    <row r="32" spans="1:30" ht="20.100000000000001" customHeight="1" x14ac:dyDescent="0.25">
      <c r="A32" s="308" t="s">
        <v>38</v>
      </c>
      <c r="B32" s="309"/>
      <c r="C32" s="309"/>
      <c r="D32" s="309"/>
      <c r="E32" s="309"/>
      <c r="F32" s="309"/>
      <c r="G32" s="309"/>
      <c r="H32" s="310"/>
      <c r="I32" s="60">
        <f>SUMIF($C$3:$C$29,"N",I3:I29)</f>
        <v>8.9603699999999993</v>
      </c>
      <c r="J32" s="61" t="s">
        <v>14</v>
      </c>
      <c r="K32" s="62">
        <f>SUMIF($C$3:$C$29,"N",K3:K29)</f>
        <v>37006994.690000005</v>
      </c>
      <c r="L32" s="63">
        <f>SUMIF($C$3:$C$29,"N",L3:L29)</f>
        <v>17667660.109999999</v>
      </c>
      <c r="M32" s="63">
        <f>SUMIF($C$3:$C$29,"N",M3:M29)</f>
        <v>19339334.579999998</v>
      </c>
      <c r="N32" s="64" t="s">
        <v>14</v>
      </c>
      <c r="O32" s="63">
        <f t="shared" ref="O32:Z32" si="27">SUMIF($C$3:$C$29,"N",O3:O29)</f>
        <v>0</v>
      </c>
      <c r="P32" s="63">
        <f t="shared" si="27"/>
        <v>0</v>
      </c>
      <c r="Q32" s="65">
        <f t="shared" si="27"/>
        <v>0</v>
      </c>
      <c r="R32" s="65">
        <f t="shared" si="27"/>
        <v>0</v>
      </c>
      <c r="S32" s="65">
        <f t="shared" si="27"/>
        <v>0</v>
      </c>
      <c r="T32" s="65">
        <f t="shared" si="27"/>
        <v>0</v>
      </c>
      <c r="U32" s="65">
        <f t="shared" si="27"/>
        <v>0</v>
      </c>
      <c r="V32" s="65">
        <f t="shared" si="27"/>
        <v>17667660.109999999</v>
      </c>
      <c r="W32" s="65">
        <f t="shared" si="27"/>
        <v>0</v>
      </c>
      <c r="X32" s="65">
        <f t="shared" si="27"/>
        <v>0</v>
      </c>
      <c r="Y32" s="65">
        <f t="shared" si="27"/>
        <v>0</v>
      </c>
      <c r="Z32" s="65">
        <f t="shared" si="27"/>
        <v>0</v>
      </c>
      <c r="AA32" s="1" t="b">
        <f t="shared" si="4"/>
        <v>1</v>
      </c>
      <c r="AB32" s="41">
        <f t="shared" si="0"/>
        <v>0.47739999999999999</v>
      </c>
      <c r="AC32" s="42" t="s">
        <v>14</v>
      </c>
      <c r="AD32" s="42" t="b">
        <f t="shared" si="2"/>
        <v>1</v>
      </c>
    </row>
    <row r="33" spans="1:30" ht="20.100000000000001" customHeight="1" x14ac:dyDescent="0.25">
      <c r="A33" s="305" t="s">
        <v>39</v>
      </c>
      <c r="B33" s="306"/>
      <c r="C33" s="306"/>
      <c r="D33" s="306"/>
      <c r="E33" s="306"/>
      <c r="F33" s="306"/>
      <c r="G33" s="306"/>
      <c r="H33" s="307"/>
      <c r="I33" s="66">
        <f>SUMIF($C$3:$C$29,"W",I3:I29)</f>
        <v>3.2549999999999999</v>
      </c>
      <c r="J33" s="267" t="s">
        <v>14</v>
      </c>
      <c r="K33" s="67">
        <f>SUMIF($C$3:$C$29,"W",K3:K29)</f>
        <v>17957081.109999999</v>
      </c>
      <c r="L33" s="68">
        <f>SUMIF($C$3:$C$29,"W",L3:L29)</f>
        <v>8978540.5500000007</v>
      </c>
      <c r="M33" s="68">
        <f>SUMIF($C$3:$C$29,"W",M3:M29)</f>
        <v>8978540.5599999987</v>
      </c>
      <c r="N33" s="69" t="s">
        <v>14</v>
      </c>
      <c r="O33" s="68">
        <f t="shared" ref="O33:Z33" si="28">SUMIF($C$3:$C$29,"W",O3:O29)</f>
        <v>0</v>
      </c>
      <c r="P33" s="68">
        <f t="shared" si="28"/>
        <v>0</v>
      </c>
      <c r="Q33" s="70">
        <f t="shared" si="28"/>
        <v>0</v>
      </c>
      <c r="R33" s="70">
        <f t="shared" si="28"/>
        <v>0</v>
      </c>
      <c r="S33" s="70">
        <f t="shared" si="28"/>
        <v>0</v>
      </c>
      <c r="T33" s="70">
        <f t="shared" si="28"/>
        <v>0</v>
      </c>
      <c r="U33" s="70">
        <f t="shared" si="28"/>
        <v>0</v>
      </c>
      <c r="V33" s="70">
        <f t="shared" si="28"/>
        <v>5349988.99</v>
      </c>
      <c r="W33" s="70">
        <f t="shared" si="28"/>
        <v>3628551.56</v>
      </c>
      <c r="X33" s="70">
        <f t="shared" si="28"/>
        <v>0</v>
      </c>
      <c r="Y33" s="70">
        <f t="shared" si="28"/>
        <v>0</v>
      </c>
      <c r="Z33" s="70">
        <f t="shared" si="28"/>
        <v>0</v>
      </c>
      <c r="AA33" s="1" t="b">
        <f t="shared" si="4"/>
        <v>1</v>
      </c>
      <c r="AB33" s="41">
        <f t="shared" ref="AB33" si="29">ROUND(L33/K33,4)</f>
        <v>0.5</v>
      </c>
      <c r="AC33" s="42" t="s">
        <v>14</v>
      </c>
      <c r="AD33" s="42" t="b">
        <f t="shared" ref="AD33" si="30">K33=L33+M33</f>
        <v>1</v>
      </c>
    </row>
    <row r="34" spans="1:30" x14ac:dyDescent="0.25">
      <c r="A34" s="31" t="s">
        <v>24</v>
      </c>
    </row>
    <row r="35" spans="1:30" x14ac:dyDescent="0.25">
      <c r="A35" s="32" t="s">
        <v>25</v>
      </c>
      <c r="L35" s="261"/>
    </row>
    <row r="36" spans="1:30" x14ac:dyDescent="0.25">
      <c r="A36" s="31" t="s">
        <v>42</v>
      </c>
    </row>
    <row r="37" spans="1:30" x14ac:dyDescent="0.25">
      <c r="A37" s="34" t="s">
        <v>46</v>
      </c>
    </row>
  </sheetData>
  <customSheetViews>
    <customSheetView guid="{A8A5BDFE-16B2-40FE-8A28-1419092A9D18}" scale="85" showPageBreaks="1" showGridLines="0" fitToPage="1" printArea="1" showAutoFilter="1" view="pageBreakPreview">
      <selection activeCell="K29" sqref="K29"/>
      <pageMargins left="0.23622047244094491" right="0.23622047244094491" top="0.74803149606299213" bottom="0.74803149606299213" header="0.31496062992125984" footer="0.31496062992125984"/>
      <pageSetup paperSize="8" scale="63" fitToHeight="0" orientation="landscape" r:id="rId1"/>
      <headerFooter>
        <oddHeader>&amp;LWojewództwo &amp;KFF0000Opolskie&amp;K01+000 - zadania gminne lista podstawowa</oddHeader>
        <oddFooter>Strona &amp;P z &amp;N</oddFooter>
      </headerFooter>
      <autoFilter ref="A1:AD33" xr:uid="{00000000-0000-0000-0000-000000000000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  <filterColumn colId="24" showButton="0"/>
      </autoFilter>
    </customSheetView>
    <customSheetView guid="{B6C44C0D-54D9-45CE-9067-9F4D20DEBE8D}" scale="85" showPageBreaks="1" showGridLines="0" fitToPage="1" printArea="1" showAutoFilter="1" view="pageBreakPreview">
      <selection activeCell="M8" sqref="M8"/>
      <pageMargins left="0.23622047244094491" right="0.23622047244094491" top="0.74803149606299213" bottom="0.74803149606299213" header="0.31496062992125984" footer="0.31496062992125984"/>
      <pageSetup paperSize="8" scale="62" fitToHeight="0" orientation="landscape" r:id="rId2"/>
      <headerFooter>
        <oddHeader>&amp;LWojewództwo &amp;KFF0000Opolskie&amp;K01+000 - zadania gminne lista podstawowa</oddHeader>
        <oddFooter>Strona &amp;P z &amp;N</oddFooter>
      </headerFooter>
      <autoFilter ref="A1:AD32" xr:uid="{00000000-0000-0000-0000-000000000000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  <filterColumn colId="24" showButton="0"/>
      </autoFilter>
    </customSheetView>
  </customSheetViews>
  <mergeCells count="19">
    <mergeCell ref="A1:A2"/>
    <mergeCell ref="B1:B2"/>
    <mergeCell ref="C1:C2"/>
    <mergeCell ref="F1:F2"/>
    <mergeCell ref="G1:G2"/>
    <mergeCell ref="D1:D2"/>
    <mergeCell ref="O1:Z1"/>
    <mergeCell ref="A33:H33"/>
    <mergeCell ref="A32:H32"/>
    <mergeCell ref="E1:E2"/>
    <mergeCell ref="A31:H31"/>
    <mergeCell ref="N1:N2"/>
    <mergeCell ref="L1:L2"/>
    <mergeCell ref="M1:M2"/>
    <mergeCell ref="A30:H30"/>
    <mergeCell ref="H1:H2"/>
    <mergeCell ref="I1:I2"/>
    <mergeCell ref="J1:J2"/>
    <mergeCell ref="K1:K2"/>
  </mergeCells>
  <conditionalFormatting sqref="AA3:AC33">
    <cfRule type="containsText" dxfId="7" priority="2" operator="containsText" text="fałsz">
      <formula>NOT(ISERROR(SEARCH("fałsz",AA3)))</formula>
    </cfRule>
  </conditionalFormatting>
  <conditionalFormatting sqref="AA3:AD33">
    <cfRule type="cellIs" dxfId="6" priority="1" operator="equal">
      <formula>FALSE</formula>
    </cfRule>
  </conditionalFormatting>
  <dataValidations count="3">
    <dataValidation type="list" allowBlank="1" showInputMessage="1" showErrorMessage="1" sqref="H3:H18" xr:uid="{00000000-0002-0000-0200-000000000000}">
      <formula1>"B,P,R"</formula1>
    </dataValidation>
    <dataValidation type="list" allowBlank="1" showInputMessage="1" showErrorMessage="1" sqref="C3:C18" xr:uid="{00000000-0002-0000-0200-000001000000}">
      <formula1>"N,K,W"</formula1>
    </dataValidation>
    <dataValidation type="list" allowBlank="1" showInputMessage="1" showErrorMessage="1" sqref="C19:C29" xr:uid="{00000000-0002-0000-02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0" orientation="landscape" r:id="rId3"/>
  <headerFooter>
    <oddHeader>&amp;LWojewództwo &amp;KFF0000Opolskie&amp;K01+000 - zadania gminne lista podstawowa</oddHeader>
    <oddFooter>Strona &amp;P z &amp;N</oddFooter>
  </headerFooter>
  <ignoredErrors>
    <ignoredError sqref="E4:E5 E8" numberStoredAsText="1"/>
    <ignoredError sqref="O30:U30 W30:Z30 AA29:AA30 AA3:AA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2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1" width="4.5703125" style="1" customWidth="1"/>
    <col min="2" max="2" width="15.5703125" style="13" customWidth="1"/>
    <col min="3" max="3" width="9.7109375" style="1" customWidth="1"/>
    <col min="4" max="4" width="15.7109375" style="205" customWidth="1"/>
    <col min="5" max="5" width="7.42578125" style="1" customWidth="1"/>
    <col min="6" max="6" width="52.7109375" style="1" customWidth="1"/>
    <col min="7" max="7" width="7.85546875" style="1" customWidth="1"/>
    <col min="8" max="8" width="8.140625" style="13" customWidth="1"/>
    <col min="9" max="9" width="15.7109375" style="205" customWidth="1"/>
    <col min="10" max="10" width="13.28515625" style="37" customWidth="1"/>
    <col min="11" max="11" width="14.42578125" style="13" customWidth="1"/>
    <col min="12" max="12" width="14.7109375" style="13" customWidth="1"/>
    <col min="13" max="13" width="14" style="1" customWidth="1"/>
    <col min="14" max="25" width="6" style="13" customWidth="1"/>
    <col min="26" max="29" width="15.7109375" style="208" customWidth="1"/>
    <col min="30" max="16384" width="9.140625" style="13"/>
  </cols>
  <sheetData>
    <row r="1" spans="1:30" ht="20.100000000000001" customHeight="1" x14ac:dyDescent="0.25">
      <c r="A1" s="294" t="s">
        <v>4</v>
      </c>
      <c r="B1" s="294" t="s">
        <v>5</v>
      </c>
      <c r="C1" s="302" t="s">
        <v>124</v>
      </c>
      <c r="D1" s="298" t="s">
        <v>6</v>
      </c>
      <c r="E1" s="302" t="s">
        <v>32</v>
      </c>
      <c r="F1" s="298" t="s">
        <v>7</v>
      </c>
      <c r="G1" s="294" t="s">
        <v>26</v>
      </c>
      <c r="H1" s="294" t="s">
        <v>8</v>
      </c>
      <c r="I1" s="294" t="s">
        <v>23</v>
      </c>
      <c r="J1" s="295" t="s">
        <v>9</v>
      </c>
      <c r="K1" s="294" t="s">
        <v>10</v>
      </c>
      <c r="L1" s="298" t="s">
        <v>13</v>
      </c>
      <c r="M1" s="294" t="s">
        <v>11</v>
      </c>
      <c r="N1" s="303" t="s">
        <v>12</v>
      </c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</row>
    <row r="2" spans="1:30" ht="26.25" customHeight="1" x14ac:dyDescent="0.25">
      <c r="A2" s="294"/>
      <c r="B2" s="294"/>
      <c r="C2" s="303"/>
      <c r="D2" s="299"/>
      <c r="E2" s="303"/>
      <c r="F2" s="299"/>
      <c r="G2" s="294"/>
      <c r="H2" s="294"/>
      <c r="I2" s="294"/>
      <c r="J2" s="295"/>
      <c r="K2" s="294"/>
      <c r="L2" s="299"/>
      <c r="M2" s="294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3">
        <v>2029</v>
      </c>
      <c r="Y2" s="173">
        <v>2030</v>
      </c>
      <c r="Z2" s="209" t="s">
        <v>28</v>
      </c>
      <c r="AA2" s="209" t="s">
        <v>29</v>
      </c>
      <c r="AB2" s="209" t="s">
        <v>30</v>
      </c>
      <c r="AC2" s="210" t="s">
        <v>31</v>
      </c>
    </row>
    <row r="3" spans="1:30" s="43" customFormat="1" ht="54" customHeight="1" x14ac:dyDescent="0.25">
      <c r="A3" s="189">
        <v>1</v>
      </c>
      <c r="B3" s="203" t="s">
        <v>243</v>
      </c>
      <c r="C3" s="188"/>
      <c r="D3" s="204" t="s">
        <v>95</v>
      </c>
      <c r="E3" s="195">
        <v>1602</v>
      </c>
      <c r="F3" s="189" t="s">
        <v>120</v>
      </c>
      <c r="G3" s="189" t="s">
        <v>74</v>
      </c>
      <c r="H3" s="56"/>
      <c r="I3" s="206"/>
      <c r="J3" s="53"/>
      <c r="K3" s="54"/>
      <c r="L3" s="55"/>
      <c r="M3" s="214">
        <v>0.5</v>
      </c>
      <c r="N3" s="54"/>
      <c r="O3" s="54"/>
      <c r="P3" s="207"/>
      <c r="Q3" s="207"/>
      <c r="R3" s="207"/>
      <c r="S3" s="207"/>
      <c r="T3" s="207"/>
      <c r="U3" s="55"/>
      <c r="V3" s="55"/>
      <c r="W3" s="207"/>
      <c r="X3" s="207"/>
      <c r="Y3" s="207"/>
      <c r="Z3" s="209" t="b">
        <f t="shared" ref="Z3" si="0">K3=SUM(N3:Y3)</f>
        <v>1</v>
      </c>
      <c r="AA3" s="211" t="e">
        <f t="shared" ref="AA3" si="1">ROUND(K3/J3,4)</f>
        <v>#DIV/0!</v>
      </c>
      <c r="AB3" s="212" t="e">
        <f t="shared" ref="AB3" si="2">AA3=M3</f>
        <v>#DIV/0!</v>
      </c>
      <c r="AC3" s="212" t="b">
        <f t="shared" ref="AC3" si="3">J3=K3+L3</f>
        <v>1</v>
      </c>
      <c r="AD3" s="44"/>
    </row>
    <row r="4" spans="1:30" s="254" customFormat="1" ht="56.25" customHeight="1" x14ac:dyDescent="0.25">
      <c r="A4" s="189">
        <v>2</v>
      </c>
      <c r="B4" s="203" t="s">
        <v>244</v>
      </c>
      <c r="C4" s="189"/>
      <c r="D4" s="204" t="s">
        <v>121</v>
      </c>
      <c r="E4" s="195">
        <v>1605</v>
      </c>
      <c r="F4" s="189" t="s">
        <v>122</v>
      </c>
      <c r="G4" s="189" t="s">
        <v>72</v>
      </c>
      <c r="H4" s="56"/>
      <c r="I4" s="206"/>
      <c r="J4" s="53"/>
      <c r="K4" s="54"/>
      <c r="L4" s="55"/>
      <c r="M4" s="214">
        <v>0.5</v>
      </c>
      <c r="N4" s="53"/>
      <c r="O4" s="55"/>
      <c r="P4" s="207"/>
      <c r="Q4" s="207"/>
      <c r="R4" s="207"/>
      <c r="S4" s="207"/>
      <c r="T4" s="207"/>
      <c r="U4" s="55"/>
      <c r="V4" s="55"/>
      <c r="W4" s="207"/>
      <c r="X4" s="207"/>
      <c r="Y4" s="207"/>
      <c r="Z4" s="250" t="b">
        <f t="shared" ref="Z4:Z7" si="4">K4=SUM(N4:Y4)</f>
        <v>1</v>
      </c>
      <c r="AA4" s="251" t="e">
        <f t="shared" ref="AA4:AA7" si="5">ROUND(K4/J4,4)</f>
        <v>#DIV/0!</v>
      </c>
      <c r="AB4" s="252" t="e">
        <f t="shared" ref="AB4" si="6">AA4=M4</f>
        <v>#DIV/0!</v>
      </c>
      <c r="AC4" s="252" t="b">
        <f t="shared" ref="AC4:AC7" si="7">J4=K4+L4</f>
        <v>1</v>
      </c>
      <c r="AD4" s="253"/>
    </row>
    <row r="5" spans="1:30" ht="20.100000000000001" customHeight="1" x14ac:dyDescent="0.25">
      <c r="A5" s="312" t="s">
        <v>44</v>
      </c>
      <c r="B5" s="312"/>
      <c r="C5" s="312"/>
      <c r="D5" s="312"/>
      <c r="E5" s="312"/>
      <c r="F5" s="312"/>
      <c r="G5" s="312"/>
      <c r="H5" s="60">
        <f>SUM(H3:H4)</f>
        <v>0</v>
      </c>
      <c r="I5" s="61" t="s">
        <v>14</v>
      </c>
      <c r="J5" s="62">
        <f>SUM(J3:J4)</f>
        <v>0</v>
      </c>
      <c r="K5" s="63">
        <f>SUM(K3:K4)</f>
        <v>0</v>
      </c>
      <c r="L5" s="63">
        <f>SUM(L3:L4)</f>
        <v>0</v>
      </c>
      <c r="M5" s="64" t="s">
        <v>14</v>
      </c>
      <c r="N5" s="71">
        <f t="shared" ref="N5:Y5" si="8">SUM(N3:N4)</f>
        <v>0</v>
      </c>
      <c r="O5" s="71">
        <f t="shared" si="8"/>
        <v>0</v>
      </c>
      <c r="P5" s="71">
        <f t="shared" si="8"/>
        <v>0</v>
      </c>
      <c r="Q5" s="71">
        <f t="shared" si="8"/>
        <v>0</v>
      </c>
      <c r="R5" s="71">
        <f t="shared" si="8"/>
        <v>0</v>
      </c>
      <c r="S5" s="71">
        <f t="shared" si="8"/>
        <v>0</v>
      </c>
      <c r="T5" s="71">
        <f t="shared" si="8"/>
        <v>0</v>
      </c>
      <c r="U5" s="71">
        <f t="shared" si="8"/>
        <v>0</v>
      </c>
      <c r="V5" s="71">
        <f t="shared" si="8"/>
        <v>0</v>
      </c>
      <c r="W5" s="71">
        <f t="shared" si="8"/>
        <v>0</v>
      </c>
      <c r="X5" s="71">
        <f t="shared" si="8"/>
        <v>0</v>
      </c>
      <c r="Y5" s="71">
        <f t="shared" si="8"/>
        <v>0</v>
      </c>
      <c r="Z5" s="209" t="b">
        <f t="shared" si="4"/>
        <v>1</v>
      </c>
      <c r="AA5" s="211" t="e">
        <f t="shared" ref="AA5" si="9">ROUND(K5/J5,4)</f>
        <v>#DIV/0!</v>
      </c>
      <c r="AB5" s="212" t="s">
        <v>14</v>
      </c>
      <c r="AC5" s="212" t="b">
        <f t="shared" ref="AC5" si="10">J5=K5+L5</f>
        <v>1</v>
      </c>
      <c r="AD5" s="35"/>
    </row>
    <row r="6" spans="1:30" ht="20.100000000000001" customHeight="1" x14ac:dyDescent="0.25">
      <c r="A6" s="312" t="s">
        <v>38</v>
      </c>
      <c r="B6" s="312"/>
      <c r="C6" s="312"/>
      <c r="D6" s="312"/>
      <c r="E6" s="312"/>
      <c r="F6" s="312"/>
      <c r="G6" s="312"/>
      <c r="H6" s="60">
        <f>SUMIF($C$3:$C$4,"N",H3:H4)</f>
        <v>0</v>
      </c>
      <c r="I6" s="61" t="s">
        <v>14</v>
      </c>
      <c r="J6" s="62">
        <f>SUMIF($C$3:$C$4,"N",J3:J4)</f>
        <v>0</v>
      </c>
      <c r="K6" s="63">
        <f>SUMIF($C$3:$C$4,"N",K3:K4)</f>
        <v>0</v>
      </c>
      <c r="L6" s="63">
        <f>SUMIF($C$3:$C$4,"N",L3:L4)</f>
        <v>0</v>
      </c>
      <c r="M6" s="64" t="s">
        <v>14</v>
      </c>
      <c r="N6" s="71">
        <f t="shared" ref="N6:Y6" si="11">SUMIF($C$3:$C$4,"N",N3:N4)</f>
        <v>0</v>
      </c>
      <c r="O6" s="71">
        <f t="shared" si="11"/>
        <v>0</v>
      </c>
      <c r="P6" s="71">
        <f t="shared" si="11"/>
        <v>0</v>
      </c>
      <c r="Q6" s="71">
        <f t="shared" si="11"/>
        <v>0</v>
      </c>
      <c r="R6" s="71">
        <f t="shared" si="11"/>
        <v>0</v>
      </c>
      <c r="S6" s="71">
        <f t="shared" si="11"/>
        <v>0</v>
      </c>
      <c r="T6" s="71">
        <f t="shared" si="11"/>
        <v>0</v>
      </c>
      <c r="U6" s="71">
        <f t="shared" si="11"/>
        <v>0</v>
      </c>
      <c r="V6" s="71">
        <f t="shared" si="11"/>
        <v>0</v>
      </c>
      <c r="W6" s="71">
        <f t="shared" si="11"/>
        <v>0</v>
      </c>
      <c r="X6" s="71">
        <f t="shared" si="11"/>
        <v>0</v>
      </c>
      <c r="Y6" s="71">
        <f t="shared" si="11"/>
        <v>0</v>
      </c>
      <c r="Z6" s="209" t="b">
        <f t="shared" si="4"/>
        <v>1</v>
      </c>
      <c r="AA6" s="211" t="e">
        <f t="shared" ref="AA6" si="12">ROUND(K6/J6,4)</f>
        <v>#DIV/0!</v>
      </c>
      <c r="AB6" s="212" t="s">
        <v>14</v>
      </c>
      <c r="AC6" s="212" t="b">
        <f t="shared" ref="AC6" si="13">J6=K6+L6</f>
        <v>1</v>
      </c>
      <c r="AD6" s="35"/>
    </row>
    <row r="7" spans="1:30" ht="20.100000000000001" customHeight="1" x14ac:dyDescent="0.25">
      <c r="A7" s="311" t="s">
        <v>39</v>
      </c>
      <c r="B7" s="311"/>
      <c r="C7" s="311"/>
      <c r="D7" s="311"/>
      <c r="E7" s="311"/>
      <c r="F7" s="311"/>
      <c r="G7" s="311"/>
      <c r="H7" s="66">
        <f>SUMIF($C$3:$C$4,"W",H3:H4)</f>
        <v>0</v>
      </c>
      <c r="I7" s="267" t="s">
        <v>14</v>
      </c>
      <c r="J7" s="67">
        <f>SUMIF($C$3:$C$4,"W",J3:J4)</f>
        <v>0</v>
      </c>
      <c r="K7" s="68">
        <f>SUMIF($C$3:$C$4,"W",K3:K4)</f>
        <v>0</v>
      </c>
      <c r="L7" s="68">
        <f>SUMIF($C$3:$C$4,"W",L3:L4)</f>
        <v>0</v>
      </c>
      <c r="M7" s="69" t="s">
        <v>14</v>
      </c>
      <c r="N7" s="72">
        <f t="shared" ref="N7:Y7" si="14">SUMIF($C$3:$C$4,"W",N3:N4)</f>
        <v>0</v>
      </c>
      <c r="O7" s="72">
        <f t="shared" si="14"/>
        <v>0</v>
      </c>
      <c r="P7" s="72">
        <f t="shared" si="14"/>
        <v>0</v>
      </c>
      <c r="Q7" s="72">
        <f t="shared" si="14"/>
        <v>0</v>
      </c>
      <c r="R7" s="72">
        <f t="shared" si="14"/>
        <v>0</v>
      </c>
      <c r="S7" s="72">
        <f t="shared" si="14"/>
        <v>0</v>
      </c>
      <c r="T7" s="72">
        <f t="shared" si="14"/>
        <v>0</v>
      </c>
      <c r="U7" s="72">
        <f t="shared" si="14"/>
        <v>0</v>
      </c>
      <c r="V7" s="72">
        <f t="shared" si="14"/>
        <v>0</v>
      </c>
      <c r="W7" s="72">
        <f t="shared" si="14"/>
        <v>0</v>
      </c>
      <c r="X7" s="72">
        <f t="shared" si="14"/>
        <v>0</v>
      </c>
      <c r="Y7" s="72">
        <f t="shared" si="14"/>
        <v>0</v>
      </c>
      <c r="Z7" s="209" t="b">
        <f t="shared" si="4"/>
        <v>1</v>
      </c>
      <c r="AA7" s="211" t="e">
        <f t="shared" si="5"/>
        <v>#DIV/0!</v>
      </c>
      <c r="AB7" s="212" t="s">
        <v>14</v>
      </c>
      <c r="AC7" s="212" t="b">
        <f t="shared" si="7"/>
        <v>1</v>
      </c>
      <c r="AD7" s="35"/>
    </row>
    <row r="8" spans="1:30" x14ac:dyDescent="0.25">
      <c r="A8" s="229"/>
    </row>
    <row r="9" spans="1:30" x14ac:dyDescent="0.25">
      <c r="A9" s="234" t="s">
        <v>24</v>
      </c>
    </row>
    <row r="10" spans="1:30" x14ac:dyDescent="0.25">
      <c r="A10" s="235" t="s">
        <v>25</v>
      </c>
    </row>
    <row r="11" spans="1:30" x14ac:dyDescent="0.25">
      <c r="A11" s="234" t="s">
        <v>35</v>
      </c>
    </row>
    <row r="12" spans="1:30" x14ac:dyDescent="0.25">
      <c r="A12" s="230"/>
    </row>
  </sheetData>
  <customSheetViews>
    <customSheetView guid="{A8A5BDFE-16B2-40FE-8A28-1419092A9D18}" scale="85" showPageBreaks="1" showGridLines="0" fitToPage="1" printArea="1" view="pageBreakPreview">
      <selection activeCell="B3" sqref="B3"/>
      <pageMargins left="0.23622047244094491" right="0.23622047244094491" top="0.74803149606299213" bottom="0.74803149606299213" header="0.31496062992125984" footer="0.31496062992125984"/>
      <pageSetup paperSize="8" scale="71" fitToHeight="0" orientation="landscape" r:id="rId1"/>
      <headerFooter>
        <oddHeader>&amp;LWojewództwo &amp;KFF0000Opolskie&amp;K01+000 - zadania powiatowe lista rezerwowa</oddHeader>
        <oddFooter>Strona &amp;P z &amp;N</oddFooter>
      </headerFooter>
    </customSheetView>
    <customSheetView guid="{B6C44C0D-54D9-45CE-9067-9F4D20DEBE8D}" scale="85" showPageBreaks="1" showGridLines="0" fitToPage="1" printArea="1" view="pageBreakPreview">
      <selection activeCell="B3" sqref="B3"/>
      <pageMargins left="0.23622047244094491" right="0.23622047244094491" top="0.74803149606299213" bottom="0.74803149606299213" header="0.31496062992125984" footer="0.31496062992125984"/>
      <pageSetup paperSize="8" scale="71" fitToHeight="0" orientation="landscape" r:id="rId2"/>
      <headerFooter>
        <oddHeader>&amp;LWojewództwo &amp;KFF0000Opolskie&amp;K01+000 - zadania powiatowe lista rezerwowa</oddHeader>
        <oddFooter>Strona &amp;P z &amp;N</oddFooter>
      </headerFooter>
    </customSheetView>
  </customSheetViews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Y1"/>
  </mergeCells>
  <conditionalFormatting sqref="Z3:AB7">
    <cfRule type="containsText" dxfId="5" priority="3" operator="containsText" text="fałsz">
      <formula>NOT(ISERROR(SEARCH("fałsz",Z3)))</formula>
    </cfRule>
  </conditionalFormatting>
  <conditionalFormatting sqref="Z3:AD7">
    <cfRule type="cellIs" dxfId="4" priority="1" operator="equal">
      <formula>FALSE</formula>
    </cfRule>
  </conditionalFormatting>
  <dataValidations count="2">
    <dataValidation type="list" allowBlank="1" showInputMessage="1" showErrorMessage="1" sqref="C3:C4" xr:uid="{00000000-0002-0000-0300-000000000000}">
      <formula1>"N,W"</formula1>
    </dataValidation>
    <dataValidation type="list" allowBlank="1" showInputMessage="1" showErrorMessage="1" sqref="G3:G4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77" fitToHeight="0" orientation="landscape" r:id="rId3"/>
  <headerFooter>
    <oddHeader>&amp;LWojewództwo &amp;KFF0000Opolskie&amp;K01+000 - zadania powiatowe lista rezerwowa</oddHeader>
    <oddFooter>Strona &amp;P z &amp;N</oddFooter>
  </headerFooter>
  <ignoredErrors>
    <ignoredError sqref="N5:Y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9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1" width="5" style="232" customWidth="1"/>
    <col min="2" max="2" width="15.7109375" style="13" customWidth="1"/>
    <col min="3" max="3" width="7.42578125" style="1" customWidth="1"/>
    <col min="4" max="4" width="18.5703125" style="13" customWidth="1"/>
    <col min="5" max="5" width="9.7109375" style="1" customWidth="1"/>
    <col min="6" max="6" width="15.7109375" style="13" customWidth="1"/>
    <col min="7" max="7" width="52.7109375" style="1" customWidth="1"/>
    <col min="8" max="8" width="7.85546875" style="1" customWidth="1"/>
    <col min="9" max="9" width="8.28515625" style="13" customWidth="1"/>
    <col min="10" max="10" width="11.85546875" style="1" customWidth="1"/>
    <col min="11" max="11" width="15.7109375" style="37" customWidth="1"/>
    <col min="12" max="12" width="14.28515625" style="13" customWidth="1"/>
    <col min="13" max="13" width="13.85546875" style="13" customWidth="1"/>
    <col min="14" max="14" width="13.140625" style="1" customWidth="1"/>
    <col min="15" max="21" width="6.28515625" style="13" customWidth="1"/>
    <col min="22" max="22" width="13.85546875" style="13" customWidth="1"/>
    <col min="23" max="26" width="6" style="13" customWidth="1"/>
    <col min="27" max="30" width="15.7109375" style="13" customWidth="1"/>
    <col min="31" max="16384" width="9.140625" style="13"/>
  </cols>
  <sheetData>
    <row r="1" spans="1:30" ht="20.100000000000001" customHeight="1" x14ac:dyDescent="0.25">
      <c r="A1" s="313" t="s">
        <v>4</v>
      </c>
      <c r="B1" s="294" t="s">
        <v>5</v>
      </c>
      <c r="C1" s="302" t="s">
        <v>45</v>
      </c>
      <c r="D1" s="298" t="s">
        <v>6</v>
      </c>
      <c r="E1" s="298" t="s">
        <v>32</v>
      </c>
      <c r="F1" s="298" t="s">
        <v>15</v>
      </c>
      <c r="G1" s="294" t="s">
        <v>7</v>
      </c>
      <c r="H1" s="294" t="s">
        <v>26</v>
      </c>
      <c r="I1" s="294" t="s">
        <v>8</v>
      </c>
      <c r="J1" s="294" t="s">
        <v>27</v>
      </c>
      <c r="K1" s="295" t="s">
        <v>9</v>
      </c>
      <c r="L1" s="294" t="s">
        <v>10</v>
      </c>
      <c r="M1" s="298" t="s">
        <v>13</v>
      </c>
      <c r="N1" s="294" t="s">
        <v>11</v>
      </c>
      <c r="O1" s="303" t="s">
        <v>12</v>
      </c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</row>
    <row r="2" spans="1:30" ht="25.5" customHeight="1" x14ac:dyDescent="0.25">
      <c r="A2" s="313"/>
      <c r="B2" s="294"/>
      <c r="C2" s="303"/>
      <c r="D2" s="299"/>
      <c r="E2" s="299"/>
      <c r="F2" s="299"/>
      <c r="G2" s="294"/>
      <c r="H2" s="294"/>
      <c r="I2" s="294"/>
      <c r="J2" s="294"/>
      <c r="K2" s="295"/>
      <c r="L2" s="294"/>
      <c r="M2" s="299"/>
      <c r="N2" s="294"/>
      <c r="O2" s="36">
        <v>2019</v>
      </c>
      <c r="P2" s="36">
        <v>2020</v>
      </c>
      <c r="Q2" s="36">
        <v>2021</v>
      </c>
      <c r="R2" s="36">
        <v>2022</v>
      </c>
      <c r="S2" s="36">
        <v>2023</v>
      </c>
      <c r="T2" s="36">
        <v>2024</v>
      </c>
      <c r="U2" s="36">
        <v>2025</v>
      </c>
      <c r="V2" s="36">
        <v>2026</v>
      </c>
      <c r="W2" s="36">
        <v>2027</v>
      </c>
      <c r="X2" s="36">
        <v>2028</v>
      </c>
      <c r="Y2" s="173">
        <v>2029</v>
      </c>
      <c r="Z2" s="173">
        <v>2030</v>
      </c>
      <c r="AA2" s="1" t="s">
        <v>28</v>
      </c>
      <c r="AB2" s="1" t="s">
        <v>29</v>
      </c>
      <c r="AC2" s="1" t="s">
        <v>30</v>
      </c>
      <c r="AD2" s="40" t="s">
        <v>31</v>
      </c>
    </row>
    <row r="3" spans="1:30" ht="55.5" customHeight="1" x14ac:dyDescent="0.25">
      <c r="A3" s="189">
        <v>1</v>
      </c>
      <c r="B3" s="49" t="s">
        <v>246</v>
      </c>
      <c r="C3" s="188"/>
      <c r="D3" s="50" t="s">
        <v>199</v>
      </c>
      <c r="E3" s="195">
        <v>1605013</v>
      </c>
      <c r="F3" s="49" t="s">
        <v>121</v>
      </c>
      <c r="G3" s="189" t="s">
        <v>200</v>
      </c>
      <c r="H3" s="189" t="s">
        <v>66</v>
      </c>
      <c r="I3" s="51"/>
      <c r="J3" s="272"/>
      <c r="K3" s="46"/>
      <c r="L3" s="45"/>
      <c r="M3" s="52"/>
      <c r="N3" s="214">
        <v>0.5</v>
      </c>
      <c r="O3" s="45"/>
      <c r="P3" s="45"/>
      <c r="Q3" s="45"/>
      <c r="R3" s="45"/>
      <c r="S3" s="45"/>
      <c r="T3" s="45"/>
      <c r="U3" s="45"/>
      <c r="V3" s="52"/>
      <c r="W3" s="52"/>
      <c r="X3" s="52"/>
      <c r="Y3" s="52"/>
      <c r="Z3" s="52"/>
      <c r="AA3" s="1" t="b">
        <f t="shared" ref="AA3:AA11" si="0">L3=SUM(O3:Z3)</f>
        <v>1</v>
      </c>
      <c r="AB3" s="41" t="e">
        <f t="shared" ref="AB3:AB11" si="1">ROUND(L3/K3,4)</f>
        <v>#DIV/0!</v>
      </c>
      <c r="AC3" s="42" t="e">
        <f t="shared" ref="AC3:AC11" si="2">AB3=N3</f>
        <v>#DIV/0!</v>
      </c>
      <c r="AD3" s="42" t="b">
        <f t="shared" ref="AD3:AD11" si="3">K3=L3+M3</f>
        <v>1</v>
      </c>
    </row>
    <row r="4" spans="1:30" ht="51" customHeight="1" x14ac:dyDescent="0.25">
      <c r="A4" s="189">
        <v>2</v>
      </c>
      <c r="B4" s="49" t="s">
        <v>247</v>
      </c>
      <c r="C4" s="188"/>
      <c r="D4" s="50" t="s">
        <v>201</v>
      </c>
      <c r="E4" s="195">
        <v>1608013</v>
      </c>
      <c r="F4" s="49" t="s">
        <v>81</v>
      </c>
      <c r="G4" s="189" t="s">
        <v>202</v>
      </c>
      <c r="H4" s="189" t="s">
        <v>66</v>
      </c>
      <c r="I4" s="51"/>
      <c r="J4" s="272"/>
      <c r="K4" s="46"/>
      <c r="L4" s="45"/>
      <c r="M4" s="52"/>
      <c r="N4" s="214">
        <v>0.5</v>
      </c>
      <c r="O4" s="45"/>
      <c r="P4" s="45"/>
      <c r="Q4" s="45"/>
      <c r="R4" s="45"/>
      <c r="S4" s="45"/>
      <c r="T4" s="45"/>
      <c r="U4" s="45"/>
      <c r="V4" s="52"/>
      <c r="W4" s="52"/>
      <c r="X4" s="52"/>
      <c r="Y4" s="52"/>
      <c r="Z4" s="52"/>
      <c r="AA4" s="1" t="b">
        <f t="shared" si="0"/>
        <v>1</v>
      </c>
      <c r="AB4" s="41" t="e">
        <f t="shared" si="1"/>
        <v>#DIV/0!</v>
      </c>
      <c r="AC4" s="42" t="e">
        <f t="shared" si="2"/>
        <v>#DIV/0!</v>
      </c>
      <c r="AD4" s="42" t="b">
        <f t="shared" si="3"/>
        <v>1</v>
      </c>
    </row>
    <row r="5" spans="1:30" ht="51" customHeight="1" x14ac:dyDescent="0.25">
      <c r="A5" s="189">
        <v>3</v>
      </c>
      <c r="B5" s="49" t="s">
        <v>252</v>
      </c>
      <c r="C5" s="188"/>
      <c r="D5" s="50" t="s">
        <v>203</v>
      </c>
      <c r="E5" s="195">
        <v>1611033</v>
      </c>
      <c r="F5" s="49" t="s">
        <v>64</v>
      </c>
      <c r="G5" s="189" t="s">
        <v>204</v>
      </c>
      <c r="H5" s="189" t="s">
        <v>72</v>
      </c>
      <c r="I5" s="51"/>
      <c r="J5" s="272"/>
      <c r="K5" s="46"/>
      <c r="L5" s="45"/>
      <c r="M5" s="52"/>
      <c r="N5" s="214">
        <v>0.5</v>
      </c>
      <c r="O5" s="45"/>
      <c r="P5" s="45"/>
      <c r="Q5" s="45"/>
      <c r="R5" s="45"/>
      <c r="S5" s="45"/>
      <c r="T5" s="45"/>
      <c r="U5" s="45"/>
      <c r="V5" s="52"/>
      <c r="W5" s="52"/>
      <c r="X5" s="52"/>
      <c r="Y5" s="52"/>
      <c r="Z5" s="52"/>
      <c r="AA5" s="1" t="b">
        <f t="shared" si="0"/>
        <v>1</v>
      </c>
      <c r="AB5" s="41" t="e">
        <f t="shared" si="1"/>
        <v>#DIV/0!</v>
      </c>
      <c r="AC5" s="42" t="e">
        <f t="shared" si="2"/>
        <v>#DIV/0!</v>
      </c>
      <c r="AD5" s="42" t="b">
        <f t="shared" si="3"/>
        <v>1</v>
      </c>
    </row>
    <row r="6" spans="1:30" ht="30" customHeight="1" x14ac:dyDescent="0.25">
      <c r="A6" s="189">
        <v>4</v>
      </c>
      <c r="B6" s="49" t="s">
        <v>184</v>
      </c>
      <c r="C6" s="188" t="s">
        <v>69</v>
      </c>
      <c r="D6" s="50" t="s">
        <v>209</v>
      </c>
      <c r="E6" s="195">
        <v>1609012</v>
      </c>
      <c r="F6" s="49" t="s">
        <v>63</v>
      </c>
      <c r="G6" s="189" t="s">
        <v>210</v>
      </c>
      <c r="H6" s="189" t="s">
        <v>66</v>
      </c>
      <c r="I6" s="51">
        <v>0.11</v>
      </c>
      <c r="J6" s="272" t="s">
        <v>211</v>
      </c>
      <c r="K6" s="46">
        <v>620834.30000000005</v>
      </c>
      <c r="L6" s="45">
        <f t="shared" ref="L6:L11" si="4">ROUNDDOWN(K6*N6,2)</f>
        <v>310417.15000000002</v>
      </c>
      <c r="M6" s="52">
        <f t="shared" ref="M6:M11" si="5">K6-L6</f>
        <v>310417.15000000002</v>
      </c>
      <c r="N6" s="214">
        <v>0.5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52">
        <f t="shared" ref="V6:V11" si="6">L6</f>
        <v>310417.15000000002</v>
      </c>
      <c r="W6" s="52">
        <v>0</v>
      </c>
      <c r="X6" s="52">
        <v>0</v>
      </c>
      <c r="Y6" s="52">
        <v>0</v>
      </c>
      <c r="Z6" s="52">
        <v>0</v>
      </c>
      <c r="AA6" s="1" t="b">
        <f t="shared" si="0"/>
        <v>1</v>
      </c>
      <c r="AB6" s="41">
        <f t="shared" si="1"/>
        <v>0.5</v>
      </c>
      <c r="AC6" s="42" t="b">
        <f t="shared" si="2"/>
        <v>1</v>
      </c>
      <c r="AD6" s="42" t="b">
        <f t="shared" si="3"/>
        <v>1</v>
      </c>
    </row>
    <row r="7" spans="1:30" ht="30" customHeight="1" x14ac:dyDescent="0.25">
      <c r="A7" s="189">
        <v>5</v>
      </c>
      <c r="B7" s="49" t="s">
        <v>186</v>
      </c>
      <c r="C7" s="188" t="s">
        <v>69</v>
      </c>
      <c r="D7" s="50" t="s">
        <v>145</v>
      </c>
      <c r="E7" s="195" t="s">
        <v>146</v>
      </c>
      <c r="F7" s="49" t="s">
        <v>63</v>
      </c>
      <c r="G7" s="189" t="s">
        <v>215</v>
      </c>
      <c r="H7" s="189" t="s">
        <v>66</v>
      </c>
      <c r="I7" s="51">
        <v>0.16108</v>
      </c>
      <c r="J7" s="272" t="s">
        <v>216</v>
      </c>
      <c r="K7" s="46">
        <v>1237535.27</v>
      </c>
      <c r="L7" s="45">
        <f t="shared" si="4"/>
        <v>618767.63</v>
      </c>
      <c r="M7" s="52">
        <f t="shared" si="5"/>
        <v>618767.64</v>
      </c>
      <c r="N7" s="214">
        <v>0.5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52">
        <f t="shared" si="6"/>
        <v>618767.63</v>
      </c>
      <c r="W7" s="52">
        <v>0</v>
      </c>
      <c r="X7" s="52">
        <v>0</v>
      </c>
      <c r="Y7" s="52">
        <v>0</v>
      </c>
      <c r="Z7" s="52">
        <v>0</v>
      </c>
      <c r="AA7" s="1" t="b">
        <f t="shared" si="0"/>
        <v>1</v>
      </c>
      <c r="AB7" s="41">
        <f t="shared" si="1"/>
        <v>0.5</v>
      </c>
      <c r="AC7" s="42" t="b">
        <f t="shared" si="2"/>
        <v>1</v>
      </c>
      <c r="AD7" s="42" t="b">
        <f t="shared" si="3"/>
        <v>1</v>
      </c>
    </row>
    <row r="8" spans="1:30" ht="30" customHeight="1" x14ac:dyDescent="0.25">
      <c r="A8" s="189">
        <v>6</v>
      </c>
      <c r="B8" s="49" t="s">
        <v>187</v>
      </c>
      <c r="C8" s="188" t="s">
        <v>69</v>
      </c>
      <c r="D8" s="50" t="s">
        <v>203</v>
      </c>
      <c r="E8" s="195">
        <v>1611033</v>
      </c>
      <c r="F8" s="49" t="s">
        <v>64</v>
      </c>
      <c r="G8" s="189" t="s">
        <v>217</v>
      </c>
      <c r="H8" s="189" t="s">
        <v>66</v>
      </c>
      <c r="I8" s="51">
        <v>0.249</v>
      </c>
      <c r="J8" s="272" t="s">
        <v>205</v>
      </c>
      <c r="K8" s="46">
        <v>1443870.54</v>
      </c>
      <c r="L8" s="45">
        <f t="shared" si="4"/>
        <v>721935.27</v>
      </c>
      <c r="M8" s="52">
        <f t="shared" si="5"/>
        <v>721935.27</v>
      </c>
      <c r="N8" s="214">
        <v>0.5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52">
        <f t="shared" si="6"/>
        <v>721935.27</v>
      </c>
      <c r="W8" s="52">
        <v>0</v>
      </c>
      <c r="X8" s="52">
        <v>0</v>
      </c>
      <c r="Y8" s="52">
        <v>0</v>
      </c>
      <c r="Z8" s="52">
        <v>0</v>
      </c>
      <c r="AA8" s="1" t="b">
        <f t="shared" si="0"/>
        <v>1</v>
      </c>
      <c r="AB8" s="41">
        <f t="shared" si="1"/>
        <v>0.5</v>
      </c>
      <c r="AC8" s="42" t="b">
        <f t="shared" si="2"/>
        <v>1</v>
      </c>
      <c r="AD8" s="42" t="b">
        <f t="shared" si="3"/>
        <v>1</v>
      </c>
    </row>
    <row r="9" spans="1:30" ht="30" customHeight="1" x14ac:dyDescent="0.25">
      <c r="A9" s="189">
        <v>7</v>
      </c>
      <c r="B9" s="49" t="s">
        <v>191</v>
      </c>
      <c r="C9" s="188" t="s">
        <v>69</v>
      </c>
      <c r="D9" s="50" t="s">
        <v>225</v>
      </c>
      <c r="E9" s="195">
        <v>1607092</v>
      </c>
      <c r="F9" s="49" t="s">
        <v>70</v>
      </c>
      <c r="G9" s="189" t="s">
        <v>226</v>
      </c>
      <c r="H9" s="189" t="s">
        <v>66</v>
      </c>
      <c r="I9" s="51">
        <v>7.3999999999999996E-2</v>
      </c>
      <c r="J9" s="272" t="s">
        <v>175</v>
      </c>
      <c r="K9" s="46">
        <v>1339601.02</v>
      </c>
      <c r="L9" s="45">
        <f t="shared" ref="L9" si="7">ROUNDDOWN(K9*N9,2)</f>
        <v>669800.51</v>
      </c>
      <c r="M9" s="52">
        <f t="shared" ref="M9" si="8">K9-L9</f>
        <v>669800.51</v>
      </c>
      <c r="N9" s="214">
        <v>0.5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52">
        <f t="shared" ref="V9" si="9">L9</f>
        <v>669800.51</v>
      </c>
      <c r="W9" s="52">
        <v>0</v>
      </c>
      <c r="X9" s="52">
        <v>0</v>
      </c>
      <c r="Y9" s="52">
        <v>0</v>
      </c>
      <c r="Z9" s="52">
        <v>0</v>
      </c>
      <c r="AA9" s="1" t="b">
        <f t="shared" ref="AA9" si="10">L9=SUM(O9:Z9)</f>
        <v>1</v>
      </c>
      <c r="AB9" s="41">
        <f t="shared" ref="AB9" si="11">ROUND(L9/K9,4)</f>
        <v>0.5</v>
      </c>
      <c r="AC9" s="42" t="b">
        <f t="shared" ref="AC9" si="12">AB9=N9</f>
        <v>1</v>
      </c>
      <c r="AD9" s="42" t="b">
        <f t="shared" ref="AD9" si="13">K9=L9+M9</f>
        <v>1</v>
      </c>
    </row>
    <row r="10" spans="1:30" ht="30" customHeight="1" x14ac:dyDescent="0.25">
      <c r="A10" s="189">
        <v>8</v>
      </c>
      <c r="B10" s="49" t="s">
        <v>190</v>
      </c>
      <c r="C10" s="188" t="s">
        <v>69</v>
      </c>
      <c r="D10" s="50" t="s">
        <v>222</v>
      </c>
      <c r="E10" s="195">
        <v>1611063</v>
      </c>
      <c r="F10" s="49" t="s">
        <v>64</v>
      </c>
      <c r="G10" s="189" t="s">
        <v>223</v>
      </c>
      <c r="H10" s="189" t="s">
        <v>72</v>
      </c>
      <c r="I10" s="51">
        <v>0.29699999999999999</v>
      </c>
      <c r="J10" s="272" t="s">
        <v>224</v>
      </c>
      <c r="K10" s="46">
        <v>1306440.44</v>
      </c>
      <c r="L10" s="45">
        <f t="shared" si="4"/>
        <v>653220.22</v>
      </c>
      <c r="M10" s="52">
        <f t="shared" si="5"/>
        <v>653220.22</v>
      </c>
      <c r="N10" s="214">
        <v>0.5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52">
        <f t="shared" si="6"/>
        <v>653220.22</v>
      </c>
      <c r="W10" s="52">
        <v>0</v>
      </c>
      <c r="X10" s="52">
        <v>0</v>
      </c>
      <c r="Y10" s="52">
        <v>0</v>
      </c>
      <c r="Z10" s="52">
        <v>0</v>
      </c>
      <c r="AA10" s="1" t="b">
        <f t="shared" si="0"/>
        <v>1</v>
      </c>
      <c r="AB10" s="41">
        <f t="shared" si="1"/>
        <v>0.5</v>
      </c>
      <c r="AC10" s="42" t="b">
        <f t="shared" si="2"/>
        <v>1</v>
      </c>
      <c r="AD10" s="42" t="b">
        <f t="shared" si="3"/>
        <v>1</v>
      </c>
    </row>
    <row r="11" spans="1:30" ht="30" customHeight="1" x14ac:dyDescent="0.25">
      <c r="A11" s="189">
        <v>9</v>
      </c>
      <c r="B11" s="49" t="s">
        <v>192</v>
      </c>
      <c r="C11" s="188" t="s">
        <v>69</v>
      </c>
      <c r="D11" s="50" t="s">
        <v>227</v>
      </c>
      <c r="E11" s="195">
        <v>1611043</v>
      </c>
      <c r="F11" s="49" t="s">
        <v>64</v>
      </c>
      <c r="G11" s="189" t="s">
        <v>228</v>
      </c>
      <c r="H11" s="189" t="s">
        <v>74</v>
      </c>
      <c r="I11" s="51">
        <v>0.25</v>
      </c>
      <c r="J11" s="272" t="s">
        <v>216</v>
      </c>
      <c r="K11" s="46">
        <v>820425.1</v>
      </c>
      <c r="L11" s="45">
        <f t="shared" si="4"/>
        <v>410212.55</v>
      </c>
      <c r="M11" s="52">
        <f t="shared" si="5"/>
        <v>410212.55</v>
      </c>
      <c r="N11" s="214">
        <v>0.5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52">
        <f t="shared" si="6"/>
        <v>410212.55</v>
      </c>
      <c r="W11" s="52">
        <v>0</v>
      </c>
      <c r="X11" s="52">
        <v>0</v>
      </c>
      <c r="Y11" s="52">
        <v>0</v>
      </c>
      <c r="Z11" s="52">
        <v>0</v>
      </c>
      <c r="AA11" s="1" t="b">
        <f t="shared" si="0"/>
        <v>1</v>
      </c>
      <c r="AB11" s="41">
        <f t="shared" si="1"/>
        <v>0.5</v>
      </c>
      <c r="AC11" s="42" t="b">
        <f t="shared" si="2"/>
        <v>1</v>
      </c>
      <c r="AD11" s="42" t="b">
        <f t="shared" si="3"/>
        <v>1</v>
      </c>
    </row>
    <row r="12" spans="1:30" ht="20.100000000000001" customHeight="1" x14ac:dyDescent="0.25">
      <c r="A12" s="312" t="s">
        <v>44</v>
      </c>
      <c r="B12" s="312"/>
      <c r="C12" s="312"/>
      <c r="D12" s="312"/>
      <c r="E12" s="312"/>
      <c r="F12" s="312"/>
      <c r="G12" s="312"/>
      <c r="H12" s="312"/>
      <c r="I12" s="60">
        <f>SUM(I3:I11)</f>
        <v>1.1410799999999999</v>
      </c>
      <c r="J12" s="61" t="s">
        <v>14</v>
      </c>
      <c r="K12" s="62">
        <f>SUM(K3:K11)</f>
        <v>6768706.6699999999</v>
      </c>
      <c r="L12" s="63">
        <f>SUM(L3:L11)</f>
        <v>3384353.33</v>
      </c>
      <c r="M12" s="63">
        <f>SUM(M3:M11)</f>
        <v>3384353.34</v>
      </c>
      <c r="N12" s="64" t="s">
        <v>14</v>
      </c>
      <c r="O12" s="71">
        <f t="shared" ref="O12:Z12" si="14">SUM(O3:O11)</f>
        <v>0</v>
      </c>
      <c r="P12" s="71">
        <f t="shared" si="14"/>
        <v>0</v>
      </c>
      <c r="Q12" s="71">
        <f t="shared" si="14"/>
        <v>0</v>
      </c>
      <c r="R12" s="71">
        <f t="shared" si="14"/>
        <v>0</v>
      </c>
      <c r="S12" s="71">
        <f t="shared" si="14"/>
        <v>0</v>
      </c>
      <c r="T12" s="71">
        <f t="shared" si="14"/>
        <v>0</v>
      </c>
      <c r="U12" s="71">
        <f t="shared" si="14"/>
        <v>0</v>
      </c>
      <c r="V12" s="71">
        <f t="shared" si="14"/>
        <v>3384353.33</v>
      </c>
      <c r="W12" s="71">
        <f t="shared" si="14"/>
        <v>0</v>
      </c>
      <c r="X12" s="71">
        <f t="shared" si="14"/>
        <v>0</v>
      </c>
      <c r="Y12" s="71">
        <f t="shared" si="14"/>
        <v>0</v>
      </c>
      <c r="Z12" s="71">
        <f t="shared" si="14"/>
        <v>0</v>
      </c>
      <c r="AA12" s="1" t="b">
        <f t="shared" ref="AA12:AA14" si="15">L12=SUM(O12:Z12)</f>
        <v>1</v>
      </c>
      <c r="AB12" s="41">
        <f>ROUND(L12/K12,4)</f>
        <v>0.5</v>
      </c>
      <c r="AC12" s="42" t="s">
        <v>14</v>
      </c>
      <c r="AD12" s="42" t="b">
        <f t="shared" ref="AD12" si="16">K12=L12+M12</f>
        <v>1</v>
      </c>
    </row>
    <row r="13" spans="1:30" ht="20.100000000000001" customHeight="1" x14ac:dyDescent="0.25">
      <c r="A13" s="308" t="s">
        <v>38</v>
      </c>
      <c r="B13" s="309"/>
      <c r="C13" s="309"/>
      <c r="D13" s="309"/>
      <c r="E13" s="309"/>
      <c r="F13" s="309"/>
      <c r="G13" s="309"/>
      <c r="H13" s="310"/>
      <c r="I13" s="60">
        <f>SUMIF($C$3:$C$11,"N",I3:I11)</f>
        <v>1.1410799999999999</v>
      </c>
      <c r="J13" s="61" t="s">
        <v>14</v>
      </c>
      <c r="K13" s="62">
        <f>SUMIF($C$3:$C$11,"N",K3:K11)</f>
        <v>6768706.6699999999</v>
      </c>
      <c r="L13" s="63">
        <f>SUMIF($C$3:$C$11,"N",L3:L11)</f>
        <v>3384353.33</v>
      </c>
      <c r="M13" s="63">
        <f>SUMIF($C$3:$C$11,"N",M3:M11)</f>
        <v>3384353.34</v>
      </c>
      <c r="N13" s="64" t="s">
        <v>14</v>
      </c>
      <c r="O13" s="71">
        <f t="shared" ref="O13:Z13" si="17">SUMIF($C$3:$C$11,"N",O3:O11)</f>
        <v>0</v>
      </c>
      <c r="P13" s="71">
        <f t="shared" si="17"/>
        <v>0</v>
      </c>
      <c r="Q13" s="71">
        <f t="shared" si="17"/>
        <v>0</v>
      </c>
      <c r="R13" s="71">
        <f t="shared" si="17"/>
        <v>0</v>
      </c>
      <c r="S13" s="71">
        <f t="shared" si="17"/>
        <v>0</v>
      </c>
      <c r="T13" s="71">
        <f t="shared" si="17"/>
        <v>0</v>
      </c>
      <c r="U13" s="71">
        <f t="shared" si="17"/>
        <v>0</v>
      </c>
      <c r="V13" s="71">
        <f t="shared" si="17"/>
        <v>3384353.33</v>
      </c>
      <c r="W13" s="71">
        <f t="shared" si="17"/>
        <v>0</v>
      </c>
      <c r="X13" s="71">
        <f t="shared" si="17"/>
        <v>0</v>
      </c>
      <c r="Y13" s="71">
        <f t="shared" si="17"/>
        <v>0</v>
      </c>
      <c r="Z13" s="71">
        <f t="shared" si="17"/>
        <v>0</v>
      </c>
      <c r="AA13" s="1" t="b">
        <f t="shared" si="15"/>
        <v>1</v>
      </c>
      <c r="AB13" s="41">
        <f t="shared" ref="AB13" si="18">ROUND(L13/K13,4)</f>
        <v>0.5</v>
      </c>
      <c r="AC13" s="42" t="s">
        <v>14</v>
      </c>
      <c r="AD13" s="42" t="b">
        <f t="shared" ref="AD13" si="19">K13=L13+M13</f>
        <v>1</v>
      </c>
    </row>
    <row r="14" spans="1:30" ht="20.100000000000001" customHeight="1" x14ac:dyDescent="0.25">
      <c r="A14" s="311" t="s">
        <v>39</v>
      </c>
      <c r="B14" s="311"/>
      <c r="C14" s="311"/>
      <c r="D14" s="311"/>
      <c r="E14" s="311"/>
      <c r="F14" s="311"/>
      <c r="G14" s="311"/>
      <c r="H14" s="311"/>
      <c r="I14" s="66">
        <f>SUMIF($C$3:$C$11,"W",I3:I11)</f>
        <v>0</v>
      </c>
      <c r="J14" s="267" t="s">
        <v>14</v>
      </c>
      <c r="K14" s="67">
        <f>SUMIF($C$3:$C$11,"W",K3:K11)</f>
        <v>0</v>
      </c>
      <c r="L14" s="68">
        <f>SUMIF($C$3:$C$11,"W",L3:L11)</f>
        <v>0</v>
      </c>
      <c r="M14" s="68">
        <f>SUMIF($C$3:$C$11,"W",M3:M11)</f>
        <v>0</v>
      </c>
      <c r="N14" s="69" t="s">
        <v>14</v>
      </c>
      <c r="O14" s="72">
        <f t="shared" ref="O14:Z14" si="20">SUMIF($C$3:$C$11,"W",O3:O11)</f>
        <v>0</v>
      </c>
      <c r="P14" s="72">
        <f t="shared" si="20"/>
        <v>0</v>
      </c>
      <c r="Q14" s="72">
        <f t="shared" si="20"/>
        <v>0</v>
      </c>
      <c r="R14" s="72">
        <f t="shared" si="20"/>
        <v>0</v>
      </c>
      <c r="S14" s="72">
        <f t="shared" si="20"/>
        <v>0</v>
      </c>
      <c r="T14" s="72">
        <f t="shared" si="20"/>
        <v>0</v>
      </c>
      <c r="U14" s="72">
        <f t="shared" si="20"/>
        <v>0</v>
      </c>
      <c r="V14" s="72">
        <f t="shared" si="20"/>
        <v>0</v>
      </c>
      <c r="W14" s="72">
        <f t="shared" si="20"/>
        <v>0</v>
      </c>
      <c r="X14" s="72">
        <f t="shared" si="20"/>
        <v>0</v>
      </c>
      <c r="Y14" s="72">
        <f t="shared" si="20"/>
        <v>0</v>
      </c>
      <c r="Z14" s="72">
        <f t="shared" si="20"/>
        <v>0</v>
      </c>
      <c r="AA14" s="1" t="b">
        <f t="shared" si="15"/>
        <v>1</v>
      </c>
      <c r="AB14" s="41" t="e">
        <f t="shared" ref="AB14" si="21">ROUND(L14/K14,4)</f>
        <v>#DIV/0!</v>
      </c>
      <c r="AC14" s="42" t="s">
        <v>14</v>
      </c>
      <c r="AD14" s="42" t="b">
        <f t="shared" ref="AD14" si="22">K14=L14+M14</f>
        <v>1</v>
      </c>
    </row>
    <row r="15" spans="1:30" x14ac:dyDescent="0.25">
      <c r="A15" s="231"/>
      <c r="AD15" s="35"/>
    </row>
    <row r="16" spans="1:30" x14ac:dyDescent="0.25">
      <c r="A16" s="191" t="s">
        <v>24</v>
      </c>
    </row>
    <row r="17" spans="1:1" x14ac:dyDescent="0.25">
      <c r="A17" s="192" t="s">
        <v>25</v>
      </c>
    </row>
    <row r="18" spans="1:1" x14ac:dyDescent="0.25">
      <c r="A18" s="191" t="s">
        <v>35</v>
      </c>
    </row>
    <row r="19" spans="1:1" x14ac:dyDescent="0.25">
      <c r="A19" s="230"/>
    </row>
  </sheetData>
  <customSheetViews>
    <customSheetView guid="{A8A5BDFE-16B2-40FE-8A28-1419092A9D18}" scale="85" showPageBreaks="1" showGridLines="0" fitToPage="1" printArea="1" view="pageBreakPreview">
      <selection activeCell="L26" sqref="L26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1"/>
      <headerFooter>
        <oddHeader>&amp;LWojewództwo Opolskie - zadania gminne lista rezerwowa</oddHeader>
        <oddFooter>Strona &amp;P z &amp;N</oddFooter>
      </headerFooter>
    </customSheetView>
    <customSheetView guid="{B6C44C0D-54D9-45CE-9067-9F4D20DEBE8D}" scale="85" showPageBreaks="1" showGridLines="0" fitToPage="1" printArea="1" view="pageBreakPreview">
      <selection activeCell="G9" sqref="G9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2"/>
      <headerFooter>
        <oddHeader>&amp;LWojewództwo Opolskie - zadania gminne lista rezerwowa</oddHeader>
        <oddFooter>Strona &amp;P z &amp;N</oddFooter>
      </headerFooter>
    </customSheetView>
  </customSheetViews>
  <mergeCells count="18">
    <mergeCell ref="O1:Z1"/>
    <mergeCell ref="M1:M2"/>
    <mergeCell ref="N1:N2"/>
    <mergeCell ref="A12:H12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13:H13"/>
    <mergeCell ref="D1:D2"/>
    <mergeCell ref="A14:H14"/>
    <mergeCell ref="E1:E2"/>
  </mergeCells>
  <conditionalFormatting sqref="AA3:AC14">
    <cfRule type="containsText" dxfId="3" priority="3" operator="containsText" text="fałsz">
      <formula>NOT(ISERROR(SEARCH("fałsz",AA3)))</formula>
    </cfRule>
  </conditionalFormatting>
  <conditionalFormatting sqref="AA3:AD11 AB12:AD12 AA12:AA14">
    <cfRule type="cellIs" dxfId="2" priority="20" operator="equal">
      <formula>FALSE</formula>
    </cfRule>
  </conditionalFormatting>
  <conditionalFormatting sqref="AB13:AC14">
    <cfRule type="cellIs" dxfId="1" priority="5" operator="equal">
      <formula>FALSE</formula>
    </cfRule>
  </conditionalFormatting>
  <conditionalFormatting sqref="AD13:AD15">
    <cfRule type="cellIs" dxfId="0" priority="1" operator="equal">
      <formula>FALSE</formula>
    </cfRule>
  </conditionalFormatting>
  <dataValidations count="2">
    <dataValidation type="list" allowBlank="1" showInputMessage="1" showErrorMessage="1" sqref="G3:G11" xr:uid="{00000000-0002-0000-0400-000000000000}">
      <formula1>"B,P,R"</formula1>
    </dataValidation>
    <dataValidation type="list" allowBlank="1" showInputMessage="1" showErrorMessage="1" sqref="C3:C11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70" fitToHeight="0" orientation="landscape" r:id="rId3"/>
  <headerFooter>
    <oddHeader>&amp;LWojewództwo Opolskie - zadania gminne lista rezerwowa</oddHeader>
    <oddFooter>Strona &amp;P z &amp;N</oddFooter>
  </headerFooter>
  <ignoredErrors>
    <ignoredError sqref="E7" numberStoredAsText="1"/>
    <ignoredError sqref="O12:Z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Kinga Kucharska</cp:lastModifiedBy>
  <cp:lastPrinted>2025-11-19T07:01:27Z</cp:lastPrinted>
  <dcterms:created xsi:type="dcterms:W3CDTF">2019-02-25T10:53:14Z</dcterms:created>
  <dcterms:modified xsi:type="dcterms:W3CDTF">2026-05-25T07:12:46Z</dcterms:modified>
</cp:coreProperties>
</file>