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'doch_wyd'!$A$1:$M$124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<sst xmlns="http://schemas.openxmlformats.org/spreadsheetml/2006/main" count="337" uniqueCount="116">
  <si>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</si>
  <si>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</si>
  <si>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</si>
  <si>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</si>
  <si>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</si>
  <si>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</si>
  <si>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</si>
  <si>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</si>
  <si>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</si>
  <si>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</si>
  <si>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</si>
  <si>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</si>
  <si>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</si>
  <si>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</si>
  <si>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</si>
  <si>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</si>
  <si>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</si>
  <si>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</si>
  <si>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</si>
  <si>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</si>
  <si>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</si>
  <si>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</si>
  <si>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</si>
  <si>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</si>
  <si>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</si>
  <si>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</si>
  <si>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</si>
  <si>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</si>
  <si>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</si>
  <si>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</si>
  <si>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</si>
  <si>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</si>
  <si>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</si>
  <si>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</si>
  <si>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</si>
  <si>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</si>
  <si>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</si>
  <si>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</si>
  <si>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</si>
  <si>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</si>
  <si>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</si>
  <si>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</si>
  <si>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</si>
  <si>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</si>
  <si>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</si>
  <si>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</si>
  <si>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</si>
  <si>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</si>
  <si>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</si>
  <si>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</si>
  <si>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</si>
  <si>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</si>
  <si>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</si>
  <si>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</si>
  <si>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</si>
  <si>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</si>
  <si>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</si>
  <si>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</si>
  <si>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</si>
  <si>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</si>
  <si>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</si>
  <si>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</si>
  <si>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</si>
  <si>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</si>
  <si>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</si>
  <si>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</si>
  <si>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</si>
  <si>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</si>
  <si>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</si>
  <si>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</si>
  <si>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</si>
  <si>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</si>
  <si>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</si>
  <si>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</si>
  <si>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</si>
  <si>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</si>
  <si>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</si>
  <si>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</si>
  <si>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wydatki z tytułu udzielania poręczeń i gwarancji</t>
  </si>
  <si>
    <t>Dotacje ogółem                      z tego:</t>
  </si>
  <si>
    <t>świadczenia na rzecz osób fizycznych</t>
  </si>
  <si>
    <t>tytul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</si>
  <si>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</si>
  <si>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</si>
  <si>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</si>
  <si>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</si>
  <si>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</si>
  <si>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</si>
  <si>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</si>
  <si>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</si>
  <si>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</si>
  <si>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</si>
  <si>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</si>
  <si>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</si>
  <si>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</si>
  <si>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</si>
  <si>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</si>
  <si>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</si>
  <si>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</si>
  <si>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</si>
  <si>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</si>
  <si>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</si>
  <si>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</si>
  <si>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</si>
  <si>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</si>
  <si>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</si>
  <si>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</si>
  <si>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</si>
  <si>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</si>
  <si>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</si>
  <si>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</si>
  <si>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</si>
  <si>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</si>
  <si>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art.217 ust.2 pkt.8 ustawy o finansach publicznych</t>
  </si>
  <si>
    <t xml:space="preserve">otrzymane ze środków z Funduszu Przeciwdziałania COVID-19 (m.in. z Rządowego Funduszu Inwestycji Lokalnych) </t>
  </si>
  <si>
    <t>w tym: inwestycyjne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</si>
</sst>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50" borderId="19" xfId="0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/>
    </xf>
    <xf numFmtId="164" fontId="33" fillId="5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164" fontId="34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/>
    </xf>
    <xf numFmtId="4" fontId="35" fillId="0" borderId="19" xfId="0" applyNumberFormat="1" applyFont="1" applyFill="1" applyBorder="1" applyAlignment="1">
      <alignment horizontal="center" vertical="center"/>
    </xf>
    <xf numFmtId="4" fontId="34" fillId="5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3" fillId="40" borderId="19" xfId="0" applyFont="1" applyFill="1" applyBorder="1" applyAlignment="1" quotePrefix="1">
      <alignment horizontal="center" vertical="center" wrapText="1"/>
    </xf>
    <xf numFmtId="4" fontId="35" fillId="0" borderId="19" xfId="0" applyNumberFormat="1" applyFont="1" applyBorder="1" applyAlignment="1">
      <alignment horizontal="center" vertical="center"/>
    </xf>
    <xf numFmtId="0" fontId="13" fillId="50" borderId="19" xfId="0" applyFont="1" applyFill="1" applyBorder="1" applyAlignment="1" quotePrefix="1">
      <alignment horizontal="center" vertical="center" wrapText="1"/>
    </xf>
    <xf numFmtId="164" fontId="34" fillId="40" borderId="19" xfId="0" applyNumberFormat="1" applyFont="1" applyFill="1" applyBorder="1" applyAlignment="1">
      <alignment horizontal="center" vertical="center"/>
    </xf>
    <xf numFmtId="0" fontId="5" fillId="51" borderId="19" xfId="0" applyFont="1" applyFill="1" applyBorder="1" applyAlignment="1">
      <alignment horizontal="center" vertical="center" wrapText="1"/>
    </xf>
    <xf numFmtId="4" fontId="34" fillId="51" borderId="19" xfId="0" applyNumberFormat="1" applyFont="1" applyFill="1" applyBorder="1" applyAlignment="1">
      <alignment horizontal="center" vertical="center"/>
    </xf>
    <xf numFmtId="164" fontId="34" fillId="51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4" fontId="36" fillId="50" borderId="19" xfId="0" applyNumberFormat="1" applyFont="1" applyFill="1" applyBorder="1" applyAlignment="1">
      <alignment horizontal="center" vertical="center"/>
    </xf>
    <xf numFmtId="164" fontId="36" fillId="50" borderId="19" xfId="0" applyNumberFormat="1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4" fontId="33" fillId="50" borderId="19" xfId="0" applyNumberFormat="1" applyFont="1" applyFill="1" applyBorder="1" applyAlignment="1">
      <alignment horizontal="center" vertical="center" wrapText="1"/>
    </xf>
    <xf numFmtId="164" fontId="35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16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" fontId="34" fillId="50" borderId="21" xfId="0" applyNumberFormat="1" applyFont="1" applyFill="1" applyBorder="1" applyAlignment="1">
      <alignment horizontal="center" vertical="center" wrapText="1"/>
    </xf>
    <xf numFmtId="4" fontId="34" fillId="5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center" vertical="center" wrapText="1"/>
    </xf>
    <xf numFmtId="164" fontId="36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40" borderId="19" xfId="0" applyFont="1" applyFill="1" applyBorder="1" applyAlignment="1">
      <alignment horizontal="center" vertical="top" wrapText="1"/>
    </xf>
    <xf numFmtId="4" fontId="36" fillId="40" borderId="20" xfId="0" applyNumberFormat="1" applyFont="1" applyFill="1" applyBorder="1" applyAlignment="1">
      <alignment horizontal="center" vertical="center"/>
    </xf>
    <xf numFmtId="4" fontId="36" fillId="40" borderId="21" xfId="0" applyNumberFormat="1" applyFont="1" applyFill="1" applyBorder="1" applyAlignment="1">
      <alignment horizontal="center" vertical="center"/>
    </xf>
    <xf numFmtId="164" fontId="36" fillId="40" borderId="19" xfId="7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4" fontId="35" fillId="0" borderId="20" xfId="0" applyNumberFormat="1" applyFont="1" applyBorder="1" applyAlignment="1">
      <alignment horizontal="center" vertical="center"/>
    </xf>
    <xf numFmtId="4" fontId="35" fillId="0" borderId="21" xfId="0" applyNumberFormat="1" applyFont="1" applyBorder="1" applyAlignment="1">
      <alignment horizontal="center" vertical="center"/>
    </xf>
    <xf numFmtId="164" fontId="36" fillId="51" borderId="19" xfId="71" applyNumberFormat="1" applyFont="1" applyFill="1" applyBorder="1" applyAlignment="1">
      <alignment horizontal="center" vertical="center"/>
    </xf>
    <xf numFmtId="164" fontId="36" fillId="5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4" fontId="35" fillId="0" borderId="20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horizontal="center" vertical="center"/>
    </xf>
    <xf numFmtId="164" fontId="36" fillId="0" borderId="19" xfId="71" applyNumberFormat="1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top" wrapText="1"/>
    </xf>
    <xf numFmtId="4" fontId="36" fillId="50" borderId="20" xfId="0" applyNumberFormat="1" applyFont="1" applyFill="1" applyBorder="1" applyAlignment="1">
      <alignment horizontal="center" vertical="center"/>
    </xf>
    <xf numFmtId="4" fontId="36" fillId="50" borderId="21" xfId="0" applyNumberFormat="1" applyFont="1" applyFill="1" applyBorder="1" applyAlignment="1">
      <alignment horizontal="center" vertical="center"/>
    </xf>
    <xf numFmtId="164" fontId="36" fillId="50" borderId="19" xfId="71" applyNumberFormat="1" applyFont="1" applyFill="1" applyBorder="1" applyAlignment="1">
      <alignment horizontal="center" vertical="center"/>
    </xf>
    <xf numFmtId="0" fontId="55" fillId="0" borderId="19" xfId="89" applyFont="1" applyFill="1" applyBorder="1" applyAlignment="1">
      <alignment horizontal="center" vertical="top" wrapText="1"/>
      <protection/>
    </xf>
    <xf numFmtId="4" fontId="36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4" fontId="34" fillId="0" borderId="19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33" fillId="5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" fontId="34" fillId="0" borderId="20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0" borderId="19" xfId="0" applyNumberFormat="1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4"/>
  <sheetViews>
    <sheetView tabSelected="1" workbookViewId="0" topLeftCell="B1">
      <selection activeCell="B2" sqref="B2:B3"/>
    </sheetView>
  </sheetViews>
  <sheetFormatPr defaultColWidth="9.00390625" defaultRowHeight="12.75"/>
  <cols>
    <col min="1" max="1" width="5.75390625" style="22" hidden="1" customWidth="1"/>
    <col min="2" max="2" width="22.875" style="22" customWidth="1"/>
    <col min="3" max="5" width="14.625" style="22" customWidth="1"/>
    <col min="6" max="6" width="13.875" style="22" customWidth="1"/>
    <col min="7" max="7" width="13.00390625" style="22" customWidth="1"/>
    <col min="8" max="9" width="12.25390625" style="22" customWidth="1"/>
    <col min="10" max="10" width="13.00390625" style="22" customWidth="1"/>
    <col min="11" max="11" width="7.375" style="22" customWidth="1"/>
    <col min="12" max="12" width="7.25390625" style="22" customWidth="1"/>
    <col min="13" max="13" width="8.125" style="22" customWidth="1"/>
    <col min="14" max="16384" width="9.125" style="22" customWidth="1"/>
  </cols>
  <sheetData>
    <row r="1" spans="2:13" ht="27.75" customHeight="1">
      <c r="B1" s="100" t="str">
        <f>CONCATENATE("Informacja z wykonania budżetów miast na prawach powiatu za ",$D$121," ",$C$122," rok    ",$C$124,"")</f>
        <v>Informacja z wykonania budżetów miast na prawach powiatu za IV Kwartały 2021 rok    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2:13" ht="63" customHeight="1">
      <c r="B2" s="120" t="s">
        <v>0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6" t="s">
        <v>2</v>
      </c>
      <c r="L2" s="5" t="s">
        <v>18</v>
      </c>
      <c r="M2" s="5" t="s">
        <v>3</v>
      </c>
    </row>
    <row r="3" spans="2:13" ht="12.75">
      <c r="B3" s="120"/>
      <c r="C3" s="99" t="s">
        <v>88</v>
      </c>
      <c r="D3" s="99"/>
      <c r="E3" s="99"/>
      <c r="F3" s="99"/>
      <c r="G3" s="99"/>
      <c r="H3" s="99"/>
      <c r="I3" s="99"/>
      <c r="J3" s="99"/>
      <c r="K3" s="99" t="s">
        <v>4</v>
      </c>
      <c r="L3" s="99"/>
      <c r="M3" s="99"/>
    </row>
    <row r="4" spans="2:13" ht="12.75">
      <c r="B4" s="6">
        <v>1</v>
      </c>
      <c r="C4" s="8">
        <v>2</v>
      </c>
      <c r="D4" s="8">
        <v>3</v>
      </c>
      <c r="E4" s="8">
        <v>4</v>
      </c>
      <c r="F4" s="6">
        <v>5</v>
      </c>
      <c r="G4" s="8">
        <v>6</v>
      </c>
      <c r="H4" s="6">
        <v>7</v>
      </c>
      <c r="I4" s="8">
        <v>8</v>
      </c>
      <c r="J4" s="6">
        <v>9</v>
      </c>
      <c r="K4" s="8">
        <v>10</v>
      </c>
      <c r="L4" s="6">
        <v>11</v>
      </c>
      <c r="M4" s="8">
        <v>12</v>
      </c>
    </row>
    <row r="5" spans="2:13" ht="12.75">
      <c r="B5" s="23" t="s">
        <v>5</v>
      </c>
      <c r="C5" s="24">
        <f>108010279664.71</f>
        <v>108010279664.71</v>
      </c>
      <c r="D5" s="24">
        <f>111045555017.25</f>
        <v>111045555017.25</v>
      </c>
      <c r="E5" s="24">
        <f>110606001808.38</f>
        <v>110606001808.38</v>
      </c>
      <c r="F5" s="24">
        <f>526091944.01</f>
        <v>526091944.01</v>
      </c>
      <c r="G5" s="24">
        <f>155059512.24</f>
        <v>155059512.24</v>
      </c>
      <c r="H5" s="24">
        <f>38940306.19</f>
        <v>38940306.19</v>
      </c>
      <c r="I5" s="24">
        <f>92437463.58</f>
        <v>92437463.58</v>
      </c>
      <c r="J5" s="24">
        <f>4607666.49</f>
        <v>4607666.49</v>
      </c>
      <c r="K5" s="25">
        <f aca="true" t="shared" si="0" ref="K5:K65">IF($D$5=0,"",100*$D5/$D$5)</f>
        <v>100</v>
      </c>
      <c r="L5" s="25">
        <f aca="true" t="shared" si="1" ref="L5:L65">IF(C5=0,"",100*D5/C5)</f>
        <v>102.81017266315968</v>
      </c>
      <c r="M5" s="25"/>
    </row>
    <row r="6" spans="2:13" ht="25.5" customHeight="1">
      <c r="B6" s="23" t="s">
        <v>64</v>
      </c>
      <c r="C6" s="24">
        <f>C5-C23-C52</f>
        <v>59764580212.20001</v>
      </c>
      <c r="D6" s="24">
        <f>D5-D23-D52</f>
        <v>62942159576.78</v>
      </c>
      <c r="E6" s="24">
        <f>E5-E23-E52</f>
        <v>62500875386.45001</v>
      </c>
      <c r="F6" s="24">
        <f>F5</f>
        <v>526091944.01</v>
      </c>
      <c r="G6" s="24">
        <f>G5</f>
        <v>155059512.24</v>
      </c>
      <c r="H6" s="24">
        <f>H5</f>
        <v>38940306.19</v>
      </c>
      <c r="I6" s="24">
        <f>I5</f>
        <v>92437463.58</v>
      </c>
      <c r="J6" s="24">
        <f>J5</f>
        <v>4607666.49</v>
      </c>
      <c r="K6" s="25">
        <f t="shared" si="0"/>
        <v>56.681385911396866</v>
      </c>
      <c r="L6" s="25">
        <f t="shared" si="1"/>
        <v>105.31682704588182</v>
      </c>
      <c r="M6" s="25">
        <f aca="true" t="shared" si="2" ref="M6:M22">IF($D$6=0,"",100*$D6/$D$6)</f>
        <v>100</v>
      </c>
    </row>
    <row r="7" spans="2:13" ht="33.75">
      <c r="B7" s="26" t="s">
        <v>65</v>
      </c>
      <c r="C7" s="27">
        <f>2121970796.3</f>
        <v>2121970796.3</v>
      </c>
      <c r="D7" s="27">
        <f>2578553218.05</f>
        <v>2578553218.05</v>
      </c>
      <c r="E7" s="27">
        <f>2580280743.61</f>
        <v>2580280743.61</v>
      </c>
      <c r="F7" s="27">
        <f>0</f>
        <v>0</v>
      </c>
      <c r="G7" s="27">
        <f>0</f>
        <v>0</v>
      </c>
      <c r="H7" s="27">
        <f>0</f>
        <v>0</v>
      </c>
      <c r="I7" s="27">
        <f>0</f>
        <v>0</v>
      </c>
      <c r="J7" s="27">
        <f>0</f>
        <v>0</v>
      </c>
      <c r="K7" s="28">
        <f t="shared" si="0"/>
        <v>2.3220679275721063</v>
      </c>
      <c r="L7" s="28">
        <f t="shared" si="1"/>
        <v>121.51690412262627</v>
      </c>
      <c r="M7" s="28">
        <f t="shared" si="2"/>
        <v>4.096702806811946</v>
      </c>
    </row>
    <row r="8" spans="2:13" ht="33.75">
      <c r="B8" s="29" t="s">
        <v>66</v>
      </c>
      <c r="C8" s="30">
        <f>552100750.25</f>
        <v>552100750.25</v>
      </c>
      <c r="D8" s="30">
        <f>538035322.88</f>
        <v>538035322.88</v>
      </c>
      <c r="E8" s="30">
        <f>537787127.49</f>
        <v>537787127.49</v>
      </c>
      <c r="F8" s="30">
        <f>0</f>
        <v>0</v>
      </c>
      <c r="G8" s="30">
        <f>0</f>
        <v>0</v>
      </c>
      <c r="H8" s="30">
        <f>0</f>
        <v>0</v>
      </c>
      <c r="I8" s="30">
        <f>0</f>
        <v>0</v>
      </c>
      <c r="J8" s="30">
        <f>0</f>
        <v>0</v>
      </c>
      <c r="K8" s="28">
        <f t="shared" si="0"/>
        <v>0.48451765835779803</v>
      </c>
      <c r="L8" s="28">
        <f t="shared" si="1"/>
        <v>97.45238031941979</v>
      </c>
      <c r="M8" s="28">
        <f t="shared" si="2"/>
        <v>0.8548091239603521</v>
      </c>
    </row>
    <row r="9" spans="2:13" ht="33.75">
      <c r="B9" s="29" t="s">
        <v>67</v>
      </c>
      <c r="C9" s="30">
        <f>20212872392.71</f>
        <v>20212872392.71</v>
      </c>
      <c r="D9" s="30">
        <f>21506602560</f>
        <v>21506602560</v>
      </c>
      <c r="E9" s="30">
        <f>21155286851</f>
        <v>21155286851</v>
      </c>
      <c r="F9" s="30">
        <f>0</f>
        <v>0</v>
      </c>
      <c r="G9" s="30">
        <f>0</f>
        <v>0</v>
      </c>
      <c r="H9" s="30">
        <f>0</f>
        <v>0</v>
      </c>
      <c r="I9" s="30">
        <f>0</f>
        <v>0</v>
      </c>
      <c r="J9" s="30">
        <f>0</f>
        <v>0</v>
      </c>
      <c r="K9" s="28">
        <f t="shared" si="0"/>
        <v>19.367369145625982</v>
      </c>
      <c r="L9" s="28">
        <f t="shared" si="1"/>
        <v>106.4005260714781</v>
      </c>
      <c r="M9" s="28">
        <f t="shared" si="2"/>
        <v>34.16883485506272</v>
      </c>
    </row>
    <row r="10" spans="2:13" ht="33.75">
      <c r="B10" s="29" t="s">
        <v>68</v>
      </c>
      <c r="C10" s="30">
        <f>5407120141.5</f>
        <v>5407120141.5</v>
      </c>
      <c r="D10" s="30">
        <f>5766165879</f>
        <v>5766165879</v>
      </c>
      <c r="E10" s="30">
        <f>5672254823</f>
        <v>5672254823</v>
      </c>
      <c r="F10" s="30">
        <f>0</f>
        <v>0</v>
      </c>
      <c r="G10" s="30">
        <f>0</f>
        <v>0</v>
      </c>
      <c r="H10" s="30">
        <f>0</f>
        <v>0</v>
      </c>
      <c r="I10" s="30">
        <f>0</f>
        <v>0</v>
      </c>
      <c r="J10" s="30">
        <f>0</f>
        <v>0</v>
      </c>
      <c r="K10" s="28">
        <f t="shared" si="0"/>
        <v>5.192612957902074</v>
      </c>
      <c r="L10" s="28">
        <f t="shared" si="1"/>
        <v>106.64023968589676</v>
      </c>
      <c r="M10" s="28">
        <f t="shared" si="2"/>
        <v>9.16105503492638</v>
      </c>
    </row>
    <row r="11" spans="2:13" ht="12.75">
      <c r="B11" s="29" t="s">
        <v>19</v>
      </c>
      <c r="C11" s="30">
        <f>22514752</f>
        <v>22514752</v>
      </c>
      <c r="D11" s="30">
        <f>22790413.01</f>
        <v>22790413.01</v>
      </c>
      <c r="E11" s="30">
        <f>22789173.57</f>
        <v>22789173.57</v>
      </c>
      <c r="F11" s="30">
        <f>605402.97</f>
        <v>605402.97</v>
      </c>
      <c r="G11" s="30">
        <f>7617.41</f>
        <v>7617.41</v>
      </c>
      <c r="H11" s="30">
        <f>16588.92</f>
        <v>16588.92</v>
      </c>
      <c r="I11" s="30">
        <f>49486.89</f>
        <v>49486.89</v>
      </c>
      <c r="J11" s="30">
        <f>0</f>
        <v>0</v>
      </c>
      <c r="K11" s="28">
        <f t="shared" si="0"/>
        <v>0.020523480662021726</v>
      </c>
      <c r="L11" s="28">
        <f t="shared" si="1"/>
        <v>101.22435730138177</v>
      </c>
      <c r="M11" s="28">
        <f t="shared" si="2"/>
        <v>0.03620850184239248</v>
      </c>
    </row>
    <row r="12" spans="2:13" ht="12.75">
      <c r="B12" s="29" t="s">
        <v>20</v>
      </c>
      <c r="C12" s="30">
        <f>9835187195.27</f>
        <v>9835187195.27</v>
      </c>
      <c r="D12" s="31">
        <f>9989809401.58</f>
        <v>9989809401.58</v>
      </c>
      <c r="E12" s="30">
        <f>9989723871.47</f>
        <v>9989723871.47</v>
      </c>
      <c r="F12" s="30">
        <f>234525176.96</f>
        <v>234525176.96</v>
      </c>
      <c r="G12" s="30">
        <f>131633220.73</f>
        <v>131633220.73</v>
      </c>
      <c r="H12" s="30">
        <f>34116118.36</f>
        <v>34116118.36</v>
      </c>
      <c r="I12" s="30">
        <f>77234847.29</f>
        <v>77234847.29</v>
      </c>
      <c r="J12" s="30">
        <f>3609599.56</f>
        <v>3609599.56</v>
      </c>
      <c r="K12" s="28">
        <f t="shared" si="0"/>
        <v>8.996136225379004</v>
      </c>
      <c r="L12" s="28">
        <f t="shared" si="1"/>
        <v>101.5721328251318</v>
      </c>
      <c r="M12" s="28">
        <f t="shared" si="2"/>
        <v>15.871411894270851</v>
      </c>
    </row>
    <row r="13" spans="2:13" ht="12.75">
      <c r="B13" s="29" t="s">
        <v>21</v>
      </c>
      <c r="C13" s="30">
        <f>4606361</f>
        <v>4606361</v>
      </c>
      <c r="D13" s="31">
        <f>4626574.75</f>
        <v>4626574.75</v>
      </c>
      <c r="E13" s="30">
        <f>4626574.39</f>
        <v>4626574.39</v>
      </c>
      <c r="F13" s="30">
        <f>0</f>
        <v>0</v>
      </c>
      <c r="G13" s="30">
        <f>24765.95</f>
        <v>24765.95</v>
      </c>
      <c r="H13" s="30">
        <f>1452.4</f>
        <v>1452.4</v>
      </c>
      <c r="I13" s="30">
        <f>405.86</f>
        <v>405.86</v>
      </c>
      <c r="J13" s="30">
        <f>0</f>
        <v>0</v>
      </c>
      <c r="K13" s="28">
        <f t="shared" si="0"/>
        <v>0.004166375456704503</v>
      </c>
      <c r="L13" s="28">
        <f t="shared" si="1"/>
        <v>100.43882253258049</v>
      </c>
      <c r="M13" s="28">
        <f t="shared" si="2"/>
        <v>0.007350517969368802</v>
      </c>
    </row>
    <row r="14" spans="2:13" ht="22.5">
      <c r="B14" s="29" t="s">
        <v>22</v>
      </c>
      <c r="C14" s="30">
        <f>358279902</f>
        <v>358279902</v>
      </c>
      <c r="D14" s="31">
        <f>343868661.61</f>
        <v>343868661.61</v>
      </c>
      <c r="E14" s="30">
        <f>343868700.81</f>
        <v>343868700.81</v>
      </c>
      <c r="F14" s="30">
        <f>287393862.27</f>
        <v>287393862.27</v>
      </c>
      <c r="G14" s="30">
        <f>297936.95</f>
        <v>297936.95</v>
      </c>
      <c r="H14" s="30">
        <f>428449.21</f>
        <v>428449.21</v>
      </c>
      <c r="I14" s="30">
        <f>1566477.23</f>
        <v>1566477.23</v>
      </c>
      <c r="J14" s="30">
        <f>0</f>
        <v>0</v>
      </c>
      <c r="K14" s="28">
        <f t="shared" si="0"/>
        <v>0.3096644990036592</v>
      </c>
      <c r="L14" s="28">
        <f t="shared" si="1"/>
        <v>95.97765872169965</v>
      </c>
      <c r="M14" s="28">
        <f t="shared" si="2"/>
        <v>0.5463248543141133</v>
      </c>
    </row>
    <row r="15" spans="2:13" ht="33.75">
      <c r="B15" s="29" t="s">
        <v>41</v>
      </c>
      <c r="C15" s="30">
        <f>49154771</f>
        <v>49154771</v>
      </c>
      <c r="D15" s="31">
        <f>91596271.79</f>
        <v>91596271.79</v>
      </c>
      <c r="E15" s="30">
        <f>91361208.85</f>
        <v>91361208.85</v>
      </c>
      <c r="F15" s="30">
        <f>0</f>
        <v>0</v>
      </c>
      <c r="G15" s="30">
        <f>0</f>
        <v>0</v>
      </c>
      <c r="H15" s="30">
        <f>55155.76</f>
        <v>55155.76</v>
      </c>
      <c r="I15" s="30">
        <f>162787.95</f>
        <v>162787.95</v>
      </c>
      <c r="J15" s="30">
        <f>0</f>
        <v>0</v>
      </c>
      <c r="K15" s="28">
        <f t="shared" si="0"/>
        <v>0.08248531134431386</v>
      </c>
      <c r="L15" s="28">
        <f t="shared" si="1"/>
        <v>186.34258674503843</v>
      </c>
      <c r="M15" s="28">
        <f t="shared" si="2"/>
        <v>0.1455245139440541</v>
      </c>
    </row>
    <row r="16" spans="2:13" ht="22.5" customHeight="1">
      <c r="B16" s="29" t="s">
        <v>27</v>
      </c>
      <c r="C16" s="30">
        <f>178578906.24</f>
        <v>178578906.24</v>
      </c>
      <c r="D16" s="31">
        <f>230475384.87</f>
        <v>230475384.87</v>
      </c>
      <c r="E16" s="30">
        <f>229263161.34</f>
        <v>229263161.34</v>
      </c>
      <c r="F16" s="30">
        <f>0</f>
        <v>0</v>
      </c>
      <c r="G16" s="30">
        <f>0</f>
        <v>0</v>
      </c>
      <c r="H16" s="30">
        <f>1902922.64</f>
        <v>1902922.64</v>
      </c>
      <c r="I16" s="30">
        <f>5402305.13</f>
        <v>5402305.13</v>
      </c>
      <c r="J16" s="30">
        <f>0</f>
        <v>0</v>
      </c>
      <c r="K16" s="28">
        <f t="shared" si="0"/>
        <v>0.2075503020667487</v>
      </c>
      <c r="L16" s="28">
        <f t="shared" si="1"/>
        <v>129.06081111296206</v>
      </c>
      <c r="M16" s="28">
        <f t="shared" si="2"/>
        <v>0.3661701257467256</v>
      </c>
    </row>
    <row r="17" spans="2:13" ht="22.5" customHeight="1">
      <c r="B17" s="29" t="s">
        <v>28</v>
      </c>
      <c r="C17" s="30">
        <f>1700145476.72</f>
        <v>1700145476.72</v>
      </c>
      <c r="D17" s="31">
        <f>2460003510.59</f>
        <v>2460003510.59</v>
      </c>
      <c r="E17" s="30">
        <f>2467715162.6</f>
        <v>2467715162.6</v>
      </c>
      <c r="F17" s="30">
        <f>0</f>
        <v>0</v>
      </c>
      <c r="G17" s="30">
        <f>0</f>
        <v>0</v>
      </c>
      <c r="H17" s="30">
        <f>168986</f>
        <v>168986</v>
      </c>
      <c r="I17" s="30">
        <f>136461.25</f>
        <v>136461.25</v>
      </c>
      <c r="J17" s="30">
        <f>0</f>
        <v>0</v>
      </c>
      <c r="K17" s="28">
        <f t="shared" si="0"/>
        <v>2.215310203283561</v>
      </c>
      <c r="L17" s="28">
        <f t="shared" si="1"/>
        <v>144.69370676066814</v>
      </c>
      <c r="M17" s="28">
        <f t="shared" si="2"/>
        <v>3.908355746181801</v>
      </c>
    </row>
    <row r="18" spans="2:13" ht="12.75">
      <c r="B18" s="29" t="s">
        <v>55</v>
      </c>
      <c r="C18" s="30">
        <f>334502083</f>
        <v>334502083</v>
      </c>
      <c r="D18" s="31">
        <f>369119300.42</f>
        <v>369119300.42</v>
      </c>
      <c r="E18" s="30">
        <f>369102167.32</f>
        <v>369102167.32</v>
      </c>
      <c r="F18" s="30">
        <f>0</f>
        <v>0</v>
      </c>
      <c r="G18" s="30">
        <f>0</f>
        <v>0</v>
      </c>
      <c r="H18" s="30">
        <f>5427</f>
        <v>5427</v>
      </c>
      <c r="I18" s="30">
        <f>0</f>
        <v>0</v>
      </c>
      <c r="J18" s="30">
        <f>0</f>
        <v>0</v>
      </c>
      <c r="K18" s="28">
        <f t="shared" si="0"/>
        <v>0.3324034900475399</v>
      </c>
      <c r="L18" s="28">
        <f t="shared" si="1"/>
        <v>110.34887947768026</v>
      </c>
      <c r="M18" s="28">
        <f t="shared" si="2"/>
        <v>0.5864420650672619</v>
      </c>
    </row>
    <row r="19" spans="2:13" ht="12.75">
      <c r="B19" s="29" t="s">
        <v>56</v>
      </c>
      <c r="C19" s="30">
        <f>9580706</f>
        <v>9580706</v>
      </c>
      <c r="D19" s="31">
        <f>9281227.32</f>
        <v>9281227.32</v>
      </c>
      <c r="E19" s="30">
        <f>9281227.32</f>
        <v>9281227.32</v>
      </c>
      <c r="F19" s="30">
        <f>0</f>
        <v>0</v>
      </c>
      <c r="G19" s="30">
        <f>0</f>
        <v>0</v>
      </c>
      <c r="H19" s="30">
        <f>0</f>
        <v>0</v>
      </c>
      <c r="I19" s="30">
        <f>0</f>
        <v>0</v>
      </c>
      <c r="J19" s="30">
        <f>0</f>
        <v>0</v>
      </c>
      <c r="K19" s="28">
        <f t="shared" si="0"/>
        <v>0.008358035869655691</v>
      </c>
      <c r="L19" s="28">
        <f t="shared" si="1"/>
        <v>96.87414810557803</v>
      </c>
      <c r="M19" s="28">
        <f t="shared" si="2"/>
        <v>0.014745644862531757</v>
      </c>
    </row>
    <row r="20" spans="2:13" ht="12.75">
      <c r="B20" s="29" t="s">
        <v>57</v>
      </c>
      <c r="C20" s="30">
        <f>132652</f>
        <v>132652</v>
      </c>
      <c r="D20" s="31">
        <f>345520.28</f>
        <v>345520.28</v>
      </c>
      <c r="E20" s="30">
        <f>345520.28</f>
        <v>345520.28</v>
      </c>
      <c r="F20" s="30">
        <f>0</f>
        <v>0</v>
      </c>
      <c r="G20" s="30">
        <f>0</f>
        <v>0</v>
      </c>
      <c r="H20" s="30">
        <f>1382.5</f>
        <v>1382.5</v>
      </c>
      <c r="I20" s="30">
        <f>30932.52</f>
        <v>30932.52</v>
      </c>
      <c r="J20" s="30">
        <f>0</f>
        <v>0</v>
      </c>
      <c r="K20" s="28">
        <f t="shared" si="0"/>
        <v>0.0003111518330889753</v>
      </c>
      <c r="L20" s="28">
        <f t="shared" si="1"/>
        <v>260.47121792358956</v>
      </c>
      <c r="M20" s="28">
        <f t="shared" si="2"/>
        <v>0.0005489488799292262</v>
      </c>
    </row>
    <row r="21" spans="2:13" ht="12.75">
      <c r="B21" s="29" t="s">
        <v>23</v>
      </c>
      <c r="C21" s="30">
        <f>5041182412.64</f>
        <v>5041182412.64</v>
      </c>
      <c r="D21" s="31">
        <f>5096536275.51</f>
        <v>5096536275.51</v>
      </c>
      <c r="E21" s="30">
        <f>5093656086.08</f>
        <v>5093656086.08</v>
      </c>
      <c r="F21" s="30">
        <f>0</f>
        <v>0</v>
      </c>
      <c r="G21" s="30">
        <f>23649.77</f>
        <v>23649.77</v>
      </c>
      <c r="H21" s="30">
        <f>0</f>
        <v>0</v>
      </c>
      <c r="I21" s="30">
        <f>0</f>
        <v>0</v>
      </c>
      <c r="J21" s="30">
        <f>0</f>
        <v>0</v>
      </c>
      <c r="K21" s="28">
        <f t="shared" si="0"/>
        <v>4.589590528606297</v>
      </c>
      <c r="L21" s="28">
        <f t="shared" si="1"/>
        <v>101.09803332510262</v>
      </c>
      <c r="M21" s="28">
        <f t="shared" si="2"/>
        <v>8.09717415128248</v>
      </c>
    </row>
    <row r="22" spans="2:13" ht="13.5" customHeight="1">
      <c r="B22" s="29" t="s">
        <v>24</v>
      </c>
      <c r="C22" s="30">
        <f>C6-SUM(C7:C21)</f>
        <v>13936650913.570015</v>
      </c>
      <c r="D22" s="30">
        <f aca="true" t="shared" si="3" ref="D22:J22">D6-SUM(D7:D21)</f>
        <v>13934350055.119995</v>
      </c>
      <c r="E22" s="30">
        <f t="shared" si="3"/>
        <v>13933532987.320023</v>
      </c>
      <c r="F22" s="30">
        <f t="shared" si="3"/>
        <v>3567501.8100000024</v>
      </c>
      <c r="G22" s="30">
        <f t="shared" si="3"/>
        <v>23072321.430000007</v>
      </c>
      <c r="H22" s="30">
        <f t="shared" si="3"/>
        <v>2243823.3999999985</v>
      </c>
      <c r="I22" s="30">
        <f t="shared" si="3"/>
        <v>7853759.459999993</v>
      </c>
      <c r="J22" s="30">
        <f t="shared" si="3"/>
        <v>998066.9300000002</v>
      </c>
      <c r="K22" s="28">
        <f t="shared" si="0"/>
        <v>12.54831861838631</v>
      </c>
      <c r="L22" s="28">
        <f t="shared" si="1"/>
        <v>99.98349059279529</v>
      </c>
      <c r="M22" s="28">
        <f t="shared" si="2"/>
        <v>22.13834121487709</v>
      </c>
    </row>
    <row r="23" spans="2:13" ht="26.25" customHeight="1">
      <c r="B23" s="23" t="s">
        <v>79</v>
      </c>
      <c r="C23" s="24">
        <f>C24+C48+C50</f>
        <v>26353857912.510002</v>
      </c>
      <c r="D23" s="24">
        <f>D24+D48+D50</f>
        <v>25313482230.47</v>
      </c>
      <c r="E23" s="24">
        <f>E24+E48+E50</f>
        <v>25319701274.93</v>
      </c>
      <c r="F23" s="32" t="s">
        <v>63</v>
      </c>
      <c r="G23" s="32" t="s">
        <v>63</v>
      </c>
      <c r="H23" s="32" t="s">
        <v>63</v>
      </c>
      <c r="I23" s="32" t="s">
        <v>63</v>
      </c>
      <c r="J23" s="32" t="s">
        <v>63</v>
      </c>
      <c r="K23" s="25">
        <f t="shared" si="0"/>
        <v>22.795583512134062</v>
      </c>
      <c r="L23" s="25">
        <f t="shared" si="1"/>
        <v>96.0522831780688</v>
      </c>
      <c r="M23" s="33"/>
    </row>
    <row r="24" spans="2:13" ht="25.5" customHeight="1">
      <c r="B24" s="23" t="s">
        <v>69</v>
      </c>
      <c r="C24" s="24">
        <f>C25+C32+C39</f>
        <v>21151025767.460003</v>
      </c>
      <c r="D24" s="24">
        <f>D25+D32+D39</f>
        <v>21199513141.72</v>
      </c>
      <c r="E24" s="24">
        <f>E25+E32+E39</f>
        <v>21205845820.83</v>
      </c>
      <c r="F24" s="32" t="s">
        <v>63</v>
      </c>
      <c r="G24" s="32" t="s">
        <v>63</v>
      </c>
      <c r="H24" s="32" t="s">
        <v>63</v>
      </c>
      <c r="I24" s="32" t="s">
        <v>63</v>
      </c>
      <c r="J24" s="32" t="s">
        <v>63</v>
      </c>
      <c r="K24" s="25">
        <f t="shared" si="0"/>
        <v>19.09082550708746</v>
      </c>
      <c r="L24" s="25">
        <f t="shared" si="1"/>
        <v>100.22924360640037</v>
      </c>
      <c r="M24" s="34"/>
    </row>
    <row r="25" spans="2:13" ht="13.5" customHeight="1">
      <c r="B25" s="35" t="s">
        <v>58</v>
      </c>
      <c r="C25" s="24">
        <f>C26+C28+C30</f>
        <v>17592519945.93</v>
      </c>
      <c r="D25" s="24">
        <f>D26+D28+D30</f>
        <v>17536480543.329998</v>
      </c>
      <c r="E25" s="24">
        <f>E26+E28+E30</f>
        <v>17575984200.47</v>
      </c>
      <c r="F25" s="32" t="s">
        <v>63</v>
      </c>
      <c r="G25" s="32" t="s">
        <v>63</v>
      </c>
      <c r="H25" s="32" t="s">
        <v>63</v>
      </c>
      <c r="I25" s="32" t="s">
        <v>63</v>
      </c>
      <c r="J25" s="32" t="s">
        <v>63</v>
      </c>
      <c r="K25" s="25">
        <f t="shared" si="0"/>
        <v>15.792149933967057</v>
      </c>
      <c r="L25" s="25">
        <f t="shared" si="1"/>
        <v>99.68145892247252</v>
      </c>
      <c r="M25" s="34"/>
    </row>
    <row r="26" spans="2:13" ht="22.5" customHeight="1">
      <c r="B26" s="29" t="s">
        <v>9</v>
      </c>
      <c r="C26" s="27">
        <f>16117360751.5</f>
        <v>16117360751.5</v>
      </c>
      <c r="D26" s="36">
        <f>16072160686.96</f>
        <v>16072160686.96</v>
      </c>
      <c r="E26" s="27">
        <f>16106097903.32</f>
        <v>16106097903.32</v>
      </c>
      <c r="F26" s="27" t="s">
        <v>63</v>
      </c>
      <c r="G26" s="27" t="s">
        <v>63</v>
      </c>
      <c r="H26" s="27" t="s">
        <v>63</v>
      </c>
      <c r="I26" s="27" t="s">
        <v>63</v>
      </c>
      <c r="J26" s="27" t="s">
        <v>63</v>
      </c>
      <c r="K26" s="28">
        <f t="shared" si="0"/>
        <v>14.473484043970354</v>
      </c>
      <c r="L26" s="28">
        <f t="shared" si="1"/>
        <v>99.71955666168363</v>
      </c>
      <c r="M26" s="34"/>
    </row>
    <row r="27" spans="2:13" ht="12.75">
      <c r="B27" s="29" t="s">
        <v>6</v>
      </c>
      <c r="C27" s="30">
        <f>4241845.36</f>
        <v>4241845.36</v>
      </c>
      <c r="D27" s="30">
        <f>2759309.93</f>
        <v>2759309.93</v>
      </c>
      <c r="E27" s="30">
        <f>2759339.13</f>
        <v>2759339.13</v>
      </c>
      <c r="F27" s="30" t="s">
        <v>63</v>
      </c>
      <c r="G27" s="30" t="s">
        <v>63</v>
      </c>
      <c r="H27" s="30" t="s">
        <v>63</v>
      </c>
      <c r="I27" s="30" t="s">
        <v>63</v>
      </c>
      <c r="J27" s="30" t="s">
        <v>63</v>
      </c>
      <c r="K27" s="28">
        <f t="shared" si="0"/>
        <v>0.0024848450075929326</v>
      </c>
      <c r="L27" s="28">
        <f t="shared" si="1"/>
        <v>65.04975301598454</v>
      </c>
      <c r="M27" s="34"/>
    </row>
    <row r="28" spans="2:13" ht="13.5" customHeight="1">
      <c r="B28" s="29" t="s">
        <v>7</v>
      </c>
      <c r="C28" s="30">
        <f>1457379321.91</f>
        <v>1457379321.91</v>
      </c>
      <c r="D28" s="31">
        <f>1447783060.61</f>
        <v>1447783060.61</v>
      </c>
      <c r="E28" s="30">
        <f>1453276951.52</f>
        <v>1453276951.52</v>
      </c>
      <c r="F28" s="30" t="s">
        <v>63</v>
      </c>
      <c r="G28" s="30" t="s">
        <v>63</v>
      </c>
      <c r="H28" s="30" t="s">
        <v>63</v>
      </c>
      <c r="I28" s="30" t="s">
        <v>63</v>
      </c>
      <c r="J28" s="30" t="s">
        <v>63</v>
      </c>
      <c r="K28" s="28">
        <f t="shared" si="0"/>
        <v>1.3037739875180947</v>
      </c>
      <c r="L28" s="28">
        <f t="shared" si="1"/>
        <v>99.341539902774</v>
      </c>
      <c r="M28" s="34"/>
    </row>
    <row r="29" spans="2:13" ht="12.75">
      <c r="B29" s="29" t="s">
        <v>6</v>
      </c>
      <c r="C29" s="30">
        <f>40391846.87</f>
        <v>40391846.87</v>
      </c>
      <c r="D29" s="30">
        <f>51847067.98</f>
        <v>51847067.98</v>
      </c>
      <c r="E29" s="30">
        <f>51845883.98</f>
        <v>51845883.98</v>
      </c>
      <c r="F29" s="30" t="s">
        <v>63</v>
      </c>
      <c r="G29" s="30" t="s">
        <v>63</v>
      </c>
      <c r="H29" s="30" t="s">
        <v>63</v>
      </c>
      <c r="I29" s="30" t="s">
        <v>63</v>
      </c>
      <c r="J29" s="30" t="s">
        <v>63</v>
      </c>
      <c r="K29" s="28">
        <f t="shared" si="0"/>
        <v>0.046689908454188904</v>
      </c>
      <c r="L29" s="28">
        <f t="shared" si="1"/>
        <v>128.36023108046606</v>
      </c>
      <c r="M29" s="34"/>
    </row>
    <row r="30" spans="2:13" ht="33.75">
      <c r="B30" s="29" t="s">
        <v>10</v>
      </c>
      <c r="C30" s="30">
        <f>17779872.52</f>
        <v>17779872.52</v>
      </c>
      <c r="D30" s="31">
        <f>16536795.76</f>
        <v>16536795.76</v>
      </c>
      <c r="E30" s="30">
        <f>16609345.63</f>
        <v>16609345.63</v>
      </c>
      <c r="F30" s="30" t="s">
        <v>63</v>
      </c>
      <c r="G30" s="30" t="s">
        <v>63</v>
      </c>
      <c r="H30" s="30" t="s">
        <v>63</v>
      </c>
      <c r="I30" s="30" t="s">
        <v>63</v>
      </c>
      <c r="J30" s="30" t="s">
        <v>63</v>
      </c>
      <c r="K30" s="28">
        <f t="shared" si="0"/>
        <v>0.014891902478609925</v>
      </c>
      <c r="L30" s="28">
        <f t="shared" si="1"/>
        <v>93.0085170261952</v>
      </c>
      <c r="M30" s="34"/>
    </row>
    <row r="31" spans="2:13" ht="12.75">
      <c r="B31" s="29" t="s">
        <v>6</v>
      </c>
      <c r="C31" s="30">
        <f>2055208.74</f>
        <v>2055208.74</v>
      </c>
      <c r="D31" s="30">
        <f>2044417.66</f>
        <v>2044417.66</v>
      </c>
      <c r="E31" s="30">
        <f>1940014.64</f>
        <v>1940014.64</v>
      </c>
      <c r="F31" s="30" t="s">
        <v>63</v>
      </c>
      <c r="G31" s="30" t="s">
        <v>63</v>
      </c>
      <c r="H31" s="30" t="s">
        <v>63</v>
      </c>
      <c r="I31" s="30" t="s">
        <v>63</v>
      </c>
      <c r="J31" s="30" t="s">
        <v>63</v>
      </c>
      <c r="K31" s="28">
        <f t="shared" si="0"/>
        <v>0.0018410621295759356</v>
      </c>
      <c r="L31" s="28">
        <f t="shared" si="1"/>
        <v>99.47493995184158</v>
      </c>
      <c r="M31" s="34"/>
    </row>
    <row r="32" spans="2:13" ht="13.5" customHeight="1">
      <c r="B32" s="37" t="s">
        <v>59</v>
      </c>
      <c r="C32" s="24">
        <f>C33+C35+C37</f>
        <v>2284028388.29</v>
      </c>
      <c r="D32" s="24">
        <f>D33+D35+D37</f>
        <v>2249544625.6000004</v>
      </c>
      <c r="E32" s="24">
        <f>E33+E35+E37</f>
        <v>2260128180.48</v>
      </c>
      <c r="F32" s="32" t="s">
        <v>63</v>
      </c>
      <c r="G32" s="32" t="s">
        <v>63</v>
      </c>
      <c r="H32" s="32" t="s">
        <v>63</v>
      </c>
      <c r="I32" s="32" t="s">
        <v>63</v>
      </c>
      <c r="J32" s="32" t="s">
        <v>63</v>
      </c>
      <c r="K32" s="25">
        <f t="shared" si="0"/>
        <v>2.025785386232301</v>
      </c>
      <c r="L32" s="25">
        <f t="shared" si="1"/>
        <v>98.49022179992181</v>
      </c>
      <c r="M32" s="34"/>
    </row>
    <row r="33" spans="2:13" ht="22.5">
      <c r="B33" s="29" t="s">
        <v>9</v>
      </c>
      <c r="C33" s="30">
        <f>2027145937.55</f>
        <v>2027145937.55</v>
      </c>
      <c r="D33" s="30">
        <f>2015546733.8</f>
        <v>2015546733.8</v>
      </c>
      <c r="E33" s="30">
        <f>2020951622.05</f>
        <v>2020951622.05</v>
      </c>
      <c r="F33" s="30" t="s">
        <v>63</v>
      </c>
      <c r="G33" s="30" t="s">
        <v>63</v>
      </c>
      <c r="H33" s="30" t="s">
        <v>63</v>
      </c>
      <c r="I33" s="30" t="s">
        <v>63</v>
      </c>
      <c r="J33" s="30" t="s">
        <v>63</v>
      </c>
      <c r="K33" s="28">
        <f t="shared" si="0"/>
        <v>1.8150629563577774</v>
      </c>
      <c r="L33" s="28">
        <f t="shared" si="1"/>
        <v>99.427806181334</v>
      </c>
      <c r="M33" s="34"/>
    </row>
    <row r="34" spans="2:13" ht="12.75">
      <c r="B34" s="29" t="s">
        <v>6</v>
      </c>
      <c r="C34" s="30">
        <f>33618028.08</f>
        <v>33618028.08</v>
      </c>
      <c r="D34" s="31">
        <f>33006067.91</f>
        <v>33006067.91</v>
      </c>
      <c r="E34" s="30">
        <f>33005750.98</f>
        <v>33005750.98</v>
      </c>
      <c r="F34" s="30" t="s">
        <v>63</v>
      </c>
      <c r="G34" s="30" t="s">
        <v>63</v>
      </c>
      <c r="H34" s="30" t="s">
        <v>63</v>
      </c>
      <c r="I34" s="30" t="s">
        <v>63</v>
      </c>
      <c r="J34" s="30" t="s">
        <v>63</v>
      </c>
      <c r="K34" s="28">
        <f t="shared" si="0"/>
        <v>0.02972299783172121</v>
      </c>
      <c r="L34" s="28">
        <f t="shared" si="1"/>
        <v>98.17966667008626</v>
      </c>
      <c r="M34" s="34"/>
    </row>
    <row r="35" spans="2:13" ht="13.5" customHeight="1">
      <c r="B35" s="29" t="s">
        <v>7</v>
      </c>
      <c r="C35" s="30">
        <f>198716233.24</f>
        <v>198716233.24</v>
      </c>
      <c r="D35" s="30">
        <f>190352307.27</f>
        <v>190352307.27</v>
      </c>
      <c r="E35" s="30">
        <f>191435413.05</f>
        <v>191435413.05</v>
      </c>
      <c r="F35" s="30" t="s">
        <v>63</v>
      </c>
      <c r="G35" s="30" t="s">
        <v>63</v>
      </c>
      <c r="H35" s="30" t="s">
        <v>63</v>
      </c>
      <c r="I35" s="30" t="s">
        <v>63</v>
      </c>
      <c r="J35" s="30" t="s">
        <v>63</v>
      </c>
      <c r="K35" s="28">
        <f t="shared" si="0"/>
        <v>0.1714182141198091</v>
      </c>
      <c r="L35" s="28">
        <f t="shared" si="1"/>
        <v>95.7910202736691</v>
      </c>
      <c r="M35" s="34"/>
    </row>
    <row r="36" spans="2:13" ht="12.75">
      <c r="B36" s="29" t="s">
        <v>6</v>
      </c>
      <c r="C36" s="30">
        <f>18578466</f>
        <v>18578466</v>
      </c>
      <c r="D36" s="31">
        <f>10717420.44</f>
        <v>10717420.44</v>
      </c>
      <c r="E36" s="30">
        <f>10740316.24</f>
        <v>10740316.24</v>
      </c>
      <c r="F36" s="30" t="s">
        <v>63</v>
      </c>
      <c r="G36" s="30" t="s">
        <v>63</v>
      </c>
      <c r="H36" s="30" t="s">
        <v>63</v>
      </c>
      <c r="I36" s="30" t="s">
        <v>63</v>
      </c>
      <c r="J36" s="30" t="s">
        <v>63</v>
      </c>
      <c r="K36" s="28">
        <f t="shared" si="0"/>
        <v>0.00965137275268257</v>
      </c>
      <c r="L36" s="28">
        <f t="shared" si="1"/>
        <v>57.68732703765747</v>
      </c>
      <c r="M36" s="34"/>
    </row>
    <row r="37" spans="2:13" ht="33.75">
      <c r="B37" s="29" t="s">
        <v>10</v>
      </c>
      <c r="C37" s="30">
        <f>58166217.5</f>
        <v>58166217.5</v>
      </c>
      <c r="D37" s="30">
        <f>43645584.53</f>
        <v>43645584.53</v>
      </c>
      <c r="E37" s="30">
        <f>47741145.38</f>
        <v>47741145.38</v>
      </c>
      <c r="F37" s="30" t="s">
        <v>63</v>
      </c>
      <c r="G37" s="30" t="s">
        <v>63</v>
      </c>
      <c r="H37" s="30" t="s">
        <v>63</v>
      </c>
      <c r="I37" s="30" t="s">
        <v>63</v>
      </c>
      <c r="J37" s="30" t="s">
        <v>63</v>
      </c>
      <c r="K37" s="28">
        <f t="shared" si="0"/>
        <v>0.03930421575471438</v>
      </c>
      <c r="L37" s="28">
        <f t="shared" si="1"/>
        <v>75.03596830926817</v>
      </c>
      <c r="M37" s="34"/>
    </row>
    <row r="38" spans="2:13" ht="12.75">
      <c r="B38" s="29" t="s">
        <v>6</v>
      </c>
      <c r="C38" s="30">
        <f>0</f>
        <v>0</v>
      </c>
      <c r="D38" s="31">
        <f>0</f>
        <v>0</v>
      </c>
      <c r="E38" s="30">
        <f>0</f>
        <v>0</v>
      </c>
      <c r="F38" s="30" t="s">
        <v>63</v>
      </c>
      <c r="G38" s="30" t="s">
        <v>63</v>
      </c>
      <c r="H38" s="30" t="s">
        <v>63</v>
      </c>
      <c r="I38" s="30" t="s">
        <v>63</v>
      </c>
      <c r="J38" s="30" t="s">
        <v>63</v>
      </c>
      <c r="K38" s="28">
        <f t="shared" si="0"/>
        <v>0</v>
      </c>
      <c r="L38" s="28">
        <f t="shared" si="1"/>
      </c>
      <c r="M38" s="34"/>
    </row>
    <row r="39" spans="2:13" ht="13.5" customHeight="1">
      <c r="B39" s="35" t="s">
        <v>60</v>
      </c>
      <c r="C39" s="24">
        <f>C40+C42+C44+C46</f>
        <v>1274477433.24</v>
      </c>
      <c r="D39" s="24">
        <f>D40+D42+D44+D46</f>
        <v>1413487972.79</v>
      </c>
      <c r="E39" s="24">
        <f>E40+E42+E44+E46</f>
        <v>1369733439.88</v>
      </c>
      <c r="F39" s="32" t="s">
        <v>63</v>
      </c>
      <c r="G39" s="32" t="s">
        <v>63</v>
      </c>
      <c r="H39" s="32" t="s">
        <v>63</v>
      </c>
      <c r="I39" s="32" t="s">
        <v>63</v>
      </c>
      <c r="J39" s="32" t="s">
        <v>63</v>
      </c>
      <c r="K39" s="25">
        <f t="shared" si="0"/>
        <v>1.2728901868880986</v>
      </c>
      <c r="L39" s="25">
        <f t="shared" si="1"/>
        <v>110.90725782382862</v>
      </c>
      <c r="M39" s="34"/>
    </row>
    <row r="40" spans="2:13" ht="22.5">
      <c r="B40" s="29" t="s">
        <v>11</v>
      </c>
      <c r="C40" s="27">
        <f>458404112.92</f>
        <v>458404112.92</v>
      </c>
      <c r="D40" s="36">
        <f>458449178.76</f>
        <v>458449178.76</v>
      </c>
      <c r="E40" s="27">
        <f>458906865.76</f>
        <v>458906865.76</v>
      </c>
      <c r="F40" s="27" t="s">
        <v>63</v>
      </c>
      <c r="G40" s="27" t="s">
        <v>63</v>
      </c>
      <c r="H40" s="27" t="s">
        <v>63</v>
      </c>
      <c r="I40" s="27" t="s">
        <v>63</v>
      </c>
      <c r="J40" s="27" t="s">
        <v>63</v>
      </c>
      <c r="K40" s="28">
        <f t="shared" si="0"/>
        <v>0.4128478431115804</v>
      </c>
      <c r="L40" s="28">
        <f t="shared" si="1"/>
        <v>100.00983102872112</v>
      </c>
      <c r="M40" s="34"/>
    </row>
    <row r="41" spans="2:13" ht="12.75">
      <c r="B41" s="29" t="s">
        <v>6</v>
      </c>
      <c r="C41" s="30">
        <f>1701131.87</f>
        <v>1701131.87</v>
      </c>
      <c r="D41" s="30">
        <f>890078.82</f>
        <v>890078.82</v>
      </c>
      <c r="E41" s="30">
        <f>1011171.37</f>
        <v>1011171.37</v>
      </c>
      <c r="F41" s="30" t="s">
        <v>63</v>
      </c>
      <c r="G41" s="30" t="s">
        <v>63</v>
      </c>
      <c r="H41" s="30" t="s">
        <v>63</v>
      </c>
      <c r="I41" s="30" t="s">
        <v>63</v>
      </c>
      <c r="J41" s="30" t="s">
        <v>63</v>
      </c>
      <c r="K41" s="28">
        <f t="shared" si="0"/>
        <v>0.0008015438527564059</v>
      </c>
      <c r="L41" s="28">
        <f t="shared" si="1"/>
        <v>52.32274085841446</v>
      </c>
      <c r="M41" s="34"/>
    </row>
    <row r="42" spans="2:13" ht="24" customHeight="1">
      <c r="B42" s="29" t="s">
        <v>8</v>
      </c>
      <c r="C42" s="30">
        <f>210296215.7</f>
        <v>210296215.7</v>
      </c>
      <c r="D42" s="31">
        <f>205395802.07</f>
        <v>205395802.07</v>
      </c>
      <c r="E42" s="30">
        <f>206549173.14</f>
        <v>206549173.14</v>
      </c>
      <c r="F42" s="30" t="s">
        <v>63</v>
      </c>
      <c r="G42" s="30" t="s">
        <v>63</v>
      </c>
      <c r="H42" s="30" t="s">
        <v>63</v>
      </c>
      <c r="I42" s="30" t="s">
        <v>63</v>
      </c>
      <c r="J42" s="30" t="s">
        <v>63</v>
      </c>
      <c r="K42" s="28">
        <f t="shared" si="0"/>
        <v>0.18496535231697792</v>
      </c>
      <c r="L42" s="28">
        <f t="shared" si="1"/>
        <v>97.66975662700905</v>
      </c>
      <c r="M42" s="34"/>
    </row>
    <row r="43" spans="2:13" ht="12.75">
      <c r="B43" s="29" t="s">
        <v>6</v>
      </c>
      <c r="C43" s="30">
        <f>133190970.36</f>
        <v>133190970.36</v>
      </c>
      <c r="D43" s="30">
        <f>132604814.21</f>
        <v>132604814.21</v>
      </c>
      <c r="E43" s="30">
        <f>132604814.21</f>
        <v>132604814.21</v>
      </c>
      <c r="F43" s="30" t="s">
        <v>63</v>
      </c>
      <c r="G43" s="30" t="s">
        <v>63</v>
      </c>
      <c r="H43" s="30" t="s">
        <v>63</v>
      </c>
      <c r="I43" s="30" t="s">
        <v>63</v>
      </c>
      <c r="J43" s="30" t="s">
        <v>63</v>
      </c>
      <c r="K43" s="28">
        <f t="shared" si="0"/>
        <v>0.11941478809250937</v>
      </c>
      <c r="L43" s="28">
        <f t="shared" si="1"/>
        <v>99.55991299679273</v>
      </c>
      <c r="M43" s="34"/>
    </row>
    <row r="44" spans="2:13" ht="33.75">
      <c r="B44" s="29" t="s">
        <v>89</v>
      </c>
      <c r="C44" s="30">
        <f>75237102.36</f>
        <v>75237102.36</v>
      </c>
      <c r="D44" s="30">
        <f>69781106.08</f>
        <v>69781106.08</v>
      </c>
      <c r="E44" s="30">
        <f>70545424.24</f>
        <v>70545424.24</v>
      </c>
      <c r="F44" s="30" t="s">
        <v>63</v>
      </c>
      <c r="G44" s="30" t="s">
        <v>63</v>
      </c>
      <c r="H44" s="30" t="s">
        <v>63</v>
      </c>
      <c r="I44" s="30" t="s">
        <v>63</v>
      </c>
      <c r="J44" s="30" t="s">
        <v>63</v>
      </c>
      <c r="K44" s="28">
        <f t="shared" si="0"/>
        <v>0.0628400714185814</v>
      </c>
      <c r="L44" s="28">
        <f t="shared" si="1"/>
        <v>92.74826367728285</v>
      </c>
      <c r="M44" s="34"/>
    </row>
    <row r="45" spans="2:13" ht="12.75">
      <c r="B45" s="29" t="s">
        <v>6</v>
      </c>
      <c r="C45" s="30">
        <f>58361116.44</f>
        <v>58361116.44</v>
      </c>
      <c r="D45" s="30">
        <f>53471574.51</f>
        <v>53471574.51</v>
      </c>
      <c r="E45" s="30">
        <f>54183327.56</f>
        <v>54183327.56</v>
      </c>
      <c r="F45" s="30" t="s">
        <v>63</v>
      </c>
      <c r="G45" s="30" t="s">
        <v>63</v>
      </c>
      <c r="H45" s="30" t="s">
        <v>63</v>
      </c>
      <c r="I45" s="30" t="s">
        <v>63</v>
      </c>
      <c r="J45" s="30" t="s">
        <v>63</v>
      </c>
      <c r="K45" s="28">
        <f t="shared" si="0"/>
        <v>0.0481528274604901</v>
      </c>
      <c r="L45" s="28">
        <f t="shared" si="1"/>
        <v>91.62191844800151</v>
      </c>
      <c r="M45" s="34"/>
    </row>
    <row r="46" spans="2:13" ht="32.25" customHeight="1">
      <c r="B46" s="39" t="s">
        <v>114</v>
      </c>
      <c r="C46" s="40">
        <f>530540002.26</f>
        <v>530540002.26</v>
      </c>
      <c r="D46" s="40">
        <f>679861885.88</f>
        <v>679861885.88</v>
      </c>
      <c r="E46" s="40">
        <f>633731976.74</f>
        <v>633731976.74</v>
      </c>
      <c r="F46" s="40" t="s">
        <v>63</v>
      </c>
      <c r="G46" s="40" t="s">
        <v>63</v>
      </c>
      <c r="H46" s="40" t="s">
        <v>63</v>
      </c>
      <c r="I46" s="40" t="s">
        <v>63</v>
      </c>
      <c r="J46" s="40" t="s">
        <v>63</v>
      </c>
      <c r="K46" s="41">
        <f t="shared" si="0"/>
        <v>0.612236920040959</v>
      </c>
      <c r="L46" s="41">
        <f t="shared" si="1"/>
        <v>128.145263879051</v>
      </c>
      <c r="M46" s="34"/>
    </row>
    <row r="47" spans="2:13" ht="12.75">
      <c r="B47" s="29" t="s">
        <v>115</v>
      </c>
      <c r="C47" s="30">
        <f>300967320.24</f>
        <v>300967320.24</v>
      </c>
      <c r="D47" s="30">
        <f>455406837.48</f>
        <v>455406837.48</v>
      </c>
      <c r="E47" s="30">
        <f>408643760.75</f>
        <v>408643760.75</v>
      </c>
      <c r="F47" s="30" t="s">
        <v>63</v>
      </c>
      <c r="G47" s="30" t="s">
        <v>63</v>
      </c>
      <c r="H47" s="30" t="s">
        <v>63</v>
      </c>
      <c r="I47" s="30" t="s">
        <v>63</v>
      </c>
      <c r="J47" s="30" t="s">
        <v>63</v>
      </c>
      <c r="K47" s="28">
        <f t="shared" si="0"/>
        <v>0.41010811950938186</v>
      </c>
      <c r="L47" s="28">
        <f t="shared" si="1"/>
        <v>151.31438094901648</v>
      </c>
      <c r="M47" s="34"/>
    </row>
    <row r="48" spans="2:13" ht="13.5" customHeight="1">
      <c r="B48" s="23" t="s">
        <v>98</v>
      </c>
      <c r="C48" s="24">
        <f>453051477.06</f>
        <v>453051477.06</v>
      </c>
      <c r="D48" s="24">
        <f>448102906.57</f>
        <v>448102906.57</v>
      </c>
      <c r="E48" s="24">
        <f>448392716.18</f>
        <v>448392716.18</v>
      </c>
      <c r="F48" s="32" t="s">
        <v>63</v>
      </c>
      <c r="G48" s="32" t="s">
        <v>63</v>
      </c>
      <c r="H48" s="32" t="s">
        <v>63</v>
      </c>
      <c r="I48" s="32" t="s">
        <v>63</v>
      </c>
      <c r="J48" s="32" t="s">
        <v>63</v>
      </c>
      <c r="K48" s="25">
        <f t="shared" si="0"/>
        <v>0.4035307009815845</v>
      </c>
      <c r="L48" s="25">
        <f t="shared" si="1"/>
        <v>98.90772445504142</v>
      </c>
      <c r="M48" s="34"/>
    </row>
    <row r="49" spans="2:13" ht="13.5" customHeight="1">
      <c r="B49" s="29" t="s">
        <v>99</v>
      </c>
      <c r="C49" s="30">
        <f>404898407.03</f>
        <v>404898407.03</v>
      </c>
      <c r="D49" s="30">
        <f>399559034.91</f>
        <v>399559034.91</v>
      </c>
      <c r="E49" s="30">
        <f>399742866.63</f>
        <v>399742866.63</v>
      </c>
      <c r="F49" s="30" t="s">
        <v>63</v>
      </c>
      <c r="G49" s="30" t="s">
        <v>63</v>
      </c>
      <c r="H49" s="30" t="s">
        <v>63</v>
      </c>
      <c r="I49" s="30" t="s">
        <v>63</v>
      </c>
      <c r="J49" s="30" t="s">
        <v>63</v>
      </c>
      <c r="K49" s="28">
        <f t="shared" si="0"/>
        <v>0.35981542426253066</v>
      </c>
      <c r="L49" s="28">
        <f t="shared" si="1"/>
        <v>98.68130572328866</v>
      </c>
      <c r="M49" s="34"/>
    </row>
    <row r="50" spans="2:13" ht="13.5" customHeight="1">
      <c r="B50" s="23" t="s">
        <v>100</v>
      </c>
      <c r="C50" s="32">
        <f>4749780667.99</f>
        <v>4749780667.99</v>
      </c>
      <c r="D50" s="32">
        <f>3665866182.18</f>
        <v>3665866182.18</v>
      </c>
      <c r="E50" s="32">
        <f>3665462737.92</f>
        <v>3665462737.92</v>
      </c>
      <c r="F50" s="32" t="s">
        <v>63</v>
      </c>
      <c r="G50" s="32" t="s">
        <v>63</v>
      </c>
      <c r="H50" s="32" t="s">
        <v>63</v>
      </c>
      <c r="I50" s="32" t="s">
        <v>63</v>
      </c>
      <c r="J50" s="32" t="s">
        <v>63</v>
      </c>
      <c r="K50" s="38">
        <f t="shared" si="0"/>
        <v>3.3012273040650193</v>
      </c>
      <c r="L50" s="38">
        <f t="shared" si="1"/>
        <v>77.17969393587414</v>
      </c>
      <c r="M50" s="34"/>
    </row>
    <row r="51" spans="2:13" ht="13.5" customHeight="1">
      <c r="B51" s="39" t="s">
        <v>101</v>
      </c>
      <c r="C51" s="40">
        <f>4080786614.39</f>
        <v>4080786614.39</v>
      </c>
      <c r="D51" s="40">
        <f>3135160289.32</f>
        <v>3135160289.32</v>
      </c>
      <c r="E51" s="40">
        <f>3135948946.27</f>
        <v>3135948946.27</v>
      </c>
      <c r="F51" s="40" t="s">
        <v>63</v>
      </c>
      <c r="G51" s="40" t="s">
        <v>63</v>
      </c>
      <c r="H51" s="40" t="s">
        <v>63</v>
      </c>
      <c r="I51" s="40" t="s">
        <v>63</v>
      </c>
      <c r="J51" s="40" t="s">
        <v>63</v>
      </c>
      <c r="K51" s="41">
        <f t="shared" si="0"/>
        <v>2.8233100269821505</v>
      </c>
      <c r="L51" s="41">
        <f t="shared" si="1"/>
        <v>76.82735182144894</v>
      </c>
      <c r="M51" s="34"/>
    </row>
    <row r="52" spans="2:13" s="42" customFormat="1" ht="25.5" customHeight="1">
      <c r="B52" s="23" t="s">
        <v>70</v>
      </c>
      <c r="C52" s="24">
        <f>C53+C54+C55+C59</f>
        <v>21891841540</v>
      </c>
      <c r="D52" s="24">
        <f>D53+D54+D55+D59</f>
        <v>22789913210</v>
      </c>
      <c r="E52" s="24">
        <f>E53+E54+E55+E59</f>
        <v>22785425147</v>
      </c>
      <c r="F52" s="32" t="s">
        <v>63</v>
      </c>
      <c r="G52" s="32" t="s">
        <v>63</v>
      </c>
      <c r="H52" s="32" t="s">
        <v>63</v>
      </c>
      <c r="I52" s="32" t="s">
        <v>63</v>
      </c>
      <c r="J52" s="32" t="s">
        <v>63</v>
      </c>
      <c r="K52" s="25">
        <f t="shared" si="0"/>
        <v>20.52303057646907</v>
      </c>
      <c r="L52" s="25">
        <f t="shared" si="1"/>
        <v>104.10231212554264</v>
      </c>
      <c r="M52" s="43"/>
    </row>
    <row r="53" spans="2:13" ht="13.5" customHeight="1">
      <c r="B53" s="29" t="s">
        <v>44</v>
      </c>
      <c r="C53" s="30">
        <f>18064303638</f>
        <v>18064303638</v>
      </c>
      <c r="D53" s="30">
        <f>18066052075</f>
        <v>18066052075</v>
      </c>
      <c r="E53" s="30">
        <f>18061564012</f>
        <v>18061564012</v>
      </c>
      <c r="F53" s="30" t="s">
        <v>63</v>
      </c>
      <c r="G53" s="30" t="s">
        <v>63</v>
      </c>
      <c r="H53" s="30" t="s">
        <v>63</v>
      </c>
      <c r="I53" s="30" t="s">
        <v>63</v>
      </c>
      <c r="J53" s="30" t="s">
        <v>63</v>
      </c>
      <c r="K53" s="28">
        <f t="shared" si="0"/>
        <v>16.26904568327259</v>
      </c>
      <c r="L53" s="28">
        <f t="shared" si="1"/>
        <v>100.0096789615312</v>
      </c>
      <c r="M53" s="34"/>
    </row>
    <row r="54" spans="2:13" s="42" customFormat="1" ht="12.75">
      <c r="B54" s="29" t="s">
        <v>40</v>
      </c>
      <c r="C54" s="27">
        <f>2441370568</f>
        <v>2441370568</v>
      </c>
      <c r="D54" s="36">
        <f>3337693801</f>
        <v>3337693801</v>
      </c>
      <c r="E54" s="27">
        <f>3337693801</f>
        <v>3337693801</v>
      </c>
      <c r="F54" s="27" t="s">
        <v>63</v>
      </c>
      <c r="G54" s="27" t="s">
        <v>63</v>
      </c>
      <c r="H54" s="27" t="s">
        <v>63</v>
      </c>
      <c r="I54" s="27" t="s">
        <v>63</v>
      </c>
      <c r="J54" s="27" t="s">
        <v>63</v>
      </c>
      <c r="K54" s="28">
        <f t="shared" si="0"/>
        <v>3.00569779716218</v>
      </c>
      <c r="L54" s="28">
        <f t="shared" si="1"/>
        <v>136.7139362106048</v>
      </c>
      <c r="M54" s="43"/>
    </row>
    <row r="55" spans="2:13" s="42" customFormat="1" ht="25.5" customHeight="1">
      <c r="B55" s="23" t="s">
        <v>61</v>
      </c>
      <c r="C55" s="24">
        <f>C56+C57+C58</f>
        <v>341478315</v>
      </c>
      <c r="D55" s="24">
        <f>D56+D57+D58</f>
        <v>341478315</v>
      </c>
      <c r="E55" s="24">
        <f>E56+E57+E58</f>
        <v>341478315</v>
      </c>
      <c r="F55" s="32" t="s">
        <v>63</v>
      </c>
      <c r="G55" s="32" t="s">
        <v>63</v>
      </c>
      <c r="H55" s="32" t="s">
        <v>63</v>
      </c>
      <c r="I55" s="32" t="s">
        <v>63</v>
      </c>
      <c r="J55" s="32" t="s">
        <v>63</v>
      </c>
      <c r="K55" s="25">
        <f t="shared" si="0"/>
        <v>0.30751191702086067</v>
      </c>
      <c r="L55" s="25">
        <f t="shared" si="1"/>
        <v>100</v>
      </c>
      <c r="M55" s="43"/>
    </row>
    <row r="56" spans="2:13" ht="13.5" customHeight="1">
      <c r="B56" s="29" t="s">
        <v>45</v>
      </c>
      <c r="C56" s="27">
        <f>237866748</f>
        <v>237866748</v>
      </c>
      <c r="D56" s="36">
        <f>237866748</f>
        <v>237866748</v>
      </c>
      <c r="E56" s="27">
        <f>237866748</f>
        <v>237866748</v>
      </c>
      <c r="F56" s="27" t="s">
        <v>63</v>
      </c>
      <c r="G56" s="27" t="s">
        <v>63</v>
      </c>
      <c r="H56" s="27" t="s">
        <v>63</v>
      </c>
      <c r="I56" s="27" t="s">
        <v>63</v>
      </c>
      <c r="J56" s="27" t="s">
        <v>63</v>
      </c>
      <c r="K56" s="28">
        <f t="shared" si="0"/>
        <v>0.21420645604684438</v>
      </c>
      <c r="L56" s="28">
        <f t="shared" si="1"/>
        <v>100</v>
      </c>
      <c r="M56" s="34"/>
    </row>
    <row r="57" spans="2:13" ht="13.5" customHeight="1">
      <c r="B57" s="29" t="s">
        <v>43</v>
      </c>
      <c r="C57" s="30">
        <f>3163088</f>
        <v>3163088</v>
      </c>
      <c r="D57" s="30">
        <f>3163088</f>
        <v>3163088</v>
      </c>
      <c r="E57" s="30">
        <f>3163088</f>
        <v>3163088</v>
      </c>
      <c r="F57" s="30" t="s">
        <v>63</v>
      </c>
      <c r="G57" s="30" t="s">
        <v>63</v>
      </c>
      <c r="H57" s="30" t="s">
        <v>63</v>
      </c>
      <c r="I57" s="30" t="s">
        <v>63</v>
      </c>
      <c r="J57" s="30" t="s">
        <v>63</v>
      </c>
      <c r="K57" s="28">
        <f t="shared" si="0"/>
        <v>0.0028484598050850757</v>
      </c>
      <c r="L57" s="28">
        <f t="shared" si="1"/>
        <v>100</v>
      </c>
      <c r="M57" s="34"/>
    </row>
    <row r="58" spans="2:13" ht="13.5" customHeight="1">
      <c r="B58" s="29" t="s">
        <v>42</v>
      </c>
      <c r="C58" s="27">
        <f>100448479</f>
        <v>100448479</v>
      </c>
      <c r="D58" s="36">
        <f>100448479</f>
        <v>100448479</v>
      </c>
      <c r="E58" s="27">
        <f>100448479</f>
        <v>100448479</v>
      </c>
      <c r="F58" s="27" t="s">
        <v>63</v>
      </c>
      <c r="G58" s="27" t="s">
        <v>63</v>
      </c>
      <c r="H58" s="27" t="s">
        <v>63</v>
      </c>
      <c r="I58" s="27" t="s">
        <v>63</v>
      </c>
      <c r="J58" s="27" t="s">
        <v>63</v>
      </c>
      <c r="K58" s="28">
        <f t="shared" si="0"/>
        <v>0.09045700116893123</v>
      </c>
      <c r="L58" s="28">
        <f t="shared" si="1"/>
        <v>100</v>
      </c>
      <c r="M58" s="34"/>
    </row>
    <row r="59" spans="2:13" s="42" customFormat="1" ht="25.5" customHeight="1">
      <c r="B59" s="23" t="s">
        <v>62</v>
      </c>
      <c r="C59" s="24">
        <f>C60+C61</f>
        <v>1044689019</v>
      </c>
      <c r="D59" s="24">
        <f>D60+D61</f>
        <v>1044689019</v>
      </c>
      <c r="E59" s="24">
        <f>E60+E61</f>
        <v>1044689019</v>
      </c>
      <c r="F59" s="32" t="s">
        <v>63</v>
      </c>
      <c r="G59" s="32" t="s">
        <v>63</v>
      </c>
      <c r="H59" s="32" t="s">
        <v>63</v>
      </c>
      <c r="I59" s="32" t="s">
        <v>63</v>
      </c>
      <c r="J59" s="32" t="s">
        <v>63</v>
      </c>
      <c r="K59" s="25">
        <f t="shared" si="0"/>
        <v>0.9407751790134384</v>
      </c>
      <c r="L59" s="25">
        <f t="shared" si="1"/>
        <v>100</v>
      </c>
      <c r="M59" s="43"/>
    </row>
    <row r="60" spans="2:13" ht="13.5" customHeight="1">
      <c r="B60" s="29" t="s">
        <v>42</v>
      </c>
      <c r="C60" s="27">
        <f>912654608</f>
        <v>912654608</v>
      </c>
      <c r="D60" s="36">
        <f>912654608</f>
        <v>912654608</v>
      </c>
      <c r="E60" s="27">
        <f>912654608</f>
        <v>912654608</v>
      </c>
      <c r="F60" s="27" t="s">
        <v>63</v>
      </c>
      <c r="G60" s="27" t="s">
        <v>63</v>
      </c>
      <c r="H60" s="27" t="s">
        <v>63</v>
      </c>
      <c r="I60" s="27" t="s">
        <v>63</v>
      </c>
      <c r="J60" s="27" t="s">
        <v>63</v>
      </c>
      <c r="K60" s="28">
        <f t="shared" si="0"/>
        <v>0.8218740568753308</v>
      </c>
      <c r="L60" s="28">
        <f t="shared" si="1"/>
        <v>100</v>
      </c>
      <c r="M60" s="34"/>
    </row>
    <row r="61" spans="2:13" ht="13.5" customHeight="1">
      <c r="B61" s="29" t="s">
        <v>45</v>
      </c>
      <c r="C61" s="30">
        <f>132034411</f>
        <v>132034411</v>
      </c>
      <c r="D61" s="30">
        <f>132034411</f>
        <v>132034411</v>
      </c>
      <c r="E61" s="30">
        <f>132034411</f>
        <v>132034411</v>
      </c>
      <c r="F61" s="30" t="s">
        <v>63</v>
      </c>
      <c r="G61" s="30" t="s">
        <v>63</v>
      </c>
      <c r="H61" s="30" t="s">
        <v>63</v>
      </c>
      <c r="I61" s="30" t="s">
        <v>63</v>
      </c>
      <c r="J61" s="30" t="s">
        <v>63</v>
      </c>
      <c r="K61" s="28">
        <f t="shared" si="0"/>
        <v>0.11890112213810769</v>
      </c>
      <c r="L61" s="28">
        <f t="shared" si="1"/>
        <v>100</v>
      </c>
      <c r="M61" s="34"/>
    </row>
    <row r="62" spans="2:13" ht="11.25" customHeight="1">
      <c r="B62" s="44"/>
      <c r="C62" s="45"/>
      <c r="D62" s="45"/>
      <c r="E62" s="45"/>
      <c r="F62" s="45"/>
      <c r="G62" s="45"/>
      <c r="H62" s="45"/>
      <c r="I62" s="45"/>
      <c r="J62" s="45"/>
      <c r="K62" s="33"/>
      <c r="L62" s="33"/>
      <c r="M62" s="34"/>
    </row>
    <row r="63" spans="2:13" ht="13.5" customHeight="1">
      <c r="B63" s="23" t="s">
        <v>5</v>
      </c>
      <c r="C63" s="32">
        <f aca="true" t="shared" si="4" ref="C63:J63">+C5</f>
        <v>108010279664.71</v>
      </c>
      <c r="D63" s="32">
        <f t="shared" si="4"/>
        <v>111045555017.25</v>
      </c>
      <c r="E63" s="32">
        <f t="shared" si="4"/>
        <v>110606001808.38</v>
      </c>
      <c r="F63" s="32">
        <f t="shared" si="4"/>
        <v>526091944.01</v>
      </c>
      <c r="G63" s="32">
        <f t="shared" si="4"/>
        <v>155059512.24</v>
      </c>
      <c r="H63" s="32">
        <f t="shared" si="4"/>
        <v>38940306.19</v>
      </c>
      <c r="I63" s="32">
        <f t="shared" si="4"/>
        <v>92437463.58</v>
      </c>
      <c r="J63" s="32">
        <f t="shared" si="4"/>
        <v>4607666.49</v>
      </c>
      <c r="K63" s="25">
        <f t="shared" si="0"/>
        <v>100</v>
      </c>
      <c r="L63" s="25">
        <f t="shared" si="1"/>
        <v>102.81017266315968</v>
      </c>
      <c r="M63" s="34"/>
    </row>
    <row r="64" spans="2:13" ht="12.75">
      <c r="B64" s="29" t="s">
        <v>82</v>
      </c>
      <c r="C64" s="30">
        <f>8569159354.25</f>
        <v>8569159354.25</v>
      </c>
      <c r="D64" s="30">
        <f>7848987503.92</f>
        <v>7848987503.92</v>
      </c>
      <c r="E64" s="30">
        <f>7808105483.64</f>
        <v>7808105483.64</v>
      </c>
      <c r="F64" s="30">
        <f>0</f>
        <v>0</v>
      </c>
      <c r="G64" s="30">
        <f>0</f>
        <v>0</v>
      </c>
      <c r="H64" s="30">
        <f>0</f>
        <v>0</v>
      </c>
      <c r="I64" s="30">
        <f>0</f>
        <v>0</v>
      </c>
      <c r="J64" s="30">
        <f>0</f>
        <v>0</v>
      </c>
      <c r="K64" s="28">
        <f t="shared" si="0"/>
        <v>7.068259060617713</v>
      </c>
      <c r="L64" s="28">
        <f t="shared" si="1"/>
        <v>91.59577012682323</v>
      </c>
      <c r="M64" s="34"/>
    </row>
    <row r="65" spans="1:13" s="42" customFormat="1" ht="12.75">
      <c r="A65" s="9"/>
      <c r="B65" s="29" t="s">
        <v>83</v>
      </c>
      <c r="C65" s="30">
        <f>C63-C64</f>
        <v>99441120310.46</v>
      </c>
      <c r="D65" s="30">
        <f aca="true" t="shared" si="5" ref="D65:J65">D63-D64</f>
        <v>103196567513.33</v>
      </c>
      <c r="E65" s="30">
        <f t="shared" si="5"/>
        <v>102797896324.74</v>
      </c>
      <c r="F65" s="30">
        <f t="shared" si="5"/>
        <v>526091944.01</v>
      </c>
      <c r="G65" s="30">
        <f t="shared" si="5"/>
        <v>155059512.24</v>
      </c>
      <c r="H65" s="30">
        <f t="shared" si="5"/>
        <v>38940306.19</v>
      </c>
      <c r="I65" s="30">
        <f t="shared" si="5"/>
        <v>92437463.58</v>
      </c>
      <c r="J65" s="30">
        <f t="shared" si="5"/>
        <v>4607666.49</v>
      </c>
      <c r="K65" s="28">
        <f t="shared" si="0"/>
        <v>92.9317409393823</v>
      </c>
      <c r="L65" s="28">
        <f t="shared" si="1"/>
        <v>103.77655359387073</v>
      </c>
      <c r="M65" s="46"/>
    </row>
    <row r="66" spans="2:13" ht="18">
      <c r="B66" s="100" t="str">
        <f>CONCATENATE("Informacja z wykonania budżetów miast na prawach powiatu za ",$D$121," ",$C$122," rok    ",$C$124,"")</f>
        <v>Informacja z wykonania budżetów miast na prawach powiatu za IV Kwartały 2021 rok    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 s="42" customFormat="1" ht="6" customHeight="1">
      <c r="B67" s="47"/>
      <c r="C67" s="48"/>
      <c r="D67" s="48"/>
      <c r="E67" s="48"/>
      <c r="F67" s="49"/>
      <c r="G67" s="49"/>
      <c r="H67" s="49"/>
      <c r="I67" s="49"/>
      <c r="J67" s="49"/>
      <c r="K67" s="1"/>
      <c r="L67" s="1"/>
      <c r="M67" s="50"/>
    </row>
    <row r="68" spans="2:27" ht="29.25" customHeight="1">
      <c r="B68" s="121" t="s">
        <v>0</v>
      </c>
      <c r="C68" s="119" t="s">
        <v>51</v>
      </c>
      <c r="D68" s="119" t="s">
        <v>52</v>
      </c>
      <c r="E68" s="119" t="s">
        <v>53</v>
      </c>
      <c r="F68" s="119" t="s">
        <v>12</v>
      </c>
      <c r="G68" s="119"/>
      <c r="H68" s="119"/>
      <c r="I68" s="119" t="s">
        <v>97</v>
      </c>
      <c r="J68" s="119"/>
      <c r="K68" s="119" t="s">
        <v>2</v>
      </c>
      <c r="L68" s="122" t="s">
        <v>31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2:27" ht="18" customHeight="1">
      <c r="B69" s="121"/>
      <c r="C69" s="119"/>
      <c r="D69" s="101"/>
      <c r="E69" s="119"/>
      <c r="F69" s="110" t="s">
        <v>54</v>
      </c>
      <c r="G69" s="123" t="s">
        <v>30</v>
      </c>
      <c r="H69" s="101"/>
      <c r="I69" s="119"/>
      <c r="J69" s="119"/>
      <c r="K69" s="119"/>
      <c r="L69" s="122"/>
      <c r="M69" s="2"/>
      <c r="N69" s="3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2:27" ht="36" customHeight="1">
      <c r="B70" s="121"/>
      <c r="C70" s="119"/>
      <c r="D70" s="101"/>
      <c r="E70" s="119"/>
      <c r="F70" s="101"/>
      <c r="G70" s="7" t="s">
        <v>49</v>
      </c>
      <c r="H70" s="7" t="s">
        <v>50</v>
      </c>
      <c r="I70" s="119"/>
      <c r="J70" s="119"/>
      <c r="K70" s="119"/>
      <c r="L70" s="122"/>
      <c r="M70" s="2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2:27" ht="13.5" customHeight="1">
      <c r="B71" s="121"/>
      <c r="C71" s="99" t="s">
        <v>88</v>
      </c>
      <c r="D71" s="99"/>
      <c r="E71" s="99"/>
      <c r="F71" s="99"/>
      <c r="G71" s="99"/>
      <c r="H71" s="99"/>
      <c r="I71" s="99"/>
      <c r="J71" s="99"/>
      <c r="K71" s="99" t="s">
        <v>4</v>
      </c>
      <c r="L71" s="99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2:27" ht="11.25" customHeight="1">
      <c r="B72" s="6">
        <v>1</v>
      </c>
      <c r="C72" s="8">
        <v>2</v>
      </c>
      <c r="D72" s="8">
        <v>3</v>
      </c>
      <c r="E72" s="8">
        <v>4</v>
      </c>
      <c r="F72" s="6">
        <v>5</v>
      </c>
      <c r="G72" s="6">
        <v>6</v>
      </c>
      <c r="H72" s="8">
        <v>7</v>
      </c>
      <c r="I72" s="101">
        <v>8</v>
      </c>
      <c r="J72" s="101"/>
      <c r="K72" s="6">
        <v>9</v>
      </c>
      <c r="L72" s="8">
        <v>10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2:12" ht="25.5" customHeight="1">
      <c r="B73" s="23" t="s">
        <v>71</v>
      </c>
      <c r="C73" s="52">
        <f>115172486565.64</f>
        <v>115172486565.64</v>
      </c>
      <c r="D73" s="52">
        <f>108243654572.94</f>
        <v>108243654572.94</v>
      </c>
      <c r="E73" s="52">
        <f>108203485541.17</f>
        <v>108203485541.17</v>
      </c>
      <c r="F73" s="52">
        <f>4982579266.77</f>
        <v>4982579266.77</v>
      </c>
      <c r="G73" s="52">
        <f>164522.51</f>
        <v>164522.51</v>
      </c>
      <c r="H73" s="52">
        <f>2845290.6</f>
        <v>2845290.6</v>
      </c>
      <c r="I73" s="124">
        <f>544905922.41</f>
        <v>544905922.41</v>
      </c>
      <c r="J73" s="124"/>
      <c r="K73" s="53">
        <f aca="true" t="shared" si="6" ref="K73:K82">IF($E$73=0,"",100*$E73/$E$73)</f>
        <v>100</v>
      </c>
      <c r="L73" s="53">
        <f aca="true" t="shared" si="7" ref="L73:L82">IF(C73=0,"",100*E73/C73)</f>
        <v>93.94907479009913</v>
      </c>
    </row>
    <row r="74" spans="2:12" ht="12.75">
      <c r="B74" s="23" t="s">
        <v>14</v>
      </c>
      <c r="C74" s="54">
        <f>19431333762.86</f>
        <v>19431333762.86</v>
      </c>
      <c r="D74" s="54">
        <f>15677316152.61</f>
        <v>15677316152.61</v>
      </c>
      <c r="E74" s="54">
        <f>15648193584.38</f>
        <v>15648193584.38</v>
      </c>
      <c r="F74" s="54">
        <f>609600680.31</f>
        <v>609600680.31</v>
      </c>
      <c r="G74" s="54">
        <f>567.01</f>
        <v>567.01</v>
      </c>
      <c r="H74" s="54">
        <f>84200.86</f>
        <v>84200.86</v>
      </c>
      <c r="I74" s="102">
        <f>506859898.72</f>
        <v>506859898.72</v>
      </c>
      <c r="J74" s="102"/>
      <c r="K74" s="53">
        <f t="shared" si="6"/>
        <v>14.461820251091698</v>
      </c>
      <c r="L74" s="53">
        <f t="shared" si="7"/>
        <v>80.53072308545855</v>
      </c>
    </row>
    <row r="75" spans="2:12" ht="12.75">
      <c r="B75" s="29" t="s">
        <v>13</v>
      </c>
      <c r="C75" s="30">
        <f>17549617354.09</f>
        <v>17549617354.09</v>
      </c>
      <c r="D75" s="30">
        <f>13924554602</f>
        <v>13924554602</v>
      </c>
      <c r="E75" s="30">
        <f>13895432033.77</f>
        <v>13895432033.77</v>
      </c>
      <c r="F75" s="30">
        <f>583200900.72</f>
        <v>583200900.72</v>
      </c>
      <c r="G75" s="30">
        <f>567.01</f>
        <v>567.01</v>
      </c>
      <c r="H75" s="30">
        <f>84200.86</f>
        <v>84200.86</v>
      </c>
      <c r="I75" s="97">
        <f>506859898.72</f>
        <v>506859898.72</v>
      </c>
      <c r="J75" s="97"/>
      <c r="K75" s="56">
        <f t="shared" si="6"/>
        <v>12.841944937608291</v>
      </c>
      <c r="L75" s="56">
        <f t="shared" si="7"/>
        <v>79.17797723681777</v>
      </c>
    </row>
    <row r="76" spans="2:12" ht="25.5" customHeight="1">
      <c r="B76" s="23" t="s">
        <v>72</v>
      </c>
      <c r="C76" s="54">
        <f aca="true" t="shared" si="8" ref="C76:I76">C73-C74</f>
        <v>95741152802.78</v>
      </c>
      <c r="D76" s="54">
        <f t="shared" si="8"/>
        <v>92566338420.33</v>
      </c>
      <c r="E76" s="54">
        <f t="shared" si="8"/>
        <v>92555291956.79</v>
      </c>
      <c r="F76" s="54">
        <f t="shared" si="8"/>
        <v>4372978586.460001</v>
      </c>
      <c r="G76" s="54">
        <f t="shared" si="8"/>
        <v>163955.5</v>
      </c>
      <c r="H76" s="54">
        <f t="shared" si="8"/>
        <v>2761089.74</v>
      </c>
      <c r="I76" s="102">
        <f t="shared" si="8"/>
        <v>38046023.68999994</v>
      </c>
      <c r="J76" s="102"/>
      <c r="K76" s="53">
        <f t="shared" si="6"/>
        <v>85.5381797489083</v>
      </c>
      <c r="L76" s="53">
        <f t="shared" si="7"/>
        <v>96.67242272238705</v>
      </c>
    </row>
    <row r="77" spans="2:12" ht="24" customHeight="1">
      <c r="B77" s="29" t="s">
        <v>112</v>
      </c>
      <c r="C77" s="30">
        <f>35176200032.57</f>
        <v>35176200032.57</v>
      </c>
      <c r="D77" s="30">
        <f>34647929307.57</f>
        <v>34647929307.57</v>
      </c>
      <c r="E77" s="30">
        <f>34647274096.37</f>
        <v>34647274096.37</v>
      </c>
      <c r="F77" s="30">
        <f>2947270707.25001</f>
        <v>2947270707.25001</v>
      </c>
      <c r="G77" s="30">
        <f>18488.5</f>
        <v>18488.5</v>
      </c>
      <c r="H77" s="30">
        <f>1407.41</f>
        <v>1407.41</v>
      </c>
      <c r="I77" s="97">
        <f>4045</f>
        <v>4045</v>
      </c>
      <c r="J77" s="97"/>
      <c r="K77" s="56">
        <f t="shared" si="6"/>
        <v>32.020478751756265</v>
      </c>
      <c r="L77" s="56">
        <f t="shared" si="7"/>
        <v>98.49635283029362</v>
      </c>
    </row>
    <row r="78" spans="2:12" ht="13.5" customHeight="1">
      <c r="B78" s="29" t="s">
        <v>48</v>
      </c>
      <c r="C78" s="57">
        <f>10712486186.27</f>
        <v>10712486186.27</v>
      </c>
      <c r="D78" s="57">
        <f>10578321159.46</f>
        <v>10578321159.46</v>
      </c>
      <c r="E78" s="57">
        <f>10576018374.16</f>
        <v>10576018374.16</v>
      </c>
      <c r="F78" s="57">
        <f>5421351.86</f>
        <v>5421351.86</v>
      </c>
      <c r="G78" s="57">
        <f>0</f>
        <v>0</v>
      </c>
      <c r="H78" s="57">
        <f>0</f>
        <v>0</v>
      </c>
      <c r="I78" s="98">
        <f>0</f>
        <v>0</v>
      </c>
      <c r="J78" s="98"/>
      <c r="K78" s="56">
        <f t="shared" si="6"/>
        <v>9.774193799086042</v>
      </c>
      <c r="L78" s="56">
        <f t="shared" si="7"/>
        <v>98.72608645895004</v>
      </c>
    </row>
    <row r="79" spans="2:12" ht="12.75">
      <c r="B79" s="29" t="s">
        <v>47</v>
      </c>
      <c r="C79" s="30">
        <f>730145952.12</f>
        <v>730145952.12</v>
      </c>
      <c r="D79" s="30">
        <f>557490969.03</f>
        <v>557490969.03</v>
      </c>
      <c r="E79" s="30">
        <f>557490969.03</f>
        <v>557490969.03</v>
      </c>
      <c r="F79" s="30">
        <f>23833538.43</f>
        <v>23833538.43</v>
      </c>
      <c r="G79" s="30">
        <f>0</f>
        <v>0</v>
      </c>
      <c r="H79" s="30">
        <f>0</f>
        <v>0</v>
      </c>
      <c r="I79" s="97">
        <f>0</f>
        <v>0</v>
      </c>
      <c r="J79" s="97"/>
      <c r="K79" s="56">
        <f t="shared" si="6"/>
        <v>0.5152245939599441</v>
      </c>
      <c r="L79" s="56">
        <f t="shared" si="7"/>
        <v>76.35336023041815</v>
      </c>
    </row>
    <row r="80" spans="2:12" ht="22.5" customHeight="1">
      <c r="B80" s="29" t="s">
        <v>78</v>
      </c>
      <c r="C80" s="57">
        <f>70121445.67</f>
        <v>70121445.67</v>
      </c>
      <c r="D80" s="57">
        <f>11906046.47</f>
        <v>11906046.47</v>
      </c>
      <c r="E80" s="57">
        <f>9262046.47</f>
        <v>9262046.47</v>
      </c>
      <c r="F80" s="57">
        <f>0</f>
        <v>0</v>
      </c>
      <c r="G80" s="57">
        <f>0</f>
        <v>0</v>
      </c>
      <c r="H80" s="57">
        <f>0</f>
        <v>0</v>
      </c>
      <c r="I80" s="98">
        <f>0</f>
        <v>0</v>
      </c>
      <c r="J80" s="98"/>
      <c r="K80" s="56">
        <f t="shared" si="6"/>
        <v>0.008559841139753225</v>
      </c>
      <c r="L80" s="56">
        <f t="shared" si="7"/>
        <v>13.208578889813982</v>
      </c>
    </row>
    <row r="81" spans="2:12" ht="22.5" customHeight="1">
      <c r="B81" s="29" t="s">
        <v>80</v>
      </c>
      <c r="C81" s="57">
        <f>17307400385.68</f>
        <v>17307400385.68</v>
      </c>
      <c r="D81" s="57">
        <f>17197221227.93</f>
        <v>17197221227.93</v>
      </c>
      <c r="E81" s="57">
        <f>17196969785.63</f>
        <v>17196969785.63</v>
      </c>
      <c r="F81" s="57">
        <f>147768481.39</f>
        <v>147768481.39</v>
      </c>
      <c r="G81" s="57">
        <f>30855</f>
        <v>30855</v>
      </c>
      <c r="H81" s="57">
        <f>181579.25</f>
        <v>181579.25</v>
      </c>
      <c r="I81" s="117">
        <f>0</f>
        <v>0</v>
      </c>
      <c r="J81" s="118"/>
      <c r="K81" s="56">
        <f t="shared" si="6"/>
        <v>15.89317543665151</v>
      </c>
      <c r="L81" s="56">
        <f t="shared" si="7"/>
        <v>99.3619457712357</v>
      </c>
    </row>
    <row r="82" spans="2:12" ht="12.75">
      <c r="B82" s="29" t="s">
        <v>46</v>
      </c>
      <c r="C82" s="30">
        <f aca="true" t="shared" si="9" ref="C82:I82">C76-C77-C78-C79-C80-C81</f>
        <v>31744798800.47</v>
      </c>
      <c r="D82" s="30">
        <f t="shared" si="9"/>
        <v>29573469709.870003</v>
      </c>
      <c r="E82" s="30">
        <f t="shared" si="9"/>
        <v>29568276685.129993</v>
      </c>
      <c r="F82" s="30">
        <f t="shared" si="9"/>
        <v>1248684507.5299911</v>
      </c>
      <c r="G82" s="30">
        <f t="shared" si="9"/>
        <v>114612</v>
      </c>
      <c r="H82" s="30">
        <f t="shared" si="9"/>
        <v>2578103.08</v>
      </c>
      <c r="I82" s="117">
        <f t="shared" si="9"/>
        <v>38041978.68999994</v>
      </c>
      <c r="J82" s="118"/>
      <c r="K82" s="56">
        <f t="shared" si="6"/>
        <v>27.326547326314785</v>
      </c>
      <c r="L82" s="56">
        <f t="shared" si="7"/>
        <v>93.14368905274718</v>
      </c>
    </row>
    <row r="83" spans="2:13" ht="12.75">
      <c r="B83" s="23" t="s">
        <v>15</v>
      </c>
      <c r="C83" s="55">
        <f>C5-C73</f>
        <v>-7162206900.929993</v>
      </c>
      <c r="D83" s="55"/>
      <c r="E83" s="55">
        <f>D5-E73</f>
        <v>2842069476.080002</v>
      </c>
      <c r="F83" s="55"/>
      <c r="G83" s="55"/>
      <c r="H83" s="55"/>
      <c r="I83" s="102"/>
      <c r="J83" s="102"/>
      <c r="K83" s="58"/>
      <c r="L83" s="58"/>
      <c r="M83" s="4"/>
    </row>
    <row r="84" spans="2:13" ht="22.5">
      <c r="B84" s="23" t="s">
        <v>87</v>
      </c>
      <c r="C84" s="55">
        <f>+C65-C76</f>
        <v>3699967507.680008</v>
      </c>
      <c r="D84" s="55"/>
      <c r="E84" s="55">
        <f>+D65-E76</f>
        <v>10641275556.540009</v>
      </c>
      <c r="F84" s="55"/>
      <c r="G84" s="55"/>
      <c r="H84" s="55"/>
      <c r="I84" s="55"/>
      <c r="J84" s="55"/>
      <c r="K84" s="58"/>
      <c r="L84" s="58"/>
      <c r="M84" s="4"/>
    </row>
    <row r="85" spans="2:13" ht="8.25" customHeight="1">
      <c r="B85" s="59"/>
      <c r="C85" s="60"/>
      <c r="D85" s="60"/>
      <c r="E85" s="60"/>
      <c r="F85" s="61"/>
      <c r="G85" s="61"/>
      <c r="H85" s="61"/>
      <c r="I85" s="61"/>
      <c r="J85" s="62"/>
      <c r="K85" s="62"/>
      <c r="L85" s="63"/>
      <c r="M85" s="51"/>
    </row>
    <row r="86" spans="2:13" ht="12.75">
      <c r="B86" s="64" t="s">
        <v>84</v>
      </c>
      <c r="C86" s="65"/>
      <c r="D86" s="66"/>
      <c r="E86" s="66"/>
      <c r="F86" s="67"/>
      <c r="G86" s="67"/>
      <c r="H86" s="67"/>
      <c r="I86" s="67"/>
      <c r="J86" s="68"/>
      <c r="K86" s="68"/>
      <c r="L86" s="68"/>
      <c r="M86" s="51"/>
    </row>
    <row r="87" spans="2:13" ht="26.25" customHeight="1">
      <c r="B87" s="23" t="s">
        <v>102</v>
      </c>
      <c r="C87" s="69">
        <f>8222925562.36</f>
        <v>8222925562.36</v>
      </c>
      <c r="D87" s="70">
        <f>6527548409.47999</f>
        <v>6527548409.47999</v>
      </c>
      <c r="E87" s="70">
        <f>6509807121.24999</f>
        <v>6509807121.24999</v>
      </c>
      <c r="F87" s="70">
        <f>247802595.29</f>
        <v>247802595.29</v>
      </c>
      <c r="G87" s="70">
        <f>10649.84</f>
        <v>10649.84</v>
      </c>
      <c r="H87" s="70">
        <f>0</f>
        <v>0</v>
      </c>
      <c r="I87" s="70">
        <f>144317572.08</f>
        <v>144317572.08</v>
      </c>
      <c r="J87" s="70">
        <f>0</f>
        <v>0</v>
      </c>
      <c r="K87" s="53">
        <f>IF($E$73=0,"",100*$E87/$E$87)</f>
        <v>100</v>
      </c>
      <c r="L87" s="53">
        <f>IF(C87=0,"",100*E87/C87)</f>
        <v>79.16655783737461</v>
      </c>
      <c r="M87" s="51"/>
    </row>
    <row r="88" spans="2:13" ht="15" customHeight="1">
      <c r="B88" s="71" t="s">
        <v>85</v>
      </c>
      <c r="C88" s="72">
        <f>7192571003.07</f>
        <v>7192571003.07</v>
      </c>
      <c r="D88" s="57">
        <f>5832280275.19</f>
        <v>5832280275.19</v>
      </c>
      <c r="E88" s="57">
        <f>5816132869.95</f>
        <v>5816132869.95</v>
      </c>
      <c r="F88" s="57">
        <f>236604762.44</f>
        <v>236604762.44</v>
      </c>
      <c r="G88" s="57">
        <f>0</f>
        <v>0</v>
      </c>
      <c r="H88" s="57">
        <f>0</f>
        <v>0</v>
      </c>
      <c r="I88" s="57">
        <f>137445280.76</f>
        <v>137445280.76</v>
      </c>
      <c r="J88" s="57">
        <f>0</f>
        <v>0</v>
      </c>
      <c r="K88" s="56">
        <f>IF($E$73=0,"",100*$E88/$E$87)</f>
        <v>89.34416583502717</v>
      </c>
      <c r="L88" s="73">
        <f>IF(C88=0,"",100*E88/C88)</f>
        <v>80.86305811186993</v>
      </c>
      <c r="M88" s="51"/>
    </row>
    <row r="89" spans="2:12" ht="12.75">
      <c r="B89" s="74" t="s">
        <v>86</v>
      </c>
      <c r="C89" s="72">
        <f>C87-C88</f>
        <v>1030354559.29</v>
      </c>
      <c r="D89" s="57">
        <f aca="true" t="shared" si="10" ref="D89:J89">D87-D88</f>
        <v>695268134.2899904</v>
      </c>
      <c r="E89" s="57">
        <f t="shared" si="10"/>
        <v>693674251.2999907</v>
      </c>
      <c r="F89" s="57">
        <f t="shared" si="10"/>
        <v>11197832.849999994</v>
      </c>
      <c r="G89" s="57">
        <f t="shared" si="10"/>
        <v>10649.84</v>
      </c>
      <c r="H89" s="57">
        <f t="shared" si="10"/>
        <v>0</v>
      </c>
      <c r="I89" s="57">
        <f t="shared" si="10"/>
        <v>6872291.320000023</v>
      </c>
      <c r="J89" s="57">
        <f t="shared" si="10"/>
        <v>0</v>
      </c>
      <c r="K89" s="56">
        <f>IF($E$73=0,"",100*$E89/$E$87)</f>
        <v>10.655834164972829</v>
      </c>
      <c r="L89" s="73">
        <f>IF(C89=0,"",100*E89/C89)</f>
        <v>67.32383964778008</v>
      </c>
    </row>
    <row r="90" ht="6" customHeight="1"/>
    <row r="91" spans="2:13" ht="18">
      <c r="B91" s="100" t="str">
        <f>CONCATENATE("Informacja z wykonania budżetów miast na prawach powiatu za ",$D$121," ",$C$122," rok    ",$C$124,"")</f>
        <v>Informacja z wykonania budżetów miast na prawach powiatu za IV Kwartały 2021 rok    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ht="6.75" customHeight="1"/>
    <row r="93" spans="2:8" ht="12.75">
      <c r="B93" s="12" t="s">
        <v>16</v>
      </c>
      <c r="C93" s="108" t="s">
        <v>17</v>
      </c>
      <c r="D93" s="109"/>
      <c r="E93" s="108" t="s">
        <v>1</v>
      </c>
      <c r="F93" s="109"/>
      <c r="G93" s="8" t="s">
        <v>25</v>
      </c>
      <c r="H93" s="8" t="s">
        <v>26</v>
      </c>
    </row>
    <row r="94" spans="2:8" ht="12.75">
      <c r="B94" s="12"/>
      <c r="C94" s="110" t="s">
        <v>88</v>
      </c>
      <c r="D94" s="111"/>
      <c r="E94" s="111"/>
      <c r="F94" s="112"/>
      <c r="G94" s="113" t="s">
        <v>4</v>
      </c>
      <c r="H94" s="114"/>
    </row>
    <row r="95" spans="2:8" ht="12.75">
      <c r="B95" s="10">
        <v>1</v>
      </c>
      <c r="C95" s="13">
        <v>2</v>
      </c>
      <c r="D95" s="14"/>
      <c r="E95" s="13">
        <v>3</v>
      </c>
      <c r="F95" s="14"/>
      <c r="G95" s="11">
        <v>4</v>
      </c>
      <c r="H95" s="11">
        <v>5</v>
      </c>
    </row>
    <row r="96" spans="2:8" ht="22.5">
      <c r="B96" s="75" t="s">
        <v>73</v>
      </c>
      <c r="C96" s="76">
        <f>11145047499.77</f>
        <v>11145047499.77</v>
      </c>
      <c r="D96" s="77"/>
      <c r="E96" s="76">
        <f>14270298102.48</f>
        <v>14270298102.48</v>
      </c>
      <c r="F96" s="77"/>
      <c r="G96" s="78">
        <f>IF($E$96=0,"",100*$E96/$E$96)</f>
        <v>100</v>
      </c>
      <c r="H96" s="53">
        <f>IF(C96=0,"",100*E96/C96)</f>
        <v>128.04160864073927</v>
      </c>
    </row>
    <row r="97" spans="2:8" ht="33.75">
      <c r="B97" s="79" t="s">
        <v>103</v>
      </c>
      <c r="C97" s="80">
        <f>6279323212.56</f>
        <v>6279323212.56</v>
      </c>
      <c r="D97" s="81"/>
      <c r="E97" s="80">
        <f>5490143681.06</f>
        <v>5490143681.06</v>
      </c>
      <c r="F97" s="81"/>
      <c r="G97" s="82">
        <f aca="true" t="shared" si="11" ref="G97:G103">IF($E$96=0,"",100*$E97/$E$96)</f>
        <v>38.47252272961195</v>
      </c>
      <c r="H97" s="83">
        <f aca="true" t="shared" si="12" ref="H97:H109">IF(C97=0,"",100*E97/C97)</f>
        <v>87.43209252357849</v>
      </c>
    </row>
    <row r="98" spans="2:8" ht="22.5">
      <c r="B98" s="84" t="s">
        <v>104</v>
      </c>
      <c r="C98" s="85">
        <f>769000000</f>
        <v>769000000</v>
      </c>
      <c r="D98" s="86"/>
      <c r="E98" s="85">
        <f>749000000</f>
        <v>749000000</v>
      </c>
      <c r="F98" s="86"/>
      <c r="G98" s="87">
        <f t="shared" si="11"/>
        <v>5.248664005623212</v>
      </c>
      <c r="H98" s="73">
        <f t="shared" si="12"/>
        <v>97.39921976592979</v>
      </c>
    </row>
    <row r="99" spans="2:8" ht="12.75">
      <c r="B99" s="84" t="s">
        <v>105</v>
      </c>
      <c r="C99" s="85">
        <f>76579121.71</f>
        <v>76579121.71</v>
      </c>
      <c r="D99" s="86"/>
      <c r="E99" s="85">
        <f>56405973.65</f>
        <v>56405973.65</v>
      </c>
      <c r="F99" s="86"/>
      <c r="G99" s="87">
        <f t="shared" si="11"/>
        <v>0.3952683626153356</v>
      </c>
      <c r="H99" s="73">
        <f t="shared" si="12"/>
        <v>73.65711748902743</v>
      </c>
    </row>
    <row r="100" spans="2:8" ht="12.75">
      <c r="B100" s="84" t="s">
        <v>106</v>
      </c>
      <c r="C100" s="85">
        <f>0</f>
        <v>0</v>
      </c>
      <c r="D100" s="86"/>
      <c r="E100" s="85">
        <f>73053322.37</f>
        <v>73053322.37</v>
      </c>
      <c r="F100" s="86"/>
      <c r="G100" s="87">
        <f t="shared" si="11"/>
        <v>0.5119256924093565</v>
      </c>
      <c r="H100" s="73">
        <f t="shared" si="12"/>
      </c>
    </row>
    <row r="101" spans="2:8" ht="45.75" customHeight="1">
      <c r="B101" s="84" t="s">
        <v>113</v>
      </c>
      <c r="C101" s="85">
        <f>1330436523.54</f>
        <v>1330436523.54</v>
      </c>
      <c r="D101" s="86"/>
      <c r="E101" s="85">
        <f>1857807910.48</f>
        <v>1857807910.48</v>
      </c>
      <c r="F101" s="86"/>
      <c r="G101" s="87">
        <f t="shared" si="11"/>
        <v>13.01870428451061</v>
      </c>
      <c r="H101" s="73">
        <f t="shared" si="12"/>
        <v>139.6389739464443</v>
      </c>
    </row>
    <row r="102" spans="2:8" ht="12.75">
      <c r="B102" s="84" t="s">
        <v>107</v>
      </c>
      <c r="C102" s="85">
        <f>0</f>
        <v>0</v>
      </c>
      <c r="D102" s="86"/>
      <c r="E102" s="85">
        <f>781140</f>
        <v>781140</v>
      </c>
      <c r="F102" s="86"/>
      <c r="G102" s="87">
        <f t="shared" si="11"/>
        <v>0.0054738870512049615</v>
      </c>
      <c r="H102" s="73">
        <f t="shared" si="12"/>
      </c>
    </row>
    <row r="103" spans="2:8" ht="37.5" customHeight="1">
      <c r="B103" s="84" t="s">
        <v>111</v>
      </c>
      <c r="C103" s="85">
        <f>3360772813.96</f>
        <v>3360772813.96</v>
      </c>
      <c r="D103" s="86"/>
      <c r="E103" s="85">
        <f>6700770247.39</f>
        <v>6700770247.39</v>
      </c>
      <c r="F103" s="86"/>
      <c r="G103" s="87">
        <f t="shared" si="11"/>
        <v>46.95606356131754</v>
      </c>
      <c r="H103" s="73">
        <f t="shared" si="12"/>
        <v>199.3818272855665</v>
      </c>
    </row>
    <row r="104" spans="2:8" ht="12.75">
      <c r="B104" s="84" t="s">
        <v>90</v>
      </c>
      <c r="C104" s="85">
        <f>97935828</f>
        <v>97935828</v>
      </c>
      <c r="D104" s="86"/>
      <c r="E104" s="85">
        <f>91335827.53</f>
        <v>91335827.53</v>
      </c>
      <c r="F104" s="86"/>
      <c r="G104" s="87"/>
      <c r="H104" s="73"/>
    </row>
    <row r="105" spans="2:8" ht="22.5">
      <c r="B105" s="88" t="s">
        <v>74</v>
      </c>
      <c r="C105" s="89">
        <f>3928002820.84</f>
        <v>3928002820.84</v>
      </c>
      <c r="D105" s="90"/>
      <c r="E105" s="89">
        <f>3629585709.9</f>
        <v>3629585709.9</v>
      </c>
      <c r="F105" s="90"/>
      <c r="G105" s="91">
        <f>IF($E$105=0,"",100*$E105/$E$105)</f>
        <v>100</v>
      </c>
      <c r="H105" s="53">
        <f t="shared" si="12"/>
        <v>92.40282849704818</v>
      </c>
    </row>
    <row r="106" spans="2:8" ht="33.75">
      <c r="B106" s="84" t="s">
        <v>108</v>
      </c>
      <c r="C106" s="85">
        <f>3473394732.16</f>
        <v>3473394732.16</v>
      </c>
      <c r="D106" s="86"/>
      <c r="E106" s="85">
        <f>3454556189.17</f>
        <v>3454556189.17</v>
      </c>
      <c r="F106" s="86"/>
      <c r="G106" s="87">
        <f>IF($E$105=0,"",100*$E106/$E$105)</f>
        <v>95.17769975089465</v>
      </c>
      <c r="H106" s="73">
        <f t="shared" si="12"/>
        <v>99.45763310989176</v>
      </c>
    </row>
    <row r="107" spans="2:8" ht="22.5">
      <c r="B107" s="84" t="s">
        <v>109</v>
      </c>
      <c r="C107" s="85">
        <f>383363000</f>
        <v>383363000</v>
      </c>
      <c r="D107" s="86"/>
      <c r="E107" s="85">
        <f>383363000</f>
        <v>383363000</v>
      </c>
      <c r="F107" s="86"/>
      <c r="G107" s="87">
        <f>IF($E$105=0,"",100*$E107/$E$105)</f>
        <v>10.562169642511684</v>
      </c>
      <c r="H107" s="73">
        <f t="shared" si="12"/>
        <v>100</v>
      </c>
    </row>
    <row r="108" spans="2:8" ht="12.75">
      <c r="B108" s="84" t="s">
        <v>110</v>
      </c>
      <c r="C108" s="85">
        <f>71669995</f>
        <v>71669995</v>
      </c>
      <c r="D108" s="86"/>
      <c r="E108" s="85">
        <f>53870231.81</f>
        <v>53870231.81</v>
      </c>
      <c r="F108" s="86"/>
      <c r="G108" s="87">
        <f>IF($E$105=0,"",100*$E108/$E$105)</f>
        <v>1.4841978152785982</v>
      </c>
      <c r="H108" s="73">
        <f t="shared" si="12"/>
        <v>75.16427454752858</v>
      </c>
    </row>
    <row r="109" spans="2:8" ht="12.75">
      <c r="B109" s="84" t="s">
        <v>29</v>
      </c>
      <c r="C109" s="85">
        <f>382938093.68</f>
        <v>382938093.68</v>
      </c>
      <c r="D109" s="86"/>
      <c r="E109" s="85">
        <f>121159288.92</f>
        <v>121159288.92</v>
      </c>
      <c r="F109" s="86"/>
      <c r="G109" s="87">
        <f>IF($E$105=0,"",100*$E109/$E$105)</f>
        <v>3.3381024338267546</v>
      </c>
      <c r="H109" s="73">
        <f t="shared" si="12"/>
        <v>31.639393134193135</v>
      </c>
    </row>
    <row r="110" spans="2:8" ht="12.75">
      <c r="B110" s="42"/>
      <c r="C110" s="42"/>
      <c r="D110" s="42"/>
      <c r="E110" s="42"/>
      <c r="F110" s="42"/>
      <c r="G110" s="42"/>
      <c r="H110" s="42"/>
    </row>
    <row r="111" spans="2:8" ht="12.75">
      <c r="B111" s="15" t="s">
        <v>16</v>
      </c>
      <c r="C111" s="115" t="s">
        <v>17</v>
      </c>
      <c r="D111" s="116"/>
      <c r="E111" s="115" t="s">
        <v>1</v>
      </c>
      <c r="F111" s="116"/>
      <c r="G111" s="16" t="s">
        <v>25</v>
      </c>
      <c r="H111" s="16" t="s">
        <v>26</v>
      </c>
    </row>
    <row r="112" spans="2:8" ht="12.75">
      <c r="B112" s="17"/>
      <c r="C112" s="103" t="s">
        <v>88</v>
      </c>
      <c r="D112" s="104"/>
      <c r="E112" s="104"/>
      <c r="F112" s="105"/>
      <c r="G112" s="106" t="s">
        <v>4</v>
      </c>
      <c r="H112" s="107"/>
    </row>
    <row r="113" spans="2:8" ht="12.75">
      <c r="B113" s="18">
        <v>1</v>
      </c>
      <c r="C113" s="19">
        <v>2</v>
      </c>
      <c r="D113" s="20"/>
      <c r="E113" s="19">
        <v>3</v>
      </c>
      <c r="F113" s="20"/>
      <c r="G113" s="21">
        <v>4</v>
      </c>
      <c r="H113" s="21">
        <v>5</v>
      </c>
    </row>
    <row r="114" spans="2:8" ht="28.5" customHeight="1">
      <c r="B114" s="92" t="s">
        <v>91</v>
      </c>
      <c r="C114" s="85">
        <f>7279414777.11</f>
        <v>7279414777.11</v>
      </c>
      <c r="D114" s="86"/>
      <c r="E114" s="85">
        <f>980095781.93</f>
        <v>980095781.93</v>
      </c>
      <c r="F114" s="93"/>
      <c r="G114" s="87"/>
      <c r="H114" s="73"/>
    </row>
    <row r="115" spans="2:8" ht="56.25">
      <c r="B115" s="92" t="s">
        <v>92</v>
      </c>
      <c r="C115" s="85">
        <f>559701824</f>
        <v>559701824</v>
      </c>
      <c r="D115" s="86"/>
      <c r="E115" s="85">
        <f>26523919.13</f>
        <v>26523919.13</v>
      </c>
      <c r="F115" s="86"/>
      <c r="G115" s="87"/>
      <c r="H115" s="73"/>
    </row>
    <row r="116" spans="2:8" ht="12.75">
      <c r="B116" s="92" t="s">
        <v>93</v>
      </c>
      <c r="C116" s="85">
        <f>3510641983.56</f>
        <v>3510641983.56</v>
      </c>
      <c r="D116" s="86"/>
      <c r="E116" s="85">
        <f>663629659.72</f>
        <v>663629659.72</v>
      </c>
      <c r="F116" s="86"/>
      <c r="G116" s="87"/>
      <c r="H116" s="73"/>
    </row>
    <row r="117" spans="2:8" ht="33.75">
      <c r="B117" s="92" t="s">
        <v>94</v>
      </c>
      <c r="C117" s="85">
        <f>0</f>
        <v>0</v>
      </c>
      <c r="D117" s="86"/>
      <c r="E117" s="85">
        <f>0</f>
        <v>0</v>
      </c>
      <c r="F117" s="86"/>
      <c r="G117" s="87"/>
      <c r="H117" s="73"/>
    </row>
    <row r="118" spans="2:8" ht="33.75">
      <c r="B118" s="92" t="s">
        <v>95</v>
      </c>
      <c r="C118" s="85">
        <f>0</f>
        <v>0</v>
      </c>
      <c r="D118" s="86"/>
      <c r="E118" s="85">
        <f>5910490.47</f>
        <v>5910490.47</v>
      </c>
      <c r="F118" s="86"/>
      <c r="G118" s="87"/>
      <c r="H118" s="73"/>
    </row>
    <row r="119" spans="2:8" ht="101.25">
      <c r="B119" s="92" t="s">
        <v>96</v>
      </c>
      <c r="C119" s="85">
        <f>2055603985.72</f>
        <v>2055603985.72</v>
      </c>
      <c r="D119" s="86"/>
      <c r="E119" s="85">
        <f>120486733.58</f>
        <v>120486733.58</v>
      </c>
      <c r="F119" s="86"/>
      <c r="G119" s="87"/>
      <c r="H119" s="73"/>
    </row>
    <row r="120" spans="2:8" ht="12.75">
      <c r="B120" s="94"/>
      <c r="C120" s="62"/>
      <c r="D120" s="62"/>
      <c r="E120" s="62"/>
      <c r="F120" s="62"/>
      <c r="G120" s="62"/>
      <c r="H120" s="62"/>
    </row>
    <row r="121" spans="2:4" ht="12" customHeight="1">
      <c r="B121" s="95" t="s">
        <v>75</v>
      </c>
      <c r="C121" s="95">
        <f>4</f>
        <v>4</v>
      </c>
      <c r="D121" s="95" t="str">
        <f>IF(C121=1,"I Kwartał",IF(C121=2,"II Kwartały",IF(C121=3,"III Kwartały",IF(C121=4,"IV Kwartały","-"))))</f>
        <v>IV Kwartały</v>
      </c>
    </row>
    <row r="122" spans="2:4" ht="12.75">
      <c r="B122" s="95" t="s">
        <v>76</v>
      </c>
      <c r="C122" s="95">
        <f>2021</f>
        <v>2021</v>
      </c>
      <c r="D122" s="94"/>
    </row>
    <row r="123" spans="2:4" ht="12.75">
      <c r="B123" s="95" t="s">
        <v>77</v>
      </c>
      <c r="C123" s="96" t="str">
        <f>"Mar 21 2022 12:00AM"</f>
        <v>Mar 21 2022 12:00AM</v>
      </c>
      <c r="D123" s="94"/>
    </row>
    <row r="124" spans="2:4" ht="12.75">
      <c r="B124" s="95" t="s">
        <v>81</v>
      </c>
      <c r="C124" s="96">
        <f>""</f>
      </c>
      <c r="D124" s="94"/>
    </row>
  </sheetData>
  <sheetProtection/>
  <mergeCells count="38">
    <mergeCell ref="I78:J78"/>
    <mergeCell ref="B1:M1"/>
    <mergeCell ref="B2:B3"/>
    <mergeCell ref="C68:C70"/>
    <mergeCell ref="B68:B71"/>
    <mergeCell ref="K68:K70"/>
    <mergeCell ref="I74:J74"/>
    <mergeCell ref="L68:L70"/>
    <mergeCell ref="G69:H69"/>
    <mergeCell ref="I73:J73"/>
    <mergeCell ref="I83:J83"/>
    <mergeCell ref="I81:J81"/>
    <mergeCell ref="B91:M91"/>
    <mergeCell ref="I68:J70"/>
    <mergeCell ref="D68:D70"/>
    <mergeCell ref="E68:E70"/>
    <mergeCell ref="F69:F70"/>
    <mergeCell ref="F68:H68"/>
    <mergeCell ref="I82:J82"/>
    <mergeCell ref="I77:J77"/>
    <mergeCell ref="C112:F112"/>
    <mergeCell ref="G112:H112"/>
    <mergeCell ref="C93:D93"/>
    <mergeCell ref="E93:F93"/>
    <mergeCell ref="C94:F94"/>
    <mergeCell ref="G94:H94"/>
    <mergeCell ref="C111:D111"/>
    <mergeCell ref="E111:F111"/>
    <mergeCell ref="I79:J79"/>
    <mergeCell ref="I80:J80"/>
    <mergeCell ref="K71:L71"/>
    <mergeCell ref="K3:M3"/>
    <mergeCell ref="C3:J3"/>
    <mergeCell ref="B66:M66"/>
    <mergeCell ref="C71:J71"/>
    <mergeCell ref="I72:J72"/>
    <mergeCell ref="I75:J75"/>
    <mergeCell ref="I76:J76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5" manualBreakCount="5">
    <brk id="22" max="255" man="1"/>
    <brk id="51" max="12" man="1"/>
    <brk id="65" max="255" man="1"/>
    <brk id="90" max="255" man="1"/>
    <brk id="1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2018-03-19T09:19:34Z</cp:lastPrinted>
  <dcterms:created xsi:type="dcterms:W3CDTF">2001-05-17T08:58:03Z</dcterms:created>
  <dcterms:modified xsi:type="dcterms:W3CDTF">2022-04-05T07:00:31Z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2022-04-05T09:00:27.6238245+02:00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GRN-d52ba8f1-7136-48b7-8c64-a12fd7939e32</vt:lpwstr>
  </property>
  <property fmtid="{D5CDD505-2E9C-101B-9397-08002B2CF9AE}" pid="7" name="MFHash">
    <vt:lpwstr>x39tR6GsAIqNfRiBYehjdTbYBYnjBXbv62LgMWIA6Rs=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