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B75676EB-4A17-4355-BC1D-423C294951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3" i="7" l="1"/>
  <c r="B92" i="7"/>
  <c r="B91" i="7"/>
  <c r="B90" i="7"/>
  <c r="I87" i="7"/>
  <c r="G87" i="7"/>
  <c r="I86" i="7"/>
  <c r="G86" i="7"/>
  <c r="I85" i="7"/>
  <c r="G85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L76" i="7"/>
  <c r="K76" i="7"/>
  <c r="J76" i="7"/>
  <c r="I76" i="7"/>
  <c r="H76" i="7"/>
  <c r="G76" i="7"/>
  <c r="F76" i="7"/>
  <c r="L75" i="7"/>
  <c r="K75" i="7"/>
  <c r="J75" i="7"/>
  <c r="I75" i="7"/>
  <c r="H75" i="7"/>
  <c r="G75" i="7"/>
  <c r="F75" i="7"/>
  <c r="L74" i="7"/>
  <c r="K74" i="7"/>
  <c r="J74" i="7"/>
  <c r="I74" i="7"/>
  <c r="H74" i="7"/>
  <c r="G74" i="7"/>
  <c r="F74" i="7"/>
  <c r="L73" i="7"/>
  <c r="K73" i="7"/>
  <c r="J73" i="7"/>
  <c r="I73" i="7"/>
  <c r="H73" i="7"/>
  <c r="G73" i="7"/>
  <c r="F73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0" i="7" l="1"/>
  <c r="A1" i="7" l="1"/>
  <c r="A27" i="7"/>
  <c r="A63" i="7"/>
  <c r="A82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<sst xmlns="http://schemas.openxmlformats.org/spreadsheetml/2006/main" count="97" uniqueCount="81">
  <si>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</si>
  <si>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</si>
  <si>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</si>
  <si>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</si>
  <si>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</si>
  <si>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</si>
  <si>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</si>
  <si>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</si>
  <si>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</si>
  <si>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</si>
  <si>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</si>
  <si>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</si>
  <si>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</si>
  <si>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</si>
  <si>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</si>
  <si>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</si>
  <si>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</si>
  <si>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</si>
  <si>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</si>
  <si>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</si>
  <si>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</si>
  <si>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</si>
  <si>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</si>
  <si>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</si>
  <si>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</si>
  <si>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</si>
  <si>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</si>
  <si>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</si>
  <si>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</si>
  <si>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</si>
  <si>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</si>
  <si>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</si>
  <si>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</si>
  <si>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</si>
  <si>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</si>
  <si>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</si>
  <si>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</si>
  <si>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</si>
  <si>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</si>
  <si>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</si>
  <si>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</si>
  <si>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</si>
  <si>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</si>
  <si>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</si>
  <si>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</si>
  <si>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</si>
  <si>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</si>
  <si>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</si>
  <si>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</si>
  <si>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</si>
  <si>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</si>
  <si>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</si>
  <si>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</si>
  <si>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</si>
  <si>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</si>
  <si>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</si>
  <si>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</si>
  <si>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</si>
  <si>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</si>
  <si>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</si>
  <si>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</si>
  <si>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</si>
  <si>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</si>
  <si>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</si>
  <si>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</si>
  <si>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</si>
  <si>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</si>
  <si>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</si>
  <si>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</si>
  <si>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</si>
  <si>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</si>
  <si>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</si>
  <si>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</si>
  <si>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</si>
  <si>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</si>
  <si>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</si>
  <si>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</si>
  <si>
    <t>E1 papiery wartościowe 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</si>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</sst>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3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0" borderId="10" xfId="37" applyFont="1" applyBorder="1" applyAlignment="1">
      <alignment horizontal="left" vertical="center" wrapText="1"/>
    </xf>
    <xf numFmtId="0" fontId="31" fillId="0" borderId="17" xfId="0" applyFont="1" applyFill="1" applyBorder="1" applyAlignment="1">
      <alignment vertical="center" wrapText="1"/>
    </xf>
    <xf numFmtId="0" fontId="2" fillId="20" borderId="10" xfId="37" applyFont="1" applyFill="1" applyBorder="1" applyAlignment="1">
      <alignment horizontal="left" vertical="center" wrapText="1"/>
    </xf>
    <xf numFmtId="0" fontId="8" fillId="20" borderId="10" xfId="37" applyFont="1" applyFill="1" applyBorder="1" applyAlignment="1">
      <alignment horizontal="left" vertical="center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0" fontId="30" fillId="21" borderId="17" xfId="0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8" fillId="19" borderId="19" xfId="37" applyFont="1" applyFill="1" applyBorder="1" applyAlignment="1">
      <alignment horizontal="center" vertical="center" wrapText="1"/>
    </xf>
    <xf numFmtId="0" fontId="28" fillId="19" borderId="20" xfId="37" applyFont="1" applyFill="1" applyBorder="1" applyAlignment="1">
      <alignment horizontal="center" vertical="center" wrapText="1"/>
    </xf>
    <xf numFmtId="0" fontId="28" fillId="19" borderId="12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7" fillId="19" borderId="19" xfId="37" applyFont="1" applyFill="1" applyBorder="1" applyAlignment="1">
      <alignment horizontal="center" vertical="center" wrapText="1"/>
    </xf>
    <xf numFmtId="0" fontId="28" fillId="19" borderId="15" xfId="37" applyFont="1" applyFill="1" applyBorder="1" applyAlignment="1">
      <alignment horizontal="center" vertical="center" wrapText="1"/>
    </xf>
    <xf numFmtId="0" fontId="28" fillId="19" borderId="14" xfId="37" applyFont="1" applyFill="1" applyBorder="1" applyAlignment="1">
      <alignment horizontal="center" vertical="center" wrapText="1"/>
    </xf>
    <xf numFmtId="0" fontId="28" fillId="19" borderId="11" xfId="37" applyFont="1" applyFill="1" applyBorder="1" applyAlignment="1">
      <alignment horizontal="center" vertical="center" wrapText="1"/>
    </xf>
    <xf numFmtId="0" fontId="32" fillId="0" borderId="0" xfId="37" applyFont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21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29" fillId="19" borderId="10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20" borderId="15" xfId="37" applyFont="1" applyFill="1" applyBorder="1" applyAlignment="1">
      <alignment horizontal="left" vertical="center" wrapText="1"/>
    </xf>
    <xf numFmtId="0" fontId="2" fillId="20" borderId="14" xfId="37" applyFont="1" applyFill="1" applyBorder="1" applyAlignment="1">
      <alignment horizontal="left" vertical="center" wrapText="1"/>
    </xf>
    <xf numFmtId="0" fontId="2" fillId="20" borderId="11" xfId="37" applyFont="1" applyFill="1" applyBorder="1" applyAlignment="1">
      <alignment horizontal="left" vertical="center" wrapText="1"/>
    </xf>
    <xf numFmtId="3" fontId="7" fillId="20" borderId="15" xfId="37" applyNumberFormat="1" applyFont="1" applyFill="1" applyBorder="1" applyAlignment="1">
      <alignment horizontal="right" vertical="center" wrapText="1"/>
    </xf>
    <xf numFmtId="3" fontId="7" fillId="20" borderId="11" xfId="37" applyNumberFormat="1" applyFont="1" applyFill="1" applyBorder="1" applyAlignment="1">
      <alignment horizontal="right" vertical="center" wrapText="1"/>
    </xf>
    <xf numFmtId="4" fontId="7" fillId="20" borderId="15" xfId="37" applyNumberFormat="1" applyFont="1" applyFill="1" applyBorder="1" applyAlignment="1">
      <alignment horizontal="right" vertical="center" wrapText="1"/>
    </xf>
    <xf numFmtId="4" fontId="7" fillId="20" borderId="11" xfId="37" applyNumberFormat="1" applyFont="1" applyFill="1" applyBorder="1" applyAlignment="1">
      <alignment horizontal="right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9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3"/>
  <sheetViews>
    <sheetView tabSelected="1" zoomScaleNormal="100" zoomScaleSheetLayoutView="75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3.7109375" style="2" customWidth="1"/>
    <col min="4" max="6" width="11.42578125" style="2" customWidth="1"/>
    <col min="7" max="7" width="12.140625" style="2" customWidth="1"/>
    <col min="8" max="8" width="12" style="2" customWidth="1"/>
    <col min="9" max="9" width="12.5703125" style="2" customWidth="1"/>
    <col min="10" max="10" width="12.85546875" style="2" customWidth="1"/>
    <col min="11" max="11" width="12.140625" style="2" customWidth="1"/>
    <col min="12" max="12" width="11.42578125" style="2" customWidth="1"/>
    <col min="13" max="13" width="10" style="2" customWidth="1"/>
    <col min="14" max="14" width="10.28515625" style="2" customWidth="1"/>
    <col min="15" max="15" width="9.140625" style="2"/>
    <col min="16" max="16" width="10.28515625" style="2" customWidth="1"/>
    <col min="17" max="16384" width="9.140625" style="2"/>
  </cols>
  <sheetData>
    <row r="1" spans="1:17" ht="39.75" customHeight="1" x14ac:dyDescent="0.2">
      <c r="A1" s="47" t="str">
        <f>CONCATENATE("Informacja z wykonania budżetów powiatów za   ",$C$90," ",$B$91," roku    ",$B$93,"")</f>
        <v xml:space="preserve">Informacja z wykonania budżetów powiatów za   III Kwartały 2024 roku    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8" t="s">
        <v>60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5" spans="1:17" ht="13.5" customHeight="1" x14ac:dyDescent="0.2">
      <c r="B5" s="12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1"/>
      <c r="O5" s="11"/>
      <c r="P5" s="11"/>
      <c r="Q5" s="11"/>
    </row>
    <row r="6" spans="1:17" ht="13.5" customHeight="1" x14ac:dyDescent="0.2">
      <c r="A6" s="38" t="s">
        <v>0</v>
      </c>
      <c r="B6" s="43" t="s">
        <v>61</v>
      </c>
      <c r="C6" s="52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52" t="s">
        <v>64</v>
      </c>
      <c r="P6" s="30"/>
      <c r="Q6" s="31"/>
    </row>
    <row r="7" spans="1:17" ht="13.5" customHeight="1" x14ac:dyDescent="0.2">
      <c r="A7" s="39"/>
      <c r="B7" s="41"/>
      <c r="C7" s="42" t="s">
        <v>62</v>
      </c>
      <c r="D7" s="42" t="s">
        <v>73</v>
      </c>
      <c r="E7" s="42" t="s">
        <v>66</v>
      </c>
      <c r="F7" s="42" t="s">
        <v>67</v>
      </c>
      <c r="G7" s="42" t="s">
        <v>27</v>
      </c>
      <c r="H7" s="42" t="s">
        <v>28</v>
      </c>
      <c r="I7" s="49" t="s">
        <v>63</v>
      </c>
      <c r="J7" s="42" t="s">
        <v>16</v>
      </c>
      <c r="K7" s="42" t="s">
        <v>17</v>
      </c>
      <c r="L7" s="42" t="s">
        <v>18</v>
      </c>
      <c r="M7" s="42" t="s">
        <v>19</v>
      </c>
      <c r="N7" s="41" t="s">
        <v>20</v>
      </c>
      <c r="O7" s="37" t="s">
        <v>21</v>
      </c>
      <c r="P7" s="37" t="s">
        <v>22</v>
      </c>
      <c r="Q7" s="37" t="s">
        <v>23</v>
      </c>
    </row>
    <row r="8" spans="1:17" ht="13.5" customHeight="1" x14ac:dyDescent="0.2">
      <c r="A8" s="39"/>
      <c r="B8" s="41"/>
      <c r="C8" s="37"/>
      <c r="D8" s="37"/>
      <c r="E8" s="37"/>
      <c r="F8" s="37"/>
      <c r="G8" s="37"/>
      <c r="H8" s="37"/>
      <c r="I8" s="49"/>
      <c r="J8" s="37"/>
      <c r="K8" s="37"/>
      <c r="L8" s="37"/>
      <c r="M8" s="37"/>
      <c r="N8" s="41"/>
      <c r="O8" s="37"/>
      <c r="P8" s="37"/>
      <c r="Q8" s="37"/>
    </row>
    <row r="9" spans="1:17" ht="11.25" customHeight="1" x14ac:dyDescent="0.2">
      <c r="A9" s="39"/>
      <c r="B9" s="41"/>
      <c r="C9" s="37"/>
      <c r="D9" s="37"/>
      <c r="E9" s="37"/>
      <c r="F9" s="37"/>
      <c r="G9" s="37"/>
      <c r="H9" s="37"/>
      <c r="I9" s="49"/>
      <c r="J9" s="37"/>
      <c r="K9" s="37"/>
      <c r="L9" s="37"/>
      <c r="M9" s="37"/>
      <c r="N9" s="41"/>
      <c r="O9" s="37"/>
      <c r="P9" s="37"/>
      <c r="Q9" s="37"/>
    </row>
    <row r="10" spans="1:17" ht="33.75" customHeight="1" x14ac:dyDescent="0.2">
      <c r="A10" s="40"/>
      <c r="B10" s="42"/>
      <c r="C10" s="37"/>
      <c r="D10" s="37"/>
      <c r="E10" s="37"/>
      <c r="F10" s="37"/>
      <c r="G10" s="37"/>
      <c r="H10" s="37"/>
      <c r="I10" s="50"/>
      <c r="J10" s="37"/>
      <c r="K10" s="37"/>
      <c r="L10" s="37"/>
      <c r="M10" s="37"/>
      <c r="N10" s="42"/>
      <c r="O10" s="37"/>
      <c r="P10" s="37"/>
      <c r="Q10" s="37"/>
    </row>
    <row r="11" spans="1:17" ht="15.75" customHeight="1" x14ac:dyDescent="0.2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13">
        <v>11</v>
      </c>
      <c r="L11" s="13">
        <v>12</v>
      </c>
      <c r="M11" s="13">
        <v>13</v>
      </c>
      <c r="N11" s="13">
        <v>14</v>
      </c>
      <c r="O11" s="13">
        <v>15</v>
      </c>
      <c r="P11" s="13">
        <v>16</v>
      </c>
      <c r="Q11" s="13">
        <v>17</v>
      </c>
    </row>
    <row r="12" spans="1:17" ht="12" customHeight="1" x14ac:dyDescent="0.2">
      <c r="A12" s="13"/>
      <c r="B12" s="27" t="s">
        <v>76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9"/>
    </row>
    <row r="13" spans="1:17" ht="39.75" customHeight="1" x14ac:dyDescent="0.2">
      <c r="A13" s="20" t="s">
        <v>45</v>
      </c>
      <c r="B13" s="21">
        <f>6731322513.17</f>
        <v>6731322513.1700001</v>
      </c>
      <c r="C13" s="21">
        <f>6731322513.17</f>
        <v>6731322513.1700001</v>
      </c>
      <c r="D13" s="21">
        <f>232408466.34</f>
        <v>232408466.34</v>
      </c>
      <c r="E13" s="21">
        <f>196268268.61</f>
        <v>196268268.61000001</v>
      </c>
      <c r="F13" s="21">
        <f>7556341.83</f>
        <v>7556341.8300000001</v>
      </c>
      <c r="G13" s="21">
        <f>28583855.9</f>
        <v>28583855.899999999</v>
      </c>
      <c r="H13" s="21">
        <f>0</f>
        <v>0</v>
      </c>
      <c r="I13" s="21">
        <f>0</f>
        <v>0</v>
      </c>
      <c r="J13" s="21">
        <f>6162621821.44</f>
        <v>6162621821.4399996</v>
      </c>
      <c r="K13" s="21">
        <f>322970410.44</f>
        <v>322970410.44</v>
      </c>
      <c r="L13" s="21">
        <f>10901921.52</f>
        <v>10901921.52</v>
      </c>
      <c r="M13" s="21">
        <f>194691.88</f>
        <v>194691.88</v>
      </c>
      <c r="N13" s="21">
        <f>2225201.55</f>
        <v>2225201.5499999998</v>
      </c>
      <c r="O13" s="21">
        <f>0</f>
        <v>0</v>
      </c>
      <c r="P13" s="21">
        <f>0</f>
        <v>0</v>
      </c>
      <c r="Q13" s="21">
        <f>0</f>
        <v>0</v>
      </c>
    </row>
    <row r="14" spans="1:17" ht="24.75" customHeight="1" x14ac:dyDescent="0.2">
      <c r="A14" s="19" t="s">
        <v>77</v>
      </c>
      <c r="B14" s="21">
        <f>14000000</f>
        <v>14000000</v>
      </c>
      <c r="C14" s="21">
        <f>14000000</f>
        <v>14000000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14000000</f>
        <v>14000000</v>
      </c>
      <c r="K14" s="21">
        <f>0</f>
        <v>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1" customHeight="1" x14ac:dyDescent="0.2">
      <c r="A15" s="17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0.25" customHeight="1" x14ac:dyDescent="0.2">
      <c r="A16" s="17" t="s">
        <v>47</v>
      </c>
      <c r="B16" s="22">
        <f>14000000</f>
        <v>14000000</v>
      </c>
      <c r="C16" s="22">
        <f>14000000</f>
        <v>14000000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14000000</f>
        <v>14000000</v>
      </c>
      <c r="K16" s="22">
        <f>0</f>
        <v>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24" customHeight="1" x14ac:dyDescent="0.2">
      <c r="A17" s="20" t="s">
        <v>78</v>
      </c>
      <c r="B17" s="21">
        <f>6716114005.64</f>
        <v>6716114005.6400003</v>
      </c>
      <c r="C17" s="21">
        <f>6716114005.64</f>
        <v>6716114005.6400003</v>
      </c>
      <c r="D17" s="21">
        <f>231948775.94</f>
        <v>231948775.94</v>
      </c>
      <c r="E17" s="21">
        <f>196172222.85</f>
        <v>196172222.84999999</v>
      </c>
      <c r="F17" s="21">
        <f>7556341.83</f>
        <v>7556341.8300000001</v>
      </c>
      <c r="G17" s="21">
        <f>28220211.26</f>
        <v>28220211.260000002</v>
      </c>
      <c r="H17" s="21">
        <f>0</f>
        <v>0</v>
      </c>
      <c r="I17" s="21">
        <f>0</f>
        <v>0</v>
      </c>
      <c r="J17" s="21">
        <f>6148621821.44</f>
        <v>6148621821.4399996</v>
      </c>
      <c r="K17" s="21">
        <f>322970410.44</f>
        <v>322970410.44</v>
      </c>
      <c r="L17" s="21">
        <f>10666449.42</f>
        <v>10666449.42</v>
      </c>
      <c r="M17" s="21">
        <f>0</f>
        <v>0</v>
      </c>
      <c r="N17" s="21">
        <f>1906548.4</f>
        <v>1906548.4</v>
      </c>
      <c r="O17" s="21">
        <f>0</f>
        <v>0</v>
      </c>
      <c r="P17" s="21">
        <f>0</f>
        <v>0</v>
      </c>
      <c r="Q17" s="21">
        <f>0</f>
        <v>0</v>
      </c>
    </row>
    <row r="18" spans="1:17" ht="23.25" customHeight="1" x14ac:dyDescent="0.2">
      <c r="A18" s="17" t="s">
        <v>48</v>
      </c>
      <c r="B18" s="22">
        <f>29941702.57</f>
        <v>29941702.57</v>
      </c>
      <c r="C18" s="22">
        <f>29941702.57</f>
        <v>29941702.57</v>
      </c>
      <c r="D18" s="22">
        <f>55296</f>
        <v>55296</v>
      </c>
      <c r="E18" s="22">
        <f>0</f>
        <v>0</v>
      </c>
      <c r="F18" s="22">
        <f>55296</f>
        <v>55296</v>
      </c>
      <c r="G18" s="22">
        <f>0</f>
        <v>0</v>
      </c>
      <c r="H18" s="22">
        <f>0</f>
        <v>0</v>
      </c>
      <c r="I18" s="22">
        <f>0</f>
        <v>0</v>
      </c>
      <c r="J18" s="22">
        <f>21886406.57</f>
        <v>21886406.57</v>
      </c>
      <c r="K18" s="22">
        <f>0</f>
        <v>0</v>
      </c>
      <c r="L18" s="22">
        <f>8000000</f>
        <v>8000000</v>
      </c>
      <c r="M18" s="22">
        <f>0</f>
        <v>0</v>
      </c>
      <c r="N18" s="22">
        <f>0</f>
        <v>0</v>
      </c>
      <c r="O18" s="22">
        <f>0</f>
        <v>0</v>
      </c>
      <c r="P18" s="22">
        <f>0</f>
        <v>0</v>
      </c>
      <c r="Q18" s="22">
        <f>0</f>
        <v>0</v>
      </c>
    </row>
    <row r="19" spans="1:17" ht="21.75" customHeight="1" x14ac:dyDescent="0.2">
      <c r="A19" s="17" t="s">
        <v>49</v>
      </c>
      <c r="B19" s="22">
        <f>6686172303.07</f>
        <v>6686172303.0699997</v>
      </c>
      <c r="C19" s="22">
        <f>6686172303.07</f>
        <v>6686172303.0699997</v>
      </c>
      <c r="D19" s="22">
        <f>231893479.94</f>
        <v>231893479.94</v>
      </c>
      <c r="E19" s="22">
        <f>196172222.85</f>
        <v>196172222.84999999</v>
      </c>
      <c r="F19" s="22">
        <f>7501045.83</f>
        <v>7501045.8300000001</v>
      </c>
      <c r="G19" s="22">
        <f>28220211.26</f>
        <v>28220211.260000002</v>
      </c>
      <c r="H19" s="22">
        <f>0</f>
        <v>0</v>
      </c>
      <c r="I19" s="22">
        <f>0</f>
        <v>0</v>
      </c>
      <c r="J19" s="22">
        <f>6126735414.87</f>
        <v>6126735414.8699999</v>
      </c>
      <c r="K19" s="22">
        <f>322970410.44</f>
        <v>322970410.44</v>
      </c>
      <c r="L19" s="22">
        <f>2666449.42</f>
        <v>2666449.42</v>
      </c>
      <c r="M19" s="22">
        <f>0</f>
        <v>0</v>
      </c>
      <c r="N19" s="22">
        <f>1906548.4</f>
        <v>1906548.4</v>
      </c>
      <c r="O19" s="22">
        <f>0</f>
        <v>0</v>
      </c>
      <c r="P19" s="22">
        <f>0</f>
        <v>0</v>
      </c>
      <c r="Q19" s="22">
        <f>0</f>
        <v>0</v>
      </c>
    </row>
    <row r="20" spans="1:17" ht="21.75" customHeight="1" x14ac:dyDescent="0.2">
      <c r="A20" s="17" t="s">
        <v>50</v>
      </c>
      <c r="B20" s="22">
        <f>0</f>
        <v>0</v>
      </c>
      <c r="C20" s="22">
        <f>0</f>
        <v>0</v>
      </c>
      <c r="D20" s="22">
        <f>0</f>
        <v>0</v>
      </c>
      <c r="E20" s="22">
        <f>0</f>
        <v>0</v>
      </c>
      <c r="F20" s="22">
        <f>0</f>
        <v>0</v>
      </c>
      <c r="G20" s="22">
        <f>0</f>
        <v>0</v>
      </c>
      <c r="H20" s="22">
        <f>0</f>
        <v>0</v>
      </c>
      <c r="I20" s="22">
        <f>0</f>
        <v>0</v>
      </c>
      <c r="J20" s="22">
        <f>0</f>
        <v>0</v>
      </c>
      <c r="K20" s="22">
        <f>0</f>
        <v>0</v>
      </c>
      <c r="L20" s="22">
        <f>0</f>
        <v>0</v>
      </c>
      <c r="M20" s="22">
        <f>0</f>
        <v>0</v>
      </c>
      <c r="N20" s="22">
        <f>0</f>
        <v>0</v>
      </c>
      <c r="O20" s="22">
        <f>0</f>
        <v>0</v>
      </c>
      <c r="P20" s="22">
        <f>0</f>
        <v>0</v>
      </c>
      <c r="Q20" s="22">
        <f>0</f>
        <v>0</v>
      </c>
    </row>
    <row r="21" spans="1:17" ht="24.75" customHeight="1" x14ac:dyDescent="0.2">
      <c r="A21" s="20" t="s">
        <v>79</v>
      </c>
      <c r="B21" s="21">
        <f>1208507.53</f>
        <v>1208507.53</v>
      </c>
      <c r="C21" s="21">
        <f>1208507.53</f>
        <v>1208507.53</v>
      </c>
      <c r="D21" s="21">
        <f>459690.4</f>
        <v>459690.4</v>
      </c>
      <c r="E21" s="21">
        <f>96045.76</f>
        <v>96045.759999999995</v>
      </c>
      <c r="F21" s="21">
        <f>0</f>
        <v>0</v>
      </c>
      <c r="G21" s="21">
        <f>363644.64</f>
        <v>363644.64</v>
      </c>
      <c r="H21" s="21">
        <f>0</f>
        <v>0</v>
      </c>
      <c r="I21" s="21">
        <f>0</f>
        <v>0</v>
      </c>
      <c r="J21" s="21">
        <f>0</f>
        <v>0</v>
      </c>
      <c r="K21" s="21">
        <f>0</f>
        <v>0</v>
      </c>
      <c r="L21" s="21">
        <f>235472.1</f>
        <v>235472.1</v>
      </c>
      <c r="M21" s="21">
        <f>194691.88</f>
        <v>194691.88</v>
      </c>
      <c r="N21" s="21">
        <f>318653.15</f>
        <v>318653.15000000002</v>
      </c>
      <c r="O21" s="21">
        <f>0</f>
        <v>0</v>
      </c>
      <c r="P21" s="21">
        <f>0</f>
        <v>0</v>
      </c>
      <c r="Q21" s="21">
        <f>0</f>
        <v>0</v>
      </c>
    </row>
    <row r="22" spans="1:17" ht="22.5" x14ac:dyDescent="0.2">
      <c r="A22" s="17" t="s">
        <v>51</v>
      </c>
      <c r="B22" s="22">
        <f>553577.71</f>
        <v>553577.71</v>
      </c>
      <c r="C22" s="22">
        <f>553577.71</f>
        <v>553577.71</v>
      </c>
      <c r="D22" s="22">
        <f>0</f>
        <v>0</v>
      </c>
      <c r="E22" s="22">
        <f>0</f>
        <v>0</v>
      </c>
      <c r="F22" s="22">
        <f>0</f>
        <v>0</v>
      </c>
      <c r="G22" s="22">
        <f>0</f>
        <v>0</v>
      </c>
      <c r="H22" s="22">
        <f>0</f>
        <v>0</v>
      </c>
      <c r="I22" s="22">
        <f>0</f>
        <v>0</v>
      </c>
      <c r="J22" s="22">
        <f>0</f>
        <v>0</v>
      </c>
      <c r="K22" s="22">
        <f>0</f>
        <v>0</v>
      </c>
      <c r="L22" s="22">
        <f>148150.04</f>
        <v>148150.04</v>
      </c>
      <c r="M22" s="22">
        <f>100760.52</f>
        <v>100760.52</v>
      </c>
      <c r="N22" s="22">
        <f>304667.15</f>
        <v>304667.15000000002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654929.82</f>
        <v>654929.81999999995</v>
      </c>
      <c r="C23" s="22">
        <f>654929.82</f>
        <v>654929.81999999995</v>
      </c>
      <c r="D23" s="22">
        <f>459690.4</f>
        <v>459690.4</v>
      </c>
      <c r="E23" s="22">
        <f>96045.76</f>
        <v>96045.759999999995</v>
      </c>
      <c r="F23" s="22">
        <f>0</f>
        <v>0</v>
      </c>
      <c r="G23" s="22">
        <f>363644.64</f>
        <v>363644.64</v>
      </c>
      <c r="H23" s="22">
        <f>0</f>
        <v>0</v>
      </c>
      <c r="I23" s="22">
        <f>0</f>
        <v>0</v>
      </c>
      <c r="J23" s="22">
        <f>0</f>
        <v>0</v>
      </c>
      <c r="K23" s="22">
        <f>0</f>
        <v>0</v>
      </c>
      <c r="L23" s="22">
        <f>87322.06</f>
        <v>87322.06</v>
      </c>
      <c r="M23" s="22">
        <f>93931.36</f>
        <v>93931.36</v>
      </c>
      <c r="N23" s="22">
        <f>13986</f>
        <v>13986</v>
      </c>
      <c r="O23" s="22">
        <f>0</f>
        <v>0</v>
      </c>
      <c r="P23" s="22">
        <f>0</f>
        <v>0</v>
      </c>
      <c r="Q23" s="22">
        <f>0</f>
        <v>0</v>
      </c>
    </row>
    <row r="24" spans="1:17" ht="19.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9.5" customHeigh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9.5" customHeight="1" x14ac:dyDescent="0.2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45.75" customHeight="1" x14ac:dyDescent="0.2">
      <c r="A27" s="47" t="str">
        <f>CONCATENATE("Informacja z wykonania budżetów powiatów za   ",$C$90," ",$B$91," roku    ",$B$93,"")</f>
        <v xml:space="preserve">Informacja z wykonania budżetów powiatów za   III Kwartały 2024 roku    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</row>
    <row r="29" spans="1:17" ht="13.5" customHeight="1" x14ac:dyDescent="0.2">
      <c r="A29" s="48" t="s">
        <v>11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1" spans="1:17" ht="13.5" customHeight="1" x14ac:dyDescent="0.2">
      <c r="A31" s="38" t="s">
        <v>0</v>
      </c>
      <c r="B31" s="43" t="s">
        <v>12</v>
      </c>
      <c r="C31" s="44" t="s">
        <v>14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44" t="s">
        <v>24</v>
      </c>
      <c r="P31" s="45"/>
      <c r="Q31" s="46"/>
    </row>
    <row r="32" spans="1:17" ht="13.5" customHeight="1" x14ac:dyDescent="0.2">
      <c r="A32" s="39"/>
      <c r="B32" s="41"/>
      <c r="C32" s="41" t="s">
        <v>13</v>
      </c>
      <c r="D32" s="37" t="s">
        <v>15</v>
      </c>
      <c r="E32" s="37" t="s">
        <v>25</v>
      </c>
      <c r="F32" s="37" t="s">
        <v>26</v>
      </c>
      <c r="G32" s="37" t="s">
        <v>70</v>
      </c>
      <c r="H32" s="37" t="s">
        <v>28</v>
      </c>
      <c r="I32" s="37" t="s">
        <v>1</v>
      </c>
      <c r="J32" s="37" t="s">
        <v>16</v>
      </c>
      <c r="K32" s="37" t="s">
        <v>17</v>
      </c>
      <c r="L32" s="37" t="s">
        <v>18</v>
      </c>
      <c r="M32" s="37" t="s">
        <v>19</v>
      </c>
      <c r="N32" s="85" t="s">
        <v>20</v>
      </c>
      <c r="O32" s="37" t="s">
        <v>21</v>
      </c>
      <c r="P32" s="37" t="s">
        <v>22</v>
      </c>
      <c r="Q32" s="43" t="s">
        <v>23</v>
      </c>
    </row>
    <row r="33" spans="1:17" ht="13.5" customHeight="1" x14ac:dyDescent="0.2">
      <c r="A33" s="39"/>
      <c r="B33" s="41"/>
      <c r="C33" s="4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85"/>
      <c r="O33" s="37"/>
      <c r="P33" s="37"/>
      <c r="Q33" s="41"/>
    </row>
    <row r="34" spans="1:17" ht="11.25" customHeight="1" x14ac:dyDescent="0.2">
      <c r="A34" s="39"/>
      <c r="B34" s="41"/>
      <c r="C34" s="41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5"/>
      <c r="O34" s="37"/>
      <c r="P34" s="37"/>
      <c r="Q34" s="41"/>
    </row>
    <row r="35" spans="1:17" ht="41.25" customHeight="1" x14ac:dyDescent="0.2">
      <c r="A35" s="40"/>
      <c r="B35" s="42"/>
      <c r="C35" s="4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5"/>
      <c r="O35" s="37"/>
      <c r="P35" s="37"/>
      <c r="Q35" s="42"/>
    </row>
    <row r="36" spans="1:17" ht="15.75" customHeight="1" x14ac:dyDescent="0.2">
      <c r="A36" s="13">
        <v>1</v>
      </c>
      <c r="B36" s="13">
        <v>2</v>
      </c>
      <c r="C36" s="13">
        <v>3</v>
      </c>
      <c r="D36" s="13">
        <v>4</v>
      </c>
      <c r="E36" s="13">
        <v>5</v>
      </c>
      <c r="F36" s="13">
        <v>6</v>
      </c>
      <c r="G36" s="13">
        <v>7</v>
      </c>
      <c r="H36" s="13">
        <v>8</v>
      </c>
      <c r="I36" s="13">
        <v>9</v>
      </c>
      <c r="J36" s="13">
        <v>10</v>
      </c>
      <c r="K36" s="13">
        <v>11</v>
      </c>
      <c r="L36" s="13">
        <v>12</v>
      </c>
      <c r="M36" s="13">
        <v>13</v>
      </c>
      <c r="N36" s="13">
        <v>14</v>
      </c>
      <c r="O36" s="13">
        <v>15</v>
      </c>
      <c r="P36" s="13">
        <v>16</v>
      </c>
      <c r="Q36" s="13">
        <v>17</v>
      </c>
    </row>
    <row r="37" spans="1:17" ht="12" customHeight="1" x14ac:dyDescent="0.2">
      <c r="A37" s="13"/>
      <c r="B37" s="27" t="s">
        <v>76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1"/>
    </row>
    <row r="38" spans="1:17" ht="30" customHeight="1" x14ac:dyDescent="0.2">
      <c r="A38" s="25" t="s">
        <v>40</v>
      </c>
      <c r="B38" s="23">
        <f>573481.5</f>
        <v>573481.5</v>
      </c>
      <c r="C38" s="23">
        <f>573481.5</f>
        <v>573481.5</v>
      </c>
      <c r="D38" s="23">
        <f>67785.12</f>
        <v>67785.119999999995</v>
      </c>
      <c r="E38" s="23">
        <f>67425.64</f>
        <v>67425.64</v>
      </c>
      <c r="F38" s="23">
        <f>0</f>
        <v>0</v>
      </c>
      <c r="G38" s="23">
        <f>359.48</f>
        <v>359.48</v>
      </c>
      <c r="H38" s="23">
        <f>0</f>
        <v>0</v>
      </c>
      <c r="I38" s="23">
        <f>0</f>
        <v>0</v>
      </c>
      <c r="J38" s="23">
        <f>0</f>
        <v>0</v>
      </c>
      <c r="K38" s="23">
        <f>0</f>
        <v>0</v>
      </c>
      <c r="L38" s="23">
        <f>0</f>
        <v>0</v>
      </c>
      <c r="M38" s="23">
        <f>505696.38</f>
        <v>505696.38</v>
      </c>
      <c r="N38" s="23">
        <f>0</f>
        <v>0</v>
      </c>
      <c r="O38" s="23">
        <f>0</f>
        <v>0</v>
      </c>
      <c r="P38" s="23">
        <f>0</f>
        <v>0</v>
      </c>
      <c r="Q38" s="23">
        <f>0</f>
        <v>0</v>
      </c>
    </row>
    <row r="39" spans="1:17" ht="25.5" customHeight="1" x14ac:dyDescent="0.2">
      <c r="A39" s="18" t="s">
        <v>29</v>
      </c>
      <c r="B39" s="24">
        <f>5914.58</f>
        <v>5914.58</v>
      </c>
      <c r="C39" s="24">
        <f>5914.58</f>
        <v>5914.58</v>
      </c>
      <c r="D39" s="24">
        <f>0</f>
        <v>0</v>
      </c>
      <c r="E39" s="24">
        <f>0</f>
        <v>0</v>
      </c>
      <c r="F39" s="24">
        <f>0</f>
        <v>0</v>
      </c>
      <c r="G39" s="24">
        <f>0</f>
        <v>0</v>
      </c>
      <c r="H39" s="24">
        <f>0</f>
        <v>0</v>
      </c>
      <c r="I39" s="24">
        <f>0</f>
        <v>0</v>
      </c>
      <c r="J39" s="24">
        <f>0</f>
        <v>0</v>
      </c>
      <c r="K39" s="24">
        <f>0</f>
        <v>0</v>
      </c>
      <c r="L39" s="24">
        <f>0</f>
        <v>0</v>
      </c>
      <c r="M39" s="24">
        <f>5914.58</f>
        <v>5914.58</v>
      </c>
      <c r="N39" s="24">
        <f>0</f>
        <v>0</v>
      </c>
      <c r="O39" s="24">
        <f>0</f>
        <v>0</v>
      </c>
      <c r="P39" s="24">
        <f>0</f>
        <v>0</v>
      </c>
      <c r="Q39" s="24">
        <f>0</f>
        <v>0</v>
      </c>
    </row>
    <row r="40" spans="1:17" ht="25.5" customHeight="1" x14ac:dyDescent="0.2">
      <c r="A40" s="18" t="s">
        <v>30</v>
      </c>
      <c r="B40" s="24">
        <f>567566.92</f>
        <v>567566.92000000004</v>
      </c>
      <c r="C40" s="24">
        <f>567566.92</f>
        <v>567566.92000000004</v>
      </c>
      <c r="D40" s="24">
        <f>67785.12</f>
        <v>67785.119999999995</v>
      </c>
      <c r="E40" s="24">
        <f>67425.64</f>
        <v>67425.64</v>
      </c>
      <c r="F40" s="24">
        <f>0</f>
        <v>0</v>
      </c>
      <c r="G40" s="24">
        <f>359.48</f>
        <v>359.48</v>
      </c>
      <c r="H40" s="24">
        <f>0</f>
        <v>0</v>
      </c>
      <c r="I40" s="24">
        <f>0</f>
        <v>0</v>
      </c>
      <c r="J40" s="24">
        <f>0</f>
        <v>0</v>
      </c>
      <c r="K40" s="24">
        <f>0</f>
        <v>0</v>
      </c>
      <c r="L40" s="24">
        <f>0</f>
        <v>0</v>
      </c>
      <c r="M40" s="24">
        <f>499781.8</f>
        <v>499781.8</v>
      </c>
      <c r="N40" s="24">
        <f>0</f>
        <v>0</v>
      </c>
      <c r="O40" s="24">
        <f>0</f>
        <v>0</v>
      </c>
      <c r="P40" s="24">
        <f>0</f>
        <v>0</v>
      </c>
      <c r="Q40" s="24">
        <f>0</f>
        <v>0</v>
      </c>
    </row>
    <row r="41" spans="1:17" ht="30" customHeight="1" x14ac:dyDescent="0.2">
      <c r="A41" s="25" t="s">
        <v>41</v>
      </c>
      <c r="B41" s="23">
        <f>253297644.64</f>
        <v>253297644.63999999</v>
      </c>
      <c r="C41" s="23">
        <f>253297644.64</f>
        <v>253297644.63999999</v>
      </c>
      <c r="D41" s="23">
        <f>162782536.43</f>
        <v>162782536.43000001</v>
      </c>
      <c r="E41" s="23">
        <f>16222.5</f>
        <v>16222.5</v>
      </c>
      <c r="F41" s="23">
        <f>2502470.4</f>
        <v>2502470.4</v>
      </c>
      <c r="G41" s="23">
        <f>160263843.53</f>
        <v>160263843.53</v>
      </c>
      <c r="H41" s="23">
        <f>0</f>
        <v>0</v>
      </c>
      <c r="I41" s="23">
        <f>0</f>
        <v>0</v>
      </c>
      <c r="J41" s="23">
        <f>27673988.17</f>
        <v>27673988.170000002</v>
      </c>
      <c r="K41" s="23">
        <f>0</f>
        <v>0</v>
      </c>
      <c r="L41" s="23">
        <f>49883969.09</f>
        <v>49883969.090000004</v>
      </c>
      <c r="M41" s="23">
        <f>11486203.86</f>
        <v>11486203.859999999</v>
      </c>
      <c r="N41" s="23">
        <f>1470947.09</f>
        <v>1470947.09</v>
      </c>
      <c r="O41" s="23">
        <f>0</f>
        <v>0</v>
      </c>
      <c r="P41" s="23">
        <f>0</f>
        <v>0</v>
      </c>
      <c r="Q41" s="23">
        <f>0</f>
        <v>0</v>
      </c>
    </row>
    <row r="42" spans="1:17" ht="25.5" customHeight="1" x14ac:dyDescent="0.2">
      <c r="A42" s="18" t="s">
        <v>31</v>
      </c>
      <c r="B42" s="24">
        <f>55111244.33</f>
        <v>55111244.329999998</v>
      </c>
      <c r="C42" s="24">
        <f>55111244.33</f>
        <v>55111244.329999998</v>
      </c>
      <c r="D42" s="24">
        <f>42264298.98</f>
        <v>42264298.979999997</v>
      </c>
      <c r="E42" s="24">
        <f>0</f>
        <v>0</v>
      </c>
      <c r="F42" s="24">
        <f>2500000</f>
        <v>2500000</v>
      </c>
      <c r="G42" s="24">
        <f>39764298.98</f>
        <v>39764298.979999997</v>
      </c>
      <c r="H42" s="24">
        <f>0</f>
        <v>0</v>
      </c>
      <c r="I42" s="24">
        <f>0</f>
        <v>0</v>
      </c>
      <c r="J42" s="24">
        <f>0</f>
        <v>0</v>
      </c>
      <c r="K42" s="24">
        <f>0</f>
        <v>0</v>
      </c>
      <c r="L42" s="24">
        <f>11013287.89</f>
        <v>11013287.890000001</v>
      </c>
      <c r="M42" s="24">
        <f>1233657.46</f>
        <v>1233657.46</v>
      </c>
      <c r="N42" s="24">
        <f>600000</f>
        <v>600000</v>
      </c>
      <c r="O42" s="24">
        <f>0</f>
        <v>0</v>
      </c>
      <c r="P42" s="24">
        <f>0</f>
        <v>0</v>
      </c>
      <c r="Q42" s="24">
        <f>0</f>
        <v>0</v>
      </c>
    </row>
    <row r="43" spans="1:17" ht="25.5" customHeight="1" x14ac:dyDescent="0.2">
      <c r="A43" s="18" t="s">
        <v>32</v>
      </c>
      <c r="B43" s="24">
        <f>198186400.31</f>
        <v>198186400.31</v>
      </c>
      <c r="C43" s="24">
        <f>198186400.31</f>
        <v>198186400.31</v>
      </c>
      <c r="D43" s="24">
        <f>120518237.45</f>
        <v>120518237.45</v>
      </c>
      <c r="E43" s="24">
        <f>16222.5</f>
        <v>16222.5</v>
      </c>
      <c r="F43" s="24">
        <f>2470.4</f>
        <v>2470.4</v>
      </c>
      <c r="G43" s="24">
        <f>120499544.55</f>
        <v>120499544.55</v>
      </c>
      <c r="H43" s="24">
        <f>0</f>
        <v>0</v>
      </c>
      <c r="I43" s="24">
        <f>0</f>
        <v>0</v>
      </c>
      <c r="J43" s="24">
        <f>27673988.17</f>
        <v>27673988.170000002</v>
      </c>
      <c r="K43" s="24">
        <f>0</f>
        <v>0</v>
      </c>
      <c r="L43" s="24">
        <f>38870681.2</f>
        <v>38870681.200000003</v>
      </c>
      <c r="M43" s="24">
        <f>10252546.4</f>
        <v>10252546.4</v>
      </c>
      <c r="N43" s="24">
        <f>870947.09</f>
        <v>870947.09</v>
      </c>
      <c r="O43" s="24">
        <f>0</f>
        <v>0</v>
      </c>
      <c r="P43" s="24">
        <f>0</f>
        <v>0</v>
      </c>
      <c r="Q43" s="24">
        <f>0</f>
        <v>0</v>
      </c>
    </row>
    <row r="44" spans="1:17" ht="30" customHeight="1" x14ac:dyDescent="0.2">
      <c r="A44" s="25" t="s">
        <v>42</v>
      </c>
      <c r="B44" s="23">
        <f>8660552311.6</f>
        <v>8660552311.6000004</v>
      </c>
      <c r="C44" s="23">
        <f>8660552311.6</f>
        <v>8660552311.6000004</v>
      </c>
      <c r="D44" s="23">
        <f>2586646.82</f>
        <v>2586646.8199999998</v>
      </c>
      <c r="E44" s="23">
        <f>22595.71</f>
        <v>22595.71</v>
      </c>
      <c r="F44" s="23">
        <f>2903</f>
        <v>2903</v>
      </c>
      <c r="G44" s="23">
        <f>2561148.11</f>
        <v>2561148.11</v>
      </c>
      <c r="H44" s="23">
        <f>0</f>
        <v>0</v>
      </c>
      <c r="I44" s="23">
        <f>7397477.58</f>
        <v>7397477.5800000001</v>
      </c>
      <c r="J44" s="23">
        <f>8650330849.46</f>
        <v>8650330849.4599991</v>
      </c>
      <c r="K44" s="23">
        <f>97073.49</f>
        <v>97073.49</v>
      </c>
      <c r="L44" s="23">
        <f>43981.13</f>
        <v>43981.13</v>
      </c>
      <c r="M44" s="23">
        <f>2000</f>
        <v>2000</v>
      </c>
      <c r="N44" s="23">
        <f>94283.12</f>
        <v>94283.12</v>
      </c>
      <c r="O44" s="23">
        <f>0</f>
        <v>0</v>
      </c>
      <c r="P44" s="23">
        <f>0</f>
        <v>0</v>
      </c>
      <c r="Q44" s="23">
        <f>0</f>
        <v>0</v>
      </c>
    </row>
    <row r="45" spans="1:17" ht="25.5" customHeight="1" x14ac:dyDescent="0.2">
      <c r="A45" s="18" t="s">
        <v>33</v>
      </c>
      <c r="B45" s="24">
        <f>2538497.71</f>
        <v>2538497.71</v>
      </c>
      <c r="C45" s="24">
        <f>2538497.71</f>
        <v>2538497.71</v>
      </c>
      <c r="D45" s="24">
        <f>2538497.71</f>
        <v>2538497.71</v>
      </c>
      <c r="E45" s="24">
        <f>0</f>
        <v>0</v>
      </c>
      <c r="F45" s="24">
        <f>0</f>
        <v>0</v>
      </c>
      <c r="G45" s="24">
        <f>2538497.71</f>
        <v>2538497.71</v>
      </c>
      <c r="H45" s="24">
        <f>0</f>
        <v>0</v>
      </c>
      <c r="I45" s="24">
        <f>0</f>
        <v>0</v>
      </c>
      <c r="J45" s="24">
        <f>0</f>
        <v>0</v>
      </c>
      <c r="K45" s="24">
        <f>0</f>
        <v>0</v>
      </c>
      <c r="L45" s="24">
        <f>0</f>
        <v>0</v>
      </c>
      <c r="M45" s="24">
        <f>0</f>
        <v>0</v>
      </c>
      <c r="N45" s="24">
        <f>0</f>
        <v>0</v>
      </c>
      <c r="O45" s="24">
        <f>0</f>
        <v>0</v>
      </c>
      <c r="P45" s="24">
        <f>0</f>
        <v>0</v>
      </c>
      <c r="Q45" s="24">
        <f>0</f>
        <v>0</v>
      </c>
    </row>
    <row r="46" spans="1:17" ht="25.5" customHeight="1" x14ac:dyDescent="0.2">
      <c r="A46" s="18" t="s">
        <v>34</v>
      </c>
      <c r="B46" s="24">
        <f>7353964208.18</f>
        <v>7353964208.1800003</v>
      </c>
      <c r="C46" s="24">
        <f>7353964208.18</f>
        <v>7353964208.1800003</v>
      </c>
      <c r="D46" s="24">
        <f>22232.71</f>
        <v>22232.71</v>
      </c>
      <c r="E46" s="24">
        <f>757.18</f>
        <v>757.18</v>
      </c>
      <c r="F46" s="24">
        <f>263</f>
        <v>263</v>
      </c>
      <c r="G46" s="24">
        <f>21212.53</f>
        <v>21212.53</v>
      </c>
      <c r="H46" s="24">
        <f>0</f>
        <v>0</v>
      </c>
      <c r="I46" s="24">
        <f>7397477.58</f>
        <v>7397477.5800000001</v>
      </c>
      <c r="J46" s="24">
        <f>7346351889.47</f>
        <v>7346351889.4700003</v>
      </c>
      <c r="K46" s="24">
        <f>87089.79</f>
        <v>87089.79</v>
      </c>
      <c r="L46" s="24">
        <f>11235.51</f>
        <v>11235.51</v>
      </c>
      <c r="M46" s="24">
        <f>0</f>
        <v>0</v>
      </c>
      <c r="N46" s="24">
        <f>94283.12</f>
        <v>94283.12</v>
      </c>
      <c r="O46" s="24">
        <f>0</f>
        <v>0</v>
      </c>
      <c r="P46" s="24">
        <f>0</f>
        <v>0</v>
      </c>
      <c r="Q46" s="24">
        <f>0</f>
        <v>0</v>
      </c>
    </row>
    <row r="47" spans="1:17" ht="25.5" customHeight="1" x14ac:dyDescent="0.2">
      <c r="A47" s="18" t="s">
        <v>35</v>
      </c>
      <c r="B47" s="24">
        <f>1304049605.71</f>
        <v>1304049605.71</v>
      </c>
      <c r="C47" s="24">
        <f>1304049605.71</f>
        <v>1304049605.71</v>
      </c>
      <c r="D47" s="24">
        <f>25916.4</f>
        <v>25916.400000000001</v>
      </c>
      <c r="E47" s="24">
        <f>21838.53</f>
        <v>21838.53</v>
      </c>
      <c r="F47" s="24">
        <f>2640</f>
        <v>2640</v>
      </c>
      <c r="G47" s="24">
        <f>1437.87</f>
        <v>1437.87</v>
      </c>
      <c r="H47" s="24">
        <f>0</f>
        <v>0</v>
      </c>
      <c r="I47" s="24">
        <f>0</f>
        <v>0</v>
      </c>
      <c r="J47" s="24">
        <f>1303978959.99</f>
        <v>1303978959.99</v>
      </c>
      <c r="K47" s="24">
        <f>9983.7</f>
        <v>9983.7000000000007</v>
      </c>
      <c r="L47" s="24">
        <f>32745.62</f>
        <v>32745.62</v>
      </c>
      <c r="M47" s="24">
        <f>2000</f>
        <v>2000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30" customHeight="1" x14ac:dyDescent="0.2">
      <c r="A48" s="25" t="s">
        <v>43</v>
      </c>
      <c r="B48" s="23">
        <f>891801109.03</f>
        <v>891801109.02999997</v>
      </c>
      <c r="C48" s="23">
        <f>890746243.5</f>
        <v>890746243.5</v>
      </c>
      <c r="D48" s="23">
        <f>38735731.37</f>
        <v>38735731.369999997</v>
      </c>
      <c r="E48" s="23">
        <f>8655128.95</f>
        <v>8655128.9499999993</v>
      </c>
      <c r="F48" s="23">
        <f>1183770</f>
        <v>1183770</v>
      </c>
      <c r="G48" s="23">
        <f>28873612.96</f>
        <v>28873612.960000001</v>
      </c>
      <c r="H48" s="23">
        <f>23219.46</f>
        <v>23219.46</v>
      </c>
      <c r="I48" s="23">
        <f>0</f>
        <v>0</v>
      </c>
      <c r="J48" s="23">
        <f>3959305.52</f>
        <v>3959305.52</v>
      </c>
      <c r="K48" s="23">
        <f>649159.45</f>
        <v>649159.44999999995</v>
      </c>
      <c r="L48" s="23">
        <f>242646031.89</f>
        <v>242646031.88999999</v>
      </c>
      <c r="M48" s="23">
        <f>596760253.87</f>
        <v>596760253.87</v>
      </c>
      <c r="N48" s="23">
        <f>7995761.4</f>
        <v>7995761.4000000004</v>
      </c>
      <c r="O48" s="23">
        <f>1054865.53</f>
        <v>1054865.53</v>
      </c>
      <c r="P48" s="23">
        <f>369900.09</f>
        <v>369900.09</v>
      </c>
      <c r="Q48" s="23">
        <f>684965.44</f>
        <v>684965.44</v>
      </c>
    </row>
    <row r="49" spans="1:17" ht="25.5" customHeight="1" x14ac:dyDescent="0.2">
      <c r="A49" s="18" t="s">
        <v>36</v>
      </c>
      <c r="B49" s="24">
        <f>180293135.19</f>
        <v>180293135.19</v>
      </c>
      <c r="C49" s="24">
        <f>180261105.82</f>
        <v>180261105.81999999</v>
      </c>
      <c r="D49" s="24">
        <f>3560785.7</f>
        <v>3560785.7</v>
      </c>
      <c r="E49" s="24">
        <f>43709.41</f>
        <v>43709.41</v>
      </c>
      <c r="F49" s="24">
        <f>339228.55</f>
        <v>339228.55</v>
      </c>
      <c r="G49" s="24">
        <f>3162287.57</f>
        <v>3162287.57</v>
      </c>
      <c r="H49" s="24">
        <f>15560.17</f>
        <v>15560.17</v>
      </c>
      <c r="I49" s="24">
        <f>0</f>
        <v>0</v>
      </c>
      <c r="J49" s="24">
        <f>948943.44</f>
        <v>948943.44</v>
      </c>
      <c r="K49" s="24">
        <f>533012.71</f>
        <v>533012.71</v>
      </c>
      <c r="L49" s="24">
        <f>74076628.41</f>
        <v>74076628.409999996</v>
      </c>
      <c r="M49" s="24">
        <f>99675350.99</f>
        <v>99675350.989999995</v>
      </c>
      <c r="N49" s="24">
        <f>1466384.57</f>
        <v>1466384.57</v>
      </c>
      <c r="O49" s="24">
        <f>32029.37</f>
        <v>32029.37</v>
      </c>
      <c r="P49" s="24">
        <f>27294.6</f>
        <v>27294.6</v>
      </c>
      <c r="Q49" s="24">
        <f>4734.77</f>
        <v>4734.7700000000004</v>
      </c>
    </row>
    <row r="50" spans="1:17" ht="25.5" customHeight="1" x14ac:dyDescent="0.2">
      <c r="A50" s="18" t="s">
        <v>37</v>
      </c>
      <c r="B50" s="24">
        <f>711507973.84</f>
        <v>711507973.84000003</v>
      </c>
      <c r="C50" s="24">
        <f>710485137.68</f>
        <v>710485137.67999995</v>
      </c>
      <c r="D50" s="24">
        <f>35174945.67</f>
        <v>35174945.670000002</v>
      </c>
      <c r="E50" s="24">
        <f>8611419.54</f>
        <v>8611419.5399999991</v>
      </c>
      <c r="F50" s="24">
        <f>844541.45</f>
        <v>844541.45</v>
      </c>
      <c r="G50" s="24">
        <f>25711325.39</f>
        <v>25711325.390000001</v>
      </c>
      <c r="H50" s="24">
        <f>7659.29</f>
        <v>7659.29</v>
      </c>
      <c r="I50" s="24">
        <f>0</f>
        <v>0</v>
      </c>
      <c r="J50" s="24">
        <f>3010362.08</f>
        <v>3010362.08</v>
      </c>
      <c r="K50" s="24">
        <f>116146.74</f>
        <v>116146.74</v>
      </c>
      <c r="L50" s="24">
        <f>168569403.48</f>
        <v>168569403.47999999</v>
      </c>
      <c r="M50" s="24">
        <f>497084902.88</f>
        <v>497084902.88</v>
      </c>
      <c r="N50" s="24">
        <f>6529376.83</f>
        <v>6529376.8300000001</v>
      </c>
      <c r="O50" s="24">
        <f>1022836.16</f>
        <v>1022836.16</v>
      </c>
      <c r="P50" s="24">
        <f>342605.49</f>
        <v>342605.49</v>
      </c>
      <c r="Q50" s="24">
        <f>680230.67</f>
        <v>680230.67</v>
      </c>
    </row>
    <row r="51" spans="1:17" ht="30" customHeight="1" x14ac:dyDescent="0.2">
      <c r="A51" s="25" t="s">
        <v>44</v>
      </c>
      <c r="B51" s="23">
        <f>745968338.93</f>
        <v>745968338.92999995</v>
      </c>
      <c r="C51" s="23">
        <f>745917235.48</f>
        <v>745917235.48000002</v>
      </c>
      <c r="D51" s="23">
        <f>233646529.49</f>
        <v>233646529.49000001</v>
      </c>
      <c r="E51" s="23">
        <f>23947327.11</f>
        <v>23947327.109999999</v>
      </c>
      <c r="F51" s="23">
        <f>2389887.37</f>
        <v>2389887.37</v>
      </c>
      <c r="G51" s="23">
        <f>201109903.46</f>
        <v>201109903.46000001</v>
      </c>
      <c r="H51" s="23">
        <f>6199411.55</f>
        <v>6199411.5499999998</v>
      </c>
      <c r="I51" s="23">
        <f>0</f>
        <v>0</v>
      </c>
      <c r="J51" s="23">
        <f>182721.42</f>
        <v>182721.42</v>
      </c>
      <c r="K51" s="23">
        <f>1626607.66</f>
        <v>1626607.66</v>
      </c>
      <c r="L51" s="23">
        <f>417469979.89</f>
        <v>417469979.88999999</v>
      </c>
      <c r="M51" s="23">
        <f>88318700.1</f>
        <v>88318700.099999994</v>
      </c>
      <c r="N51" s="23">
        <f>4672696.92</f>
        <v>4672696.92</v>
      </c>
      <c r="O51" s="23">
        <f>51103.45</f>
        <v>51103.45</v>
      </c>
      <c r="P51" s="23">
        <f>12572.13</f>
        <v>12572.13</v>
      </c>
      <c r="Q51" s="23">
        <f>38531.32</f>
        <v>38531.32</v>
      </c>
    </row>
    <row r="52" spans="1:17" ht="31.5" customHeight="1" x14ac:dyDescent="0.2">
      <c r="A52" s="18" t="s">
        <v>38</v>
      </c>
      <c r="B52" s="24">
        <f>73204762.27</f>
        <v>73204762.269999996</v>
      </c>
      <c r="C52" s="24">
        <f>73187236.82</f>
        <v>73187236.819999993</v>
      </c>
      <c r="D52" s="24">
        <f>33048924.65</f>
        <v>33048924.649999999</v>
      </c>
      <c r="E52" s="24">
        <f>372835.28</f>
        <v>372835.28</v>
      </c>
      <c r="F52" s="24">
        <f>151536.04</f>
        <v>151536.04</v>
      </c>
      <c r="G52" s="24">
        <f>30091059.5</f>
        <v>30091059.5</v>
      </c>
      <c r="H52" s="24">
        <f>2433493.83</f>
        <v>2433493.83</v>
      </c>
      <c r="I52" s="24">
        <f>0</f>
        <v>0</v>
      </c>
      <c r="J52" s="24">
        <f>116084.76</f>
        <v>116084.76</v>
      </c>
      <c r="K52" s="24">
        <f>322052.54</f>
        <v>322052.53999999998</v>
      </c>
      <c r="L52" s="24">
        <f>17384514.41</f>
        <v>17384514.41</v>
      </c>
      <c r="M52" s="24">
        <f>21060542.04</f>
        <v>21060542.039999999</v>
      </c>
      <c r="N52" s="24">
        <f>1255118.42</f>
        <v>1255118.42</v>
      </c>
      <c r="O52" s="24">
        <f>17525.45</f>
        <v>17525.45</v>
      </c>
      <c r="P52" s="24">
        <f>12572.13</f>
        <v>12572.13</v>
      </c>
      <c r="Q52" s="24">
        <f>4953.32</f>
        <v>4953.32</v>
      </c>
    </row>
    <row r="53" spans="1:17" ht="35.25" customHeight="1" x14ac:dyDescent="0.2">
      <c r="A53" s="18" t="s">
        <v>80</v>
      </c>
      <c r="B53" s="24">
        <f>822817.8</f>
        <v>822817.8</v>
      </c>
      <c r="C53" s="24">
        <f>822817.8</f>
        <v>822817.8</v>
      </c>
      <c r="D53" s="24">
        <f>734936.68</f>
        <v>734936.68</v>
      </c>
      <c r="E53" s="24">
        <f>446684.21</f>
        <v>446684.21</v>
      </c>
      <c r="F53" s="24">
        <f>0</f>
        <v>0</v>
      </c>
      <c r="G53" s="24">
        <f>167874.35</f>
        <v>167874.35</v>
      </c>
      <c r="H53" s="24">
        <f>120378.12</f>
        <v>120378.12</v>
      </c>
      <c r="I53" s="24">
        <f>0</f>
        <v>0</v>
      </c>
      <c r="J53" s="24">
        <f>0</f>
        <v>0</v>
      </c>
      <c r="K53" s="24">
        <f>238.59</f>
        <v>238.59</v>
      </c>
      <c r="L53" s="24">
        <f>32844.07</f>
        <v>32844.07</v>
      </c>
      <c r="M53" s="24">
        <f>52575.41</f>
        <v>52575.41</v>
      </c>
      <c r="N53" s="24">
        <f>2223.05</f>
        <v>2223.0500000000002</v>
      </c>
      <c r="O53" s="24">
        <f>0</f>
        <v>0</v>
      </c>
      <c r="P53" s="24">
        <f>0</f>
        <v>0</v>
      </c>
      <c r="Q53" s="24">
        <f>0</f>
        <v>0</v>
      </c>
    </row>
    <row r="54" spans="1:17" ht="31.5" customHeight="1" x14ac:dyDescent="0.2">
      <c r="A54" s="18" t="s">
        <v>39</v>
      </c>
      <c r="B54" s="24">
        <f>671940758.86</f>
        <v>671940758.86000001</v>
      </c>
      <c r="C54" s="24">
        <f>671907180.86</f>
        <v>671907180.86000001</v>
      </c>
      <c r="D54" s="24">
        <f>199862668.16</f>
        <v>199862668.16</v>
      </c>
      <c r="E54" s="24">
        <f>23127807.62</f>
        <v>23127807.620000001</v>
      </c>
      <c r="F54" s="24">
        <f>2238351.33</f>
        <v>2238351.33</v>
      </c>
      <c r="G54" s="24">
        <f>170850969.61</f>
        <v>170850969.61000001</v>
      </c>
      <c r="H54" s="24">
        <f>3645539.6</f>
        <v>3645539.6</v>
      </c>
      <c r="I54" s="24">
        <f>0</f>
        <v>0</v>
      </c>
      <c r="J54" s="24">
        <f>66636.66</f>
        <v>66636.66</v>
      </c>
      <c r="K54" s="24">
        <f>1304316.53</f>
        <v>1304316.53</v>
      </c>
      <c r="L54" s="24">
        <f>400052621.41</f>
        <v>400052621.41000003</v>
      </c>
      <c r="M54" s="24">
        <f>67205582.65</f>
        <v>67205582.650000006</v>
      </c>
      <c r="N54" s="24">
        <f>3415355.45</f>
        <v>3415355.45</v>
      </c>
      <c r="O54" s="24">
        <f>33578</f>
        <v>33578</v>
      </c>
      <c r="P54" s="24">
        <f>0</f>
        <v>0</v>
      </c>
      <c r="Q54" s="24">
        <f>33578</f>
        <v>33578</v>
      </c>
    </row>
    <row r="63" spans="1:17" ht="66" customHeight="1" x14ac:dyDescent="0.2">
      <c r="A63" s="47" t="str">
        <f>CONCATENATE("Informacja z wykonania budżetów powiatów za   ",$C$90," ",$B$91," roku    ",$B$93,"")</f>
        <v xml:space="preserve">Informacja z wykonania budżetów powiatów za   III Kwartały 2024 roku    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</row>
    <row r="64" spans="1:17" ht="13.5" customHeight="1" x14ac:dyDescent="0.2">
      <c r="B64" s="48" t="s">
        <v>2</v>
      </c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6" spans="2:12" ht="13.5" customHeight="1" x14ac:dyDescent="0.2">
      <c r="B66" s="76" t="s">
        <v>0</v>
      </c>
      <c r="C66" s="77"/>
      <c r="D66" s="77"/>
      <c r="E66" s="78"/>
      <c r="F66" s="56" t="s">
        <v>68</v>
      </c>
      <c r="G66" s="33" t="s">
        <v>74</v>
      </c>
      <c r="H66" s="60"/>
      <c r="I66" s="60"/>
      <c r="J66" s="60"/>
      <c r="K66" s="60"/>
      <c r="L66" s="61"/>
    </row>
    <row r="67" spans="2:12" ht="13.5" customHeight="1" x14ac:dyDescent="0.2">
      <c r="B67" s="79"/>
      <c r="C67" s="80"/>
      <c r="D67" s="80"/>
      <c r="E67" s="81"/>
      <c r="F67" s="57"/>
      <c r="G67" s="59" t="s">
        <v>69</v>
      </c>
      <c r="H67" s="32" t="s">
        <v>66</v>
      </c>
      <c r="I67" s="32" t="s">
        <v>67</v>
      </c>
      <c r="J67" s="32" t="s">
        <v>70</v>
      </c>
      <c r="K67" s="32" t="s">
        <v>71</v>
      </c>
      <c r="L67" s="36" t="s">
        <v>72</v>
      </c>
    </row>
    <row r="68" spans="2:12" ht="13.5" customHeight="1" x14ac:dyDescent="0.2">
      <c r="B68" s="79"/>
      <c r="C68" s="80"/>
      <c r="D68" s="80"/>
      <c r="E68" s="81"/>
      <c r="F68" s="57"/>
      <c r="G68" s="59"/>
      <c r="H68" s="32"/>
      <c r="I68" s="32"/>
      <c r="J68" s="32"/>
      <c r="K68" s="32"/>
      <c r="L68" s="36"/>
    </row>
    <row r="69" spans="2:12" ht="11.25" customHeight="1" x14ac:dyDescent="0.2">
      <c r="B69" s="79"/>
      <c r="C69" s="80"/>
      <c r="D69" s="80"/>
      <c r="E69" s="81"/>
      <c r="F69" s="57"/>
      <c r="G69" s="59"/>
      <c r="H69" s="32"/>
      <c r="I69" s="32"/>
      <c r="J69" s="32"/>
      <c r="K69" s="32"/>
      <c r="L69" s="36"/>
    </row>
    <row r="70" spans="2:12" ht="11.25" customHeight="1" x14ac:dyDescent="0.2">
      <c r="B70" s="82"/>
      <c r="C70" s="83"/>
      <c r="D70" s="83"/>
      <c r="E70" s="84"/>
      <c r="F70" s="58"/>
      <c r="G70" s="59"/>
      <c r="H70" s="32"/>
      <c r="I70" s="32"/>
      <c r="J70" s="32"/>
      <c r="K70" s="32"/>
      <c r="L70" s="36"/>
    </row>
    <row r="71" spans="2:12" ht="11.25" customHeight="1" x14ac:dyDescent="0.2">
      <c r="B71" s="32">
        <v>1</v>
      </c>
      <c r="C71" s="32"/>
      <c r="D71" s="32"/>
      <c r="E71" s="32"/>
      <c r="F71" s="3">
        <v>2</v>
      </c>
      <c r="G71" s="3">
        <v>3</v>
      </c>
      <c r="H71" s="3">
        <v>4</v>
      </c>
      <c r="I71" s="3">
        <v>5</v>
      </c>
      <c r="J71" s="3">
        <v>6</v>
      </c>
      <c r="K71" s="3">
        <v>7</v>
      </c>
      <c r="L71" s="3">
        <v>8</v>
      </c>
    </row>
    <row r="72" spans="2:12" ht="12.75" customHeight="1" x14ac:dyDescent="0.2">
      <c r="B72" s="32"/>
      <c r="C72" s="32"/>
      <c r="D72" s="32"/>
      <c r="E72" s="32"/>
      <c r="F72" s="33" t="s">
        <v>76</v>
      </c>
      <c r="G72" s="34"/>
      <c r="H72" s="34"/>
      <c r="I72" s="34"/>
      <c r="J72" s="34"/>
      <c r="K72" s="34"/>
      <c r="L72" s="35"/>
    </row>
    <row r="73" spans="2:12" ht="33.75" customHeight="1" x14ac:dyDescent="0.2">
      <c r="B73" s="53" t="s">
        <v>53</v>
      </c>
      <c r="C73" s="54"/>
      <c r="D73" s="54"/>
      <c r="E73" s="55"/>
      <c r="F73" s="26">
        <f>494436651.79</f>
        <v>494436651.79000002</v>
      </c>
      <c r="G73" s="26">
        <f>244603422.4</f>
        <v>244603422.40000001</v>
      </c>
      <c r="H73" s="26">
        <f>32790631.24</f>
        <v>32790631.239999998</v>
      </c>
      <c r="I73" s="26">
        <f>9497364.17</f>
        <v>9497364.1699999999</v>
      </c>
      <c r="J73" s="26">
        <f>186399857.46</f>
        <v>186399857.46000001</v>
      </c>
      <c r="K73" s="26">
        <f>15915569.53</f>
        <v>15915569.529999999</v>
      </c>
      <c r="L73" s="26">
        <f>249833229.39</f>
        <v>249833229.38999999</v>
      </c>
    </row>
    <row r="74" spans="2:12" ht="33.75" customHeight="1" x14ac:dyDescent="0.2">
      <c r="B74" s="53" t="s">
        <v>54</v>
      </c>
      <c r="C74" s="54"/>
      <c r="D74" s="54"/>
      <c r="E74" s="55"/>
      <c r="F74" s="26">
        <f>640000</f>
        <v>640000</v>
      </c>
      <c r="G74" s="26">
        <f>0</f>
        <v>0</v>
      </c>
      <c r="H74" s="26">
        <f>0</f>
        <v>0</v>
      </c>
      <c r="I74" s="26">
        <f>0</f>
        <v>0</v>
      </c>
      <c r="J74" s="26">
        <f>0</f>
        <v>0</v>
      </c>
      <c r="K74" s="26">
        <f>0</f>
        <v>0</v>
      </c>
      <c r="L74" s="26">
        <f>640000</f>
        <v>640000</v>
      </c>
    </row>
    <row r="75" spans="2:12" ht="33.75" customHeight="1" x14ac:dyDescent="0.2">
      <c r="B75" s="53" t="s">
        <v>55</v>
      </c>
      <c r="C75" s="54"/>
      <c r="D75" s="54"/>
      <c r="E75" s="55"/>
      <c r="F75" s="26">
        <f>38277384.47</f>
        <v>38277384.469999999</v>
      </c>
      <c r="G75" s="26">
        <f>22910381.32</f>
        <v>22910381.32</v>
      </c>
      <c r="H75" s="26">
        <f>0</f>
        <v>0</v>
      </c>
      <c r="I75" s="26">
        <f>0</f>
        <v>0</v>
      </c>
      <c r="J75" s="26">
        <f>13151381.32</f>
        <v>13151381.32</v>
      </c>
      <c r="K75" s="26">
        <f>9759000</f>
        <v>9759000</v>
      </c>
      <c r="L75" s="26">
        <f>15367003.15</f>
        <v>15367003.15</v>
      </c>
    </row>
    <row r="76" spans="2:12" ht="22.5" customHeight="1" x14ac:dyDescent="0.2">
      <c r="B76" s="53" t="s">
        <v>56</v>
      </c>
      <c r="C76" s="54"/>
      <c r="D76" s="54"/>
      <c r="E76" s="55"/>
      <c r="F76" s="26">
        <f>48009956.14</f>
        <v>48009956.140000001</v>
      </c>
      <c r="G76" s="26">
        <f>21030440.45</f>
        <v>21030440.449999999</v>
      </c>
      <c r="H76" s="26">
        <f>0</f>
        <v>0</v>
      </c>
      <c r="I76" s="26">
        <f>0</f>
        <v>0</v>
      </c>
      <c r="J76" s="26">
        <f>21030440.45</f>
        <v>21030440.449999999</v>
      </c>
      <c r="K76" s="26">
        <f>0</f>
        <v>0</v>
      </c>
      <c r="L76" s="26">
        <f>26979515.69</f>
        <v>26979515.690000001</v>
      </c>
    </row>
    <row r="77" spans="2:12" ht="33.75" customHeight="1" x14ac:dyDescent="0.2">
      <c r="B77" s="53" t="s">
        <v>57</v>
      </c>
      <c r="C77" s="54"/>
      <c r="D77" s="54"/>
      <c r="E77" s="55"/>
      <c r="F77" s="26">
        <f>12294562.96</f>
        <v>12294562.960000001</v>
      </c>
      <c r="G77" s="26">
        <f>12294562.96</f>
        <v>12294562.960000001</v>
      </c>
      <c r="H77" s="26">
        <f>0</f>
        <v>0</v>
      </c>
      <c r="I77" s="26">
        <f>0</f>
        <v>0</v>
      </c>
      <c r="J77" s="26">
        <f>12294562.96</f>
        <v>12294562.960000001</v>
      </c>
      <c r="K77" s="26">
        <f>0</f>
        <v>0</v>
      </c>
      <c r="L77" s="26">
        <f>0</f>
        <v>0</v>
      </c>
    </row>
    <row r="78" spans="2:12" ht="33.75" customHeight="1" x14ac:dyDescent="0.2">
      <c r="B78" s="53" t="s">
        <v>58</v>
      </c>
      <c r="C78" s="54"/>
      <c r="D78" s="54"/>
      <c r="E78" s="55"/>
      <c r="F78" s="26">
        <f>2156875</f>
        <v>2156875</v>
      </c>
      <c r="G78" s="26">
        <f>656875</f>
        <v>656875</v>
      </c>
      <c r="H78" s="26">
        <f>0</f>
        <v>0</v>
      </c>
      <c r="I78" s="26">
        <f>0</f>
        <v>0</v>
      </c>
      <c r="J78" s="26">
        <f>656875</f>
        <v>656875</v>
      </c>
      <c r="K78" s="26">
        <f>0</f>
        <v>0</v>
      </c>
      <c r="L78" s="26">
        <f>1500000</f>
        <v>1500000</v>
      </c>
    </row>
    <row r="79" spans="2:12" ht="22.5" customHeight="1" x14ac:dyDescent="0.2">
      <c r="B79" s="53" t="s">
        <v>59</v>
      </c>
      <c r="C79" s="54"/>
      <c r="D79" s="54"/>
      <c r="E79" s="55"/>
      <c r="F79" s="26">
        <f>139378.34</f>
        <v>139378.34</v>
      </c>
      <c r="G79" s="26">
        <f>139378.34</f>
        <v>139378.34</v>
      </c>
      <c r="H79" s="26">
        <f>0</f>
        <v>0</v>
      </c>
      <c r="I79" s="26">
        <f>0</f>
        <v>0</v>
      </c>
      <c r="J79" s="26">
        <f>139378.34</f>
        <v>139378.34</v>
      </c>
      <c r="K79" s="26">
        <f>0</f>
        <v>0</v>
      </c>
      <c r="L79" s="26">
        <f>0</f>
        <v>0</v>
      </c>
    </row>
    <row r="82" spans="1:13" ht="75" customHeight="1" x14ac:dyDescent="0.2">
      <c r="A82" s="47" t="str">
        <f>CONCATENATE("Informacja z wykonania budżetów powiatów za   ",$C$90," ",$B$91," roku    ",$B$93,"")</f>
        <v xml:space="preserve">Informacja z wykonania budżetów powiatów za   III Kwartały 2024 roku    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</row>
    <row r="83" spans="1:13" ht="13.5" customHeight="1" x14ac:dyDescent="0.2">
      <c r="B83" s="4"/>
    </row>
    <row r="84" spans="1:13" ht="13.5" customHeight="1" x14ac:dyDescent="0.2">
      <c r="B84" s="5"/>
      <c r="C84" s="33"/>
      <c r="D84" s="60"/>
      <c r="E84" s="60"/>
      <c r="F84" s="61"/>
      <c r="G84" s="33" t="s">
        <v>3</v>
      </c>
      <c r="H84" s="61"/>
      <c r="I84" s="33" t="s">
        <v>4</v>
      </c>
      <c r="J84" s="61"/>
      <c r="K84" s="5"/>
    </row>
    <row r="85" spans="1:13" ht="13.5" customHeight="1" x14ac:dyDescent="0.2">
      <c r="B85" s="6"/>
      <c r="C85" s="66" t="s">
        <v>5</v>
      </c>
      <c r="D85" s="67"/>
      <c r="E85" s="67"/>
      <c r="F85" s="68"/>
      <c r="G85" s="62">
        <f>281</f>
        <v>281</v>
      </c>
      <c r="H85" s="63"/>
      <c r="I85" s="64">
        <f>3590346617.35</f>
        <v>3590346617.3499999</v>
      </c>
      <c r="J85" s="65"/>
      <c r="K85" s="7"/>
    </row>
    <row r="86" spans="1:13" ht="13.5" customHeight="1" x14ac:dyDescent="0.2">
      <c r="B86" s="6"/>
      <c r="C86" s="69" t="s">
        <v>6</v>
      </c>
      <c r="D86" s="70"/>
      <c r="E86" s="70"/>
      <c r="F86" s="71"/>
      <c r="G86" s="72">
        <f>33</f>
        <v>33</v>
      </c>
      <c r="H86" s="73"/>
      <c r="I86" s="74">
        <f>-179075391.95</f>
        <v>-179075391.94999999</v>
      </c>
      <c r="J86" s="75"/>
      <c r="K86" s="7"/>
    </row>
    <row r="87" spans="1:13" ht="13.5" customHeight="1" x14ac:dyDescent="0.2">
      <c r="B87" s="6"/>
      <c r="C87" s="66" t="s">
        <v>7</v>
      </c>
      <c r="D87" s="67"/>
      <c r="E87" s="67"/>
      <c r="F87" s="68"/>
      <c r="G87" s="62">
        <f>0</f>
        <v>0</v>
      </c>
      <c r="H87" s="63"/>
      <c r="I87" s="64">
        <f>0</f>
        <v>0</v>
      </c>
      <c r="J87" s="65"/>
      <c r="K87" s="7"/>
    </row>
    <row r="90" spans="1:13" ht="13.5" customHeight="1" x14ac:dyDescent="0.2">
      <c r="A90" s="8" t="s">
        <v>8</v>
      </c>
      <c r="B90" s="8">
        <f>3</f>
        <v>3</v>
      </c>
      <c r="C90" s="8" t="str">
        <f>IF(B90=1,"I Kwartał",IF(B90=2,"II Kwartały",IF(B90=3,"III Kwartały",IF(B90=4,"IV Kwartały","-"))))</f>
        <v>III Kwartały</v>
      </c>
    </row>
    <row r="91" spans="1:13" ht="13.5" customHeight="1" x14ac:dyDescent="0.2">
      <c r="A91" s="8" t="s">
        <v>9</v>
      </c>
      <c r="B91" s="8">
        <f>2024</f>
        <v>2024</v>
      </c>
      <c r="C91" s="9"/>
    </row>
    <row r="92" spans="1:13" ht="13.5" customHeight="1" x14ac:dyDescent="0.2">
      <c r="A92" s="8" t="s">
        <v>10</v>
      </c>
      <c r="B92" s="10" t="str">
        <f>"Nov 14 2024 12:00AM"</f>
        <v>Nov 14 2024 12:00AM</v>
      </c>
      <c r="C92" s="9"/>
    </row>
    <row r="93" spans="1:13" ht="13.5" customHeight="1" x14ac:dyDescent="0.2">
      <c r="A93" s="14" t="s">
        <v>75</v>
      </c>
      <c r="B93" s="10" t="str">
        <f>""</f>
        <v/>
      </c>
    </row>
  </sheetData>
  <mergeCells count="79">
    <mergeCell ref="O6:Q6"/>
    <mergeCell ref="O7:O10"/>
    <mergeCell ref="A63:M63"/>
    <mergeCell ref="L32:L35"/>
    <mergeCell ref="P32:P35"/>
    <mergeCell ref="Q32:Q35"/>
    <mergeCell ref="N32:N35"/>
    <mergeCell ref="O32:O35"/>
    <mergeCell ref="D32:D35"/>
    <mergeCell ref="H7:H10"/>
    <mergeCell ref="B78:E78"/>
    <mergeCell ref="I85:J85"/>
    <mergeCell ref="B64:M64"/>
    <mergeCell ref="I84:J84"/>
    <mergeCell ref="B72:E72"/>
    <mergeCell ref="B66:E70"/>
    <mergeCell ref="B79:E79"/>
    <mergeCell ref="A82:M82"/>
    <mergeCell ref="B75:E75"/>
    <mergeCell ref="B76:E76"/>
    <mergeCell ref="G87:H87"/>
    <mergeCell ref="I87:J87"/>
    <mergeCell ref="C84:F84"/>
    <mergeCell ref="C85:F85"/>
    <mergeCell ref="C86:F86"/>
    <mergeCell ref="C87:F87"/>
    <mergeCell ref="G85:H85"/>
    <mergeCell ref="G84:H84"/>
    <mergeCell ref="G86:H86"/>
    <mergeCell ref="I86:J86"/>
    <mergeCell ref="B77:E77"/>
    <mergeCell ref="B74:E74"/>
    <mergeCell ref="M32:M35"/>
    <mergeCell ref="B73:E73"/>
    <mergeCell ref="F66:F70"/>
    <mergeCell ref="G67:G70"/>
    <mergeCell ref="G66:L66"/>
    <mergeCell ref="A1:M1"/>
    <mergeCell ref="C5:M5"/>
    <mergeCell ref="A3:M3"/>
    <mergeCell ref="K7:K10"/>
    <mergeCell ref="C7:C10"/>
    <mergeCell ref="B6:B10"/>
    <mergeCell ref="A6:A10"/>
    <mergeCell ref="C6:N6"/>
    <mergeCell ref="D7:D10"/>
    <mergeCell ref="E7:E10"/>
    <mergeCell ref="Q7:Q10"/>
    <mergeCell ref="C31:N31"/>
    <mergeCell ref="L7:L10"/>
    <mergeCell ref="M7:M10"/>
    <mergeCell ref="N7:N10"/>
    <mergeCell ref="P7:P10"/>
    <mergeCell ref="A27:M27"/>
    <mergeCell ref="O31:Q31"/>
    <mergeCell ref="A29:M29"/>
    <mergeCell ref="G7:G10"/>
    <mergeCell ref="F7:F10"/>
    <mergeCell ref="I7:I10"/>
    <mergeCell ref="J7:J10"/>
    <mergeCell ref="A31:A35"/>
    <mergeCell ref="C32:C35"/>
    <mergeCell ref="E32:E35"/>
    <mergeCell ref="B31:B35"/>
    <mergeCell ref="K67:K70"/>
    <mergeCell ref="H67:H70"/>
    <mergeCell ref="I67:I70"/>
    <mergeCell ref="J67:J70"/>
    <mergeCell ref="B12:Q12"/>
    <mergeCell ref="B37:Q37"/>
    <mergeCell ref="B71:E71"/>
    <mergeCell ref="F72:L72"/>
    <mergeCell ref="L67:L70"/>
    <mergeCell ref="F32:F35"/>
    <mergeCell ref="G32:G35"/>
    <mergeCell ref="H32:H35"/>
    <mergeCell ref="K32:K35"/>
    <mergeCell ref="I32:I35"/>
    <mergeCell ref="J32:J35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26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2009-11-20T13:10:55Z</cp:lastPrinted>
  <dcterms:created xsi:type="dcterms:W3CDTF">2001-05-17T08:58:03Z</dcterms:created>
  <dcterms:modified xsi:type="dcterms:W3CDTF">2024-12-09T09:24:13Z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2024-12-09T10:24:12.9142885+01:00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GRN-068e60cb-6ac9-4230-b897-2d51d84565e9</vt:lpwstr>
  </property>
  <property fmtid="{D5CDD505-2E9C-101B-9397-08002B2CF9AE}" pid="7" name="MFHash">
    <vt:lpwstr>nNfHwNP+ro6OM05yJCaR63Ew5UrBBHbOfg8Y3jP9G4E=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