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```ST7\Besti@\2023\II kwartał\Dane ostateczne 2023.08.14\Zbiorówki_2023_k2_20230814\"/>
    </mc:Choice>
  </mc:AlternateContent>
  <bookViews>
    <workbookView xWindow="240" yWindow="120" windowWidth="14220" windowHeight="8835"/>
  </bookViews>
  <sheets>
    <sheet name="zob_nal" sheetId="7" r:id="rId1"/>
    <sheet name="definicja" sheetId="6" r:id="rId2"/>
  </sheets>
  <calcPr calcId="152511"/>
</workbook>
</file>

<file path=xl/calcChain.xml><?xml version="1.0" encoding="utf-8"?>
<calcChain xmlns="http://schemas.openxmlformats.org/spreadsheetml/2006/main">
  <c r="C106" i="6" l="1"/>
  <c r="C105" i="6"/>
  <c r="C104" i="6"/>
  <c r="B96" i="7"/>
  <c r="B95" i="7"/>
  <c r="B94" i="7"/>
  <c r="B93" i="7"/>
  <c r="I90" i="7"/>
  <c r="G90" i="7"/>
  <c r="I89" i="7"/>
  <c r="G89" i="7"/>
  <c r="I88" i="7"/>
  <c r="G88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L76" i="7"/>
  <c r="K76" i="7"/>
  <c r="J76" i="7"/>
  <c r="I76" i="7"/>
  <c r="H76" i="7"/>
  <c r="G76" i="7"/>
  <c r="F7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3" i="7"/>
  <c r="A85" i="7" s="1"/>
  <c r="D104" i="6"/>
  <c r="A94" i="6" s="1"/>
  <c r="A1" i="6" l="1"/>
  <c r="A32" i="6"/>
  <c r="A65" i="6"/>
  <c r="A29" i="7"/>
  <c r="A1" i="7"/>
  <c r="A66" i="7"/>
</calcChain>
</file>

<file path=xl/sharedStrings.xml><?xml version="1.0" encoding="utf-8"?>
<sst xmlns="http://schemas.openxmlformats.org/spreadsheetml/2006/main" count="271" uniqueCount="155">
  <si>
    <t>Wyszczególnienie</t>
  </si>
  <si>
    <t>ZO</t>
  </si>
  <si>
    <t>ogółem</t>
  </si>
  <si>
    <t>sektora finansów publicznych (kol.5+7+8)</t>
  </si>
  <si>
    <t>banku centralnego</t>
  </si>
  <si>
    <t>Poręczenia i gwarancje</t>
  </si>
  <si>
    <t>sektora finansów publicznych (kol.4+6+7)</t>
  </si>
  <si>
    <t>Liczba jednostek</t>
  </si>
  <si>
    <t>Wykonanie</t>
  </si>
  <si>
    <t>KO</t>
  </si>
  <si>
    <t>KFP</t>
  </si>
  <si>
    <t>KG1</t>
  </si>
  <si>
    <t>KG2</t>
  </si>
  <si>
    <t>KG3</t>
  </si>
  <si>
    <t>KBC</t>
  </si>
  <si>
    <t>KBK</t>
  </si>
  <si>
    <t>FP</t>
  </si>
  <si>
    <t>G1</t>
  </si>
  <si>
    <t>G2</t>
  </si>
  <si>
    <t>G3</t>
  </si>
  <si>
    <t>O</t>
  </si>
  <si>
    <t>Z</t>
  </si>
  <si>
    <t>N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</si>
  <si>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</si>
  <si>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</si>
  <si>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</si>
  <si>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</si>
  <si>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</si>
  <si>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</si>
  <si>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[w]&gt;0</t>
  </si>
  <si>
    <t>[w]&lt;0</t>
  </si>
  <si>
    <t>[w]=0</t>
  </si>
  <si>
    <t>w</t>
  </si>
  <si>
    <t>kodGus</t>
  </si>
  <si>
    <t>Symbol=E</t>
  </si>
  <si>
    <t>Symbol=E1</t>
  </si>
  <si>
    <t>Symbol=E11</t>
  </si>
  <si>
    <t>Symbol=E2</t>
  </si>
  <si>
    <t>Symbol=E21</t>
  </si>
  <si>
    <t>Symbol=E3</t>
  </si>
  <si>
    <t>Symbol=E4</t>
  </si>
  <si>
    <t>Symbol=E41</t>
  </si>
  <si>
    <t>Symbol=N</t>
  </si>
  <si>
    <t>Symbol=N1</t>
  </si>
  <si>
    <t>Symbol=N11</t>
  </si>
  <si>
    <t>Symbol=N21</t>
  </si>
  <si>
    <t>Symbol=N3</t>
  </si>
  <si>
    <t>Symbol=N4</t>
  </si>
  <si>
    <t>Symbol=N41</t>
  </si>
  <si>
    <t>Symbol=F1</t>
  </si>
  <si>
    <t>Symbol=F2</t>
  </si>
  <si>
    <t>Symbol=F3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</si>
  <si>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</si>
  <si>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</si>
  <si>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</si>
  <si>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</si>
  <si>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5+6+7+8))</t>
  </si>
  <si>
    <t>sektor 
finansów 
publicznych 
ogółem 
(kol 5+6+7+8)</t>
  </si>
  <si>
    <t>KG4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</si>
  <si>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</si>
  <si>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</si>
  <si>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</si>
  <si>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</si>
  <si>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</si>
  <si>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</si>
  <si>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</si>
  <si>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</si>
  <si>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>KIF</t>
  </si>
  <si>
    <t>KPN</t>
  </si>
  <si>
    <t>KGD</t>
  </si>
  <si>
    <t>KIN</t>
  </si>
  <si>
    <t>ZSE</t>
  </si>
  <si>
    <t>ZPZ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</si>
  <si>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</si>
  <si>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</si>
  <si>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</si>
  <si>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</si>
  <si>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</si>
  <si>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bank centralny</t>
  </si>
  <si>
    <t>N. NALEŻNOŚCI ORAZ WYBRANE AKTYWA FINANSOWE  (N1+N2+N3+N4+N5)   z tego: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</si>
  <si>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</si>
  <si>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</si>
  <si>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</si>
  <si>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</si>
  <si>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</si>
  <si>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</si>
  <si>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</si>
  <si>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</si>
  <si>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</si>
  <si>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</si>
  <si>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N5.2 z tytułu podatków i składek na 
ubezpieczenia społ.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</si>
  <si>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</si>
  <si>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</si>
  <si>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</si>
  <si>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</si>
  <si>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</si>
  <si>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</si>
  <si>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Symbol=N12</t>
  </si>
  <si>
    <t>Symbol=N22</t>
  </si>
  <si>
    <t>Symbol=N31</t>
  </si>
  <si>
    <t>Symbol=N32</t>
  </si>
  <si>
    <t>Symbol=N33</t>
  </si>
  <si>
    <t>Symbol=N42</t>
  </si>
  <si>
    <t>Symbol=N5</t>
  </si>
  <si>
    <t>Symbol=N51</t>
  </si>
  <si>
    <t>Symbol=N52</t>
  </si>
  <si>
    <t>Symbol=N53</t>
  </si>
  <si>
    <t>E  ZOBOWIĄZANIA WG TYTUŁÓW 
    DŁUŻNYCH (E1+E2+E3+E4)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</si>
  <si>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</si>
  <si>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</si>
  <si>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</si>
  <si>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</si>
  <si>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</si>
  <si>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</si>
  <si>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</si>
  <si>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  wymagalne zobowiązania 
     (E4.1+E4.2)</t>
  </si>
  <si>
    <t>E4.1 z tytułu dostaw towarów i usług</t>
  </si>
  <si>
    <t>E4.2 pozostałe</t>
  </si>
  <si>
    <t>Symbol=E12</t>
  </si>
  <si>
    <t>Symbol=E22</t>
  </si>
  <si>
    <t>Symbol=E42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</si>
  <si>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</si>
  <si>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</si>
  <si>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</si>
  <si>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</si>
  <si>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</si>
  <si>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</si>
  <si>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</si>
  <si>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Symbol=B1</t>
  </si>
  <si>
    <t>Symbol=B2</t>
  </si>
  <si>
    <t>Symbol=B3</t>
  </si>
  <si>
    <t>Symbol=B4</t>
  </si>
  <si>
    <t>G4</t>
  </si>
  <si>
    <t>PP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</si>
  <si>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</si>
  <si>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</si>
  <si>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</si>
  <si>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</si>
  <si>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</si>
  <si>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</si>
  <si>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</si>
  <si>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</si>
  <si>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wierzyciele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</si>
  <si>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</si>
  <si>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</si>
  <si>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</si>
  <si>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</si>
  <si>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</si>
  <si>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Symbol=N2</t>
  </si>
  <si>
    <t>sektora finansów publicznych (kol.5+6+7+8)</t>
  </si>
  <si>
    <t>wierzyciele i dłużnicy</t>
  </si>
  <si>
    <t>tytul</t>
  </si>
  <si>
    <t>w złotych</t>
  </si>
  <si>
    <t>E  ZOBOWIĄZANIA WG TYTUŁÓW DŁUŻNYCH (E1+E2+E3+E4)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</si>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</sst>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dd/mm/yy\ h:mm;@"/>
  </numFmts>
  <fonts count="36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family val="2"/>
      <charset val="238"/>
    </font>
    <font>
      <sz val="6"/>
      <name val="Arial"/>
      <family val="2"/>
      <charset val="238"/>
    </font>
    <font>
      <sz val="9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  <font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2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3" borderId="0" applyNumberFormat="0" applyBorder="0" applyAlignment="0" applyProtection="0"/>
    <xf numFmtId="0" fontId="12" fillId="8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1" applyNumberFormat="0" applyAlignment="0" applyProtection="0"/>
    <xf numFmtId="0" fontId="15" fillId="17" borderId="2" applyNumberFormat="0" applyAlignment="0" applyProtection="0"/>
    <xf numFmtId="0" fontId="16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1" applyNumberFormat="0" applyAlignment="0" applyProtection="0"/>
    <xf numFmtId="0" fontId="22" fillId="0" borderId="7" applyNumberFormat="0" applyFill="0" applyAlignment="0" applyProtection="0"/>
    <xf numFmtId="0" fontId="23" fillId="8" borderId="0" applyNumberFormat="0" applyBorder="0" applyAlignment="0" applyProtection="0"/>
    <xf numFmtId="0" fontId="5" fillId="0" borderId="0"/>
    <xf numFmtId="0" fontId="1" fillId="4" borderId="8" applyNumberFormat="0" applyFont="0" applyAlignment="0" applyProtection="0"/>
    <xf numFmtId="0" fontId="24" fillId="16" borderId="3" applyNumberForma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</cellStyleXfs>
  <cellXfs count="154">
    <xf numFmtId="0" fontId="0" fillId="0" borderId="0" xfId="0"/>
    <xf numFmtId="0" fontId="4" fillId="0" borderId="0" xfId="37" applyFont="1" applyAlignment="1">
      <alignment horizontal="center" vertical="center" wrapText="1"/>
    </xf>
    <xf numFmtId="0" fontId="5" fillId="0" borderId="0" xfId="37" applyAlignment="1">
      <alignment horizontal="center" vertical="center" wrapText="1"/>
    </xf>
    <xf numFmtId="0" fontId="6" fillId="19" borderId="10" xfId="37" applyFont="1" applyFill="1" applyBorder="1" applyAlignment="1">
      <alignment horizontal="center" vertical="center" wrapText="1"/>
    </xf>
    <xf numFmtId="0" fontId="6" fillId="19" borderId="11" xfId="37" applyFont="1" applyFill="1" applyBorder="1" applyAlignment="1">
      <alignment horizontal="center" vertical="center" wrapText="1"/>
    </xf>
    <xf numFmtId="0" fontId="6" fillId="19" borderId="12" xfId="37" applyFont="1" applyFill="1" applyBorder="1" applyAlignment="1">
      <alignment horizontal="center" vertical="center" wrapText="1"/>
    </xf>
    <xf numFmtId="0" fontId="6" fillId="19" borderId="13" xfId="37" applyFont="1" applyFill="1" applyBorder="1" applyAlignment="1">
      <alignment horizontal="center" vertical="center" wrapText="1"/>
    </xf>
    <xf numFmtId="0" fontId="3" fillId="19" borderId="10" xfId="37" applyFont="1" applyFill="1" applyBorder="1" applyAlignment="1">
      <alignment horizontal="center" vertical="center" wrapText="1"/>
    </xf>
    <xf numFmtId="0" fontId="3" fillId="0" borderId="10" xfId="37" applyFont="1" applyBorder="1" applyAlignment="1">
      <alignment horizontal="left" vertical="center" wrapText="1"/>
    </xf>
    <xf numFmtId="0" fontId="5" fillId="0" borderId="0" xfId="37" applyFill="1" applyBorder="1" applyAlignment="1">
      <alignment horizontal="center" vertical="center" wrapText="1"/>
    </xf>
    <xf numFmtId="0" fontId="6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6" fillId="19" borderId="14" xfId="37" applyFont="1" applyFill="1" applyBorder="1" applyAlignment="1">
      <alignment horizontal="center" vertical="center" wrapText="1"/>
    </xf>
    <xf numFmtId="0" fontId="6" fillId="19" borderId="15" xfId="37" applyFont="1" applyFill="1" applyBorder="1" applyAlignment="1">
      <alignment horizontal="center" vertical="center" wrapText="1"/>
    </xf>
    <xf numFmtId="0" fontId="10" fillId="0" borderId="10" xfId="0" applyFont="1" applyBorder="1"/>
    <xf numFmtId="0" fontId="10" fillId="0" borderId="0" xfId="0" applyFont="1"/>
    <xf numFmtId="169" fontId="10" fillId="0" borderId="10" xfId="0" applyNumberFormat="1" applyFont="1" applyBorder="1"/>
    <xf numFmtId="0" fontId="6" fillId="19" borderId="16" xfId="37" applyFont="1" applyFill="1" applyBorder="1" applyAlignment="1">
      <alignment horizontal="center" vertical="center" wrapText="1"/>
    </xf>
    <xf numFmtId="0" fontId="6" fillId="19" borderId="17" xfId="37" applyFont="1" applyFill="1" applyBorder="1" applyAlignment="1">
      <alignment horizontal="center" vertical="center" wrapText="1"/>
    </xf>
    <xf numFmtId="0" fontId="5" fillId="19" borderId="18" xfId="37" applyFill="1" applyBorder="1" applyAlignment="1">
      <alignment horizontal="center" vertical="center" wrapText="1"/>
    </xf>
    <xf numFmtId="0" fontId="3" fillId="19" borderId="17" xfId="37" applyFont="1" applyFill="1" applyBorder="1" applyAlignment="1">
      <alignment horizontal="center" vertical="center" wrapText="1"/>
    </xf>
    <xf numFmtId="0" fontId="6" fillId="19" borderId="19" xfId="37" applyFont="1" applyFill="1" applyBorder="1" applyAlignment="1">
      <alignment horizontal="center" vertical="center" wrapText="1"/>
    </xf>
    <xf numFmtId="0" fontId="9" fillId="0" borderId="17" xfId="37" applyFont="1" applyBorder="1" applyAlignment="1">
      <alignment horizontal="left" vertical="center" wrapText="1"/>
    </xf>
    <xf numFmtId="0" fontId="28" fillId="0" borderId="20" xfId="0" applyFont="1" applyFill="1" applyBorder="1" applyAlignment="1">
      <alignment wrapText="1"/>
    </xf>
    <xf numFmtId="0" fontId="28" fillId="0" borderId="19" xfId="0" applyFont="1" applyFill="1" applyBorder="1" applyAlignment="1">
      <alignment horizontal="left" wrapText="1"/>
    </xf>
    <xf numFmtId="0" fontId="28" fillId="0" borderId="19" xfId="0" applyFont="1" applyFill="1" applyBorder="1" applyAlignment="1">
      <alignment wrapText="1"/>
    </xf>
    <xf numFmtId="0" fontId="28" fillId="0" borderId="21" xfId="0" applyFont="1" applyFill="1" applyBorder="1" applyAlignment="1">
      <alignment horizontal="left" wrapText="1"/>
    </xf>
    <xf numFmtId="0" fontId="30" fillId="0" borderId="22" xfId="0" applyFont="1" applyFill="1" applyBorder="1" applyAlignment="1">
      <alignment wrapText="1"/>
    </xf>
    <xf numFmtId="0" fontId="30" fillId="0" borderId="22" xfId="0" applyFont="1" applyFill="1" applyBorder="1" applyAlignment="1">
      <alignment horizontal="left" wrapText="1" indent="1"/>
    </xf>
    <xf numFmtId="0" fontId="30" fillId="0" borderId="23" xfId="0" applyFont="1" applyFill="1" applyBorder="1" applyAlignment="1">
      <alignment wrapText="1"/>
    </xf>
    <xf numFmtId="0" fontId="30" fillId="0" borderId="23" xfId="0" applyFont="1" applyFill="1" applyBorder="1" applyAlignment="1">
      <alignment horizontal="left" wrapText="1" indent="1"/>
    </xf>
    <xf numFmtId="0" fontId="30" fillId="0" borderId="22" xfId="0" applyFont="1" applyFill="1" applyBorder="1" applyAlignment="1">
      <alignment horizontal="left" indent="1"/>
    </xf>
    <xf numFmtId="0" fontId="30" fillId="0" borderId="23" xfId="0" applyFont="1" applyFill="1" applyBorder="1"/>
    <xf numFmtId="0" fontId="30" fillId="0" borderId="24" xfId="0" applyFont="1" applyFill="1" applyBorder="1" applyAlignment="1">
      <alignment horizontal="left" indent="1"/>
    </xf>
    <xf numFmtId="0" fontId="5" fillId="0" borderId="0" xfId="37" applyBorder="1" applyAlignment="1">
      <alignment horizontal="center" vertical="center" wrapText="1"/>
    </xf>
    <xf numFmtId="0" fontId="2" fillId="0" borderId="25" xfId="37" applyFont="1" applyBorder="1" applyAlignment="1">
      <alignment horizontal="left" vertical="center" wrapText="1"/>
    </xf>
    <xf numFmtId="0" fontId="5" fillId="19" borderId="0" xfId="37" applyFont="1" applyFill="1" applyAlignment="1">
      <alignment horizontal="center" vertical="center" wrapText="1"/>
    </xf>
    <xf numFmtId="0" fontId="29" fillId="0" borderId="0" xfId="37" applyFont="1" applyAlignment="1">
      <alignment horizontal="center" vertical="center" wrapText="1"/>
    </xf>
    <xf numFmtId="0" fontId="29" fillId="0" borderId="0" xfId="37" applyFont="1" applyFill="1" applyBorder="1" applyAlignment="1">
      <alignment horizontal="center" vertical="center" wrapText="1"/>
    </xf>
    <xf numFmtId="0" fontId="5" fillId="19" borderId="10" xfId="37" applyFill="1" applyBorder="1" applyAlignment="1">
      <alignment horizontal="center" vertical="center" wrapText="1"/>
    </xf>
    <xf numFmtId="0" fontId="8" fillId="19" borderId="10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5" fillId="0" borderId="10" xfId="37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indent="1"/>
    </xf>
    <xf numFmtId="4" fontId="8" fillId="0" borderId="0" xfId="37" applyNumberFormat="1" applyFont="1" applyBorder="1" applyAlignment="1">
      <alignment horizontal="right" vertical="center" wrapText="1"/>
    </xf>
    <xf numFmtId="0" fontId="2" fillId="0" borderId="10" xfId="37" applyFont="1" applyBorder="1" applyAlignment="1">
      <alignment horizontal="left" vertical="center" wrapText="1"/>
    </xf>
    <xf numFmtId="0" fontId="34" fillId="0" borderId="22" xfId="0" applyFont="1" applyFill="1" applyBorder="1" applyAlignment="1">
      <alignment vertical="center" wrapText="1"/>
    </xf>
    <xf numFmtId="0" fontId="9" fillId="20" borderId="10" xfId="37" applyFont="1" applyFill="1" applyBorder="1" applyAlignment="1">
      <alignment horizontal="left" vertical="center" wrapText="1"/>
    </xf>
    <xf numFmtId="4" fontId="2" fillId="20" borderId="10" xfId="37" applyNumberFormat="1" applyFont="1" applyFill="1" applyBorder="1" applyAlignment="1">
      <alignment horizontal="right" vertical="center" wrapText="1"/>
    </xf>
    <xf numFmtId="4" fontId="2" fillId="0" borderId="10" xfId="37" applyNumberFormat="1" applyFont="1" applyBorder="1" applyAlignment="1">
      <alignment horizontal="right" vertical="center" wrapText="1"/>
    </xf>
    <xf numFmtId="4" fontId="2" fillId="20" borderId="10" xfId="37" applyNumberFormat="1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vertical="center" wrapText="1"/>
    </xf>
    <xf numFmtId="0" fontId="33" fillId="21" borderId="22" xfId="0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horizontal="right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6" fillId="19" borderId="10" xfId="37" applyFont="1" applyFill="1" applyBorder="1" applyAlignment="1">
      <alignment horizontal="center" vertical="center" wrapText="1"/>
    </xf>
    <xf numFmtId="0" fontId="6" fillId="19" borderId="15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19" borderId="10" xfId="37" applyNumberFormat="1" applyFont="1" applyFill="1" applyBorder="1" applyAlignment="1">
      <alignment horizontal="center" vertical="center" wrapText="1"/>
    </xf>
    <xf numFmtId="0" fontId="8" fillId="19" borderId="10" xfId="37" applyFont="1" applyFill="1" applyBorder="1" applyAlignment="1">
      <alignment horizontal="center" vertical="center" wrapText="1"/>
    </xf>
    <xf numFmtId="0" fontId="35" fillId="0" borderId="0" xfId="37" applyFont="1" applyAlignment="1">
      <alignment horizontal="center" vertical="center" wrapText="1"/>
    </xf>
    <xf numFmtId="0" fontId="31" fillId="19" borderId="15" xfId="37" applyFont="1" applyFill="1" applyBorder="1" applyAlignment="1">
      <alignment horizontal="center" vertical="center" wrapText="1"/>
    </xf>
    <xf numFmtId="0" fontId="31" fillId="19" borderId="14" xfId="37" applyFont="1" applyFill="1" applyBorder="1" applyAlignment="1">
      <alignment horizontal="center" vertical="center" wrapText="1"/>
    </xf>
    <xf numFmtId="0" fontId="31" fillId="19" borderId="11" xfId="37" applyFont="1" applyFill="1" applyBorder="1" applyAlignment="1">
      <alignment horizontal="center" vertical="center" wrapText="1"/>
    </xf>
    <xf numFmtId="0" fontId="7" fillId="0" borderId="0" xfId="37" applyFont="1" applyAlignment="1">
      <alignment horizontal="left" vertical="center" wrapText="1"/>
    </xf>
    <xf numFmtId="0" fontId="31" fillId="19" borderId="26" xfId="37" applyFont="1" applyFill="1" applyBorder="1" applyAlignment="1">
      <alignment horizontal="center" vertical="center" wrapText="1"/>
    </xf>
    <xf numFmtId="0" fontId="31" fillId="19" borderId="27" xfId="37" applyFont="1" applyFill="1" applyBorder="1" applyAlignment="1">
      <alignment horizontal="center" vertical="center" wrapText="1"/>
    </xf>
    <xf numFmtId="0" fontId="31" fillId="19" borderId="12" xfId="37" applyFont="1" applyFill="1" applyBorder="1" applyAlignment="1">
      <alignment horizontal="center" vertical="center" wrapText="1"/>
    </xf>
    <xf numFmtId="0" fontId="8" fillId="19" borderId="27" xfId="37" applyFont="1" applyFill="1" applyBorder="1" applyAlignment="1">
      <alignment horizontal="center" vertical="center" wrapText="1"/>
    </xf>
    <xf numFmtId="0" fontId="8" fillId="19" borderId="12" xfId="37" applyFont="1" applyFill="1" applyBorder="1" applyAlignment="1">
      <alignment horizontal="center" vertical="center" wrapText="1"/>
    </xf>
    <xf numFmtId="0" fontId="8" fillId="19" borderId="26" xfId="37" applyFont="1" applyFill="1" applyBorder="1" applyAlignment="1">
      <alignment horizontal="center" vertical="center" wrapText="1"/>
    </xf>
    <xf numFmtId="0" fontId="8" fillId="19" borderId="30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29" fillId="0" borderId="0" xfId="37" applyFont="1" applyFill="1" applyBorder="1" applyAlignment="1">
      <alignment horizontal="center" vertical="center" wrapText="1"/>
    </xf>
    <xf numFmtId="0" fontId="8" fillId="19" borderId="15" xfId="37" applyFont="1" applyFill="1" applyBorder="1" applyAlignment="1">
      <alignment horizontal="center" vertical="center" wrapText="1"/>
    </xf>
    <xf numFmtId="0" fontId="8" fillId="19" borderId="14" xfId="37" applyFont="1" applyFill="1" applyBorder="1" applyAlignment="1">
      <alignment horizontal="center" vertical="center" wrapText="1"/>
    </xf>
    <xf numFmtId="0" fontId="8" fillId="19" borderId="11" xfId="37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0" fontId="6" fillId="19" borderId="28" xfId="37" applyFont="1" applyFill="1" applyBorder="1" applyAlignment="1">
      <alignment horizontal="center" vertical="center" wrapText="1"/>
    </xf>
    <xf numFmtId="0" fontId="6" fillId="19" borderId="30" xfId="37" applyFont="1" applyFill="1" applyBorder="1" applyAlignment="1">
      <alignment horizontal="center" vertical="center" wrapText="1"/>
    </xf>
    <xf numFmtId="0" fontId="6" fillId="19" borderId="13" xfId="37" applyFont="1" applyFill="1" applyBorder="1" applyAlignment="1">
      <alignment horizontal="center" vertical="center" wrapText="1"/>
    </xf>
    <xf numFmtId="0" fontId="32" fillId="19" borderId="10" xfId="37" applyFont="1" applyFill="1" applyBorder="1" applyAlignment="1">
      <alignment horizontal="center" vertical="center" wrapText="1"/>
    </xf>
    <xf numFmtId="0" fontId="6" fillId="19" borderId="14" xfId="37" applyFont="1" applyFill="1" applyBorder="1" applyAlignment="1">
      <alignment horizontal="center" vertical="center" wrapText="1"/>
    </xf>
    <xf numFmtId="0" fontId="6" fillId="19" borderId="11" xfId="37" applyFont="1" applyFill="1" applyBorder="1" applyAlignment="1">
      <alignment horizontal="center" vertical="center" wrapText="1"/>
    </xf>
    <xf numFmtId="3" fontId="2" fillId="0" borderId="15" xfId="37" applyNumberFormat="1" applyFont="1" applyFill="1" applyBorder="1" applyAlignment="1">
      <alignment horizontal="right" vertical="center" wrapText="1"/>
    </xf>
    <xf numFmtId="3" fontId="2" fillId="0" borderId="11" xfId="37" applyNumberFormat="1" applyFont="1" applyFill="1" applyBorder="1" applyAlignment="1">
      <alignment horizontal="right" vertical="center" wrapText="1"/>
    </xf>
    <xf numFmtId="4" fontId="2" fillId="0" borderId="15" xfId="37" applyNumberFormat="1" applyFont="1" applyFill="1" applyBorder="1" applyAlignment="1">
      <alignment horizontal="right" vertical="center" wrapText="1"/>
    </xf>
    <xf numFmtId="4" fontId="2" fillId="0" borderId="11" xfId="37" applyNumberFormat="1" applyFont="1" applyFill="1" applyBorder="1" applyAlignment="1">
      <alignment horizontal="right" vertical="center" wrapText="1"/>
    </xf>
    <xf numFmtId="0" fontId="9" fillId="19" borderId="28" xfId="37" applyFont="1" applyFill="1" applyBorder="1" applyAlignment="1">
      <alignment horizontal="center" vertical="center" wrapText="1"/>
    </xf>
    <xf numFmtId="0" fontId="9" fillId="19" borderId="25" xfId="37" applyFont="1" applyFill="1" applyBorder="1" applyAlignment="1">
      <alignment horizontal="center" vertical="center" wrapText="1"/>
    </xf>
    <xf numFmtId="0" fontId="9" fillId="19" borderId="29" xfId="37" applyFont="1" applyFill="1" applyBorder="1" applyAlignment="1">
      <alignment horizontal="center" vertical="center" wrapText="1"/>
    </xf>
    <xf numFmtId="0" fontId="9" fillId="19" borderId="30" xfId="37" applyFont="1" applyFill="1" applyBorder="1" applyAlignment="1">
      <alignment horizontal="center" vertical="center" wrapText="1"/>
    </xf>
    <xf numFmtId="0" fontId="9" fillId="19" borderId="0" xfId="37" applyFont="1" applyFill="1" applyBorder="1" applyAlignment="1">
      <alignment horizontal="center" vertical="center" wrapText="1"/>
    </xf>
    <xf numFmtId="0" fontId="9" fillId="19" borderId="31" xfId="37" applyFont="1" applyFill="1" applyBorder="1" applyAlignment="1">
      <alignment horizontal="center" vertical="center" wrapText="1"/>
    </xf>
    <xf numFmtId="0" fontId="9" fillId="19" borderId="13" xfId="37" applyFont="1" applyFill="1" applyBorder="1" applyAlignment="1">
      <alignment horizontal="center" vertical="center" wrapText="1"/>
    </xf>
    <xf numFmtId="0" fontId="9" fillId="19" borderId="32" xfId="37" applyFont="1" applyFill="1" applyBorder="1" applyAlignment="1">
      <alignment horizontal="center" vertical="center" wrapText="1"/>
    </xf>
    <xf numFmtId="0" fontId="9" fillId="19" borderId="16" xfId="37" applyFont="1" applyFill="1" applyBorder="1" applyAlignment="1">
      <alignment horizontal="center" vertical="center" wrapText="1"/>
    </xf>
    <xf numFmtId="0" fontId="32" fillId="19" borderId="10" xfId="37" applyNumberFormat="1" applyFont="1" applyFill="1" applyBorder="1" applyAlignment="1">
      <alignment horizontal="center" vertical="center" wrapText="1"/>
    </xf>
    <xf numFmtId="0" fontId="5" fillId="19" borderId="26" xfId="37" applyFont="1" applyFill="1" applyBorder="1" applyAlignment="1">
      <alignment horizontal="center" vertical="center" wrapText="1"/>
    </xf>
    <xf numFmtId="0" fontId="5" fillId="19" borderId="27" xfId="37" applyFont="1" applyFill="1" applyBorder="1" applyAlignment="1">
      <alignment horizontal="center" vertical="center" wrapText="1"/>
    </xf>
    <xf numFmtId="0" fontId="5" fillId="19" borderId="12" xfId="37" applyFont="1" applyFill="1" applyBorder="1" applyAlignment="1">
      <alignment horizontal="center" vertical="center" wrapText="1"/>
    </xf>
    <xf numFmtId="0" fontId="6" fillId="20" borderId="14" xfId="37" applyFont="1" applyFill="1" applyBorder="1" applyAlignment="1">
      <alignment horizontal="left" vertical="center" wrapText="1"/>
    </xf>
    <xf numFmtId="0" fontId="6" fillId="20" borderId="11" xfId="37" applyFont="1" applyFill="1" applyBorder="1" applyAlignment="1">
      <alignment horizontal="left" vertical="center" wrapText="1"/>
    </xf>
    <xf numFmtId="0" fontId="6" fillId="19" borderId="29" xfId="37" applyFont="1" applyFill="1" applyBorder="1" applyAlignment="1">
      <alignment horizontal="center" vertical="center" wrapText="1"/>
    </xf>
    <xf numFmtId="0" fontId="6" fillId="19" borderId="31" xfId="37" applyFont="1" applyFill="1" applyBorder="1" applyAlignment="1">
      <alignment horizontal="center" vertical="center" wrapText="1"/>
    </xf>
    <xf numFmtId="0" fontId="6" fillId="19" borderId="16" xfId="37" applyFont="1" applyFill="1" applyBorder="1" applyAlignment="1">
      <alignment horizontal="center" vertical="center" wrapText="1"/>
    </xf>
    <xf numFmtId="0" fontId="6" fillId="19" borderId="25" xfId="37" applyFont="1" applyFill="1" applyBorder="1" applyAlignment="1">
      <alignment horizontal="center" vertical="center" wrapText="1"/>
    </xf>
    <xf numFmtId="0" fontId="6" fillId="19" borderId="0" xfId="37" applyFont="1" applyFill="1" applyBorder="1" applyAlignment="1">
      <alignment horizontal="center" vertical="center" wrapText="1"/>
    </xf>
    <xf numFmtId="0" fontId="6" fillId="19" borderId="32" xfId="37" applyFont="1" applyFill="1" applyBorder="1" applyAlignment="1">
      <alignment horizontal="center" vertical="center" wrapText="1"/>
    </xf>
    <xf numFmtId="0" fontId="4" fillId="0" borderId="0" xfId="37" applyFont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6" fillId="20" borderId="10" xfId="37" applyFont="1" applyFill="1" applyBorder="1" applyAlignment="1">
      <alignment horizontal="left" vertical="center" wrapText="1"/>
    </xf>
    <xf numFmtId="0" fontId="2" fillId="0" borderId="0" xfId="37" applyFont="1" applyBorder="1" applyAlignment="1">
      <alignment horizontal="left" vertical="center" wrapText="1"/>
    </xf>
    <xf numFmtId="1" fontId="2" fillId="0" borderId="10" xfId="37" applyNumberFormat="1" applyFont="1" applyBorder="1" applyAlignment="1">
      <alignment horizontal="left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0" fontId="2" fillId="20" borderId="10" xfId="37" applyFont="1" applyFill="1" applyBorder="1" applyAlignment="1">
      <alignment horizontal="left" vertical="center" wrapText="1"/>
    </xf>
    <xf numFmtId="0" fontId="2" fillId="0" borderId="10" xfId="37" applyFont="1" applyBorder="1" applyAlignment="1">
      <alignment horizontal="left" vertical="center" wrapText="1"/>
    </xf>
    <xf numFmtId="0" fontId="2" fillId="0" borderId="15" xfId="37" applyFont="1" applyBorder="1" applyAlignment="1">
      <alignment horizontal="center" vertical="center" wrapText="1"/>
    </xf>
    <xf numFmtId="0" fontId="2" fillId="0" borderId="14" xfId="37" applyFont="1" applyBorder="1" applyAlignment="1">
      <alignment horizontal="center" vertical="center" wrapText="1"/>
    </xf>
    <xf numFmtId="0" fontId="2" fillId="0" borderId="11" xfId="37" applyFont="1" applyBorder="1" applyAlignment="1">
      <alignment horizontal="center" vertical="center" wrapText="1"/>
    </xf>
    <xf numFmtId="0" fontId="2" fillId="20" borderId="15" xfId="37" applyFont="1" applyFill="1" applyBorder="1" applyAlignment="1">
      <alignment horizontal="center" vertical="center" wrapText="1"/>
    </xf>
    <xf numFmtId="0" fontId="2" fillId="20" borderId="14" xfId="37" applyFont="1" applyFill="1" applyBorder="1" applyAlignment="1">
      <alignment horizontal="center" vertical="center" wrapText="1"/>
    </xf>
    <xf numFmtId="0" fontId="2" fillId="20" borderId="11" xfId="37" applyFont="1" applyFill="1" applyBorder="1" applyAlignment="1">
      <alignment horizontal="center" vertical="center" wrapText="1"/>
    </xf>
    <xf numFmtId="0" fontId="3" fillId="19" borderId="10" xfId="37" applyFont="1" applyFill="1" applyBorder="1" applyAlignment="1">
      <alignment horizontal="center" vertical="center" wrapText="1"/>
    </xf>
    <xf numFmtId="0" fontId="3" fillId="0" borderId="10" xfId="37" applyFont="1" applyBorder="1" applyAlignment="1">
      <alignment horizontal="left" vertical="center" wrapText="1"/>
    </xf>
    <xf numFmtId="0" fontId="6" fillId="0" borderId="10" xfId="37" applyFont="1" applyBorder="1" applyAlignment="1">
      <alignment horizontal="left" vertical="center" wrapText="1"/>
    </xf>
    <xf numFmtId="0" fontId="6" fillId="0" borderId="14" xfId="37" applyFont="1" applyBorder="1" applyAlignment="1">
      <alignment horizontal="left" vertical="center" wrapText="1"/>
    </xf>
    <xf numFmtId="0" fontId="6" fillId="0" borderId="11" xfId="37" applyFont="1" applyBorder="1" applyAlignment="1">
      <alignment horizontal="left" vertical="center" wrapText="1"/>
    </xf>
    <xf numFmtId="0" fontId="3" fillId="19" borderId="17" xfId="37" applyFont="1" applyFill="1" applyBorder="1" applyAlignment="1">
      <alignment horizontal="center" vertical="center" wrapText="1"/>
    </xf>
    <xf numFmtId="0" fontId="9" fillId="19" borderId="19" xfId="37" applyFont="1" applyFill="1" applyBorder="1" applyAlignment="1">
      <alignment horizontal="center" vertical="center" wrapText="1"/>
    </xf>
    <xf numFmtId="0" fontId="3" fillId="0" borderId="0" xfId="37" applyFont="1" applyBorder="1" applyAlignment="1">
      <alignment horizontal="left" vertical="center" wrapText="1"/>
    </xf>
    <xf numFmtId="0" fontId="3" fillId="0" borderId="31" xfId="37" applyFont="1" applyBorder="1" applyAlignment="1">
      <alignment horizontal="left" vertical="center" wrapText="1"/>
    </xf>
    <xf numFmtId="0" fontId="6" fillId="19" borderId="26" xfId="37" applyFont="1" applyFill="1" applyBorder="1" applyAlignment="1">
      <alignment horizontal="center" vertical="center" wrapText="1"/>
    </xf>
    <xf numFmtId="0" fontId="6" fillId="19" borderId="27" xfId="37" applyFont="1" applyFill="1" applyBorder="1" applyAlignment="1">
      <alignment horizontal="center" vertical="center" wrapText="1"/>
    </xf>
    <xf numFmtId="0" fontId="6" fillId="19" borderId="12" xfId="37" applyFont="1" applyFill="1" applyBorder="1" applyAlignment="1">
      <alignment horizontal="center" vertical="center" wrapText="1"/>
    </xf>
    <xf numFmtId="0" fontId="6" fillId="19" borderId="10" xfId="37" applyNumberFormat="1" applyFont="1" applyFill="1" applyBorder="1" applyAlignment="1">
      <alignment horizontal="center" vertical="center" wrapText="1"/>
    </xf>
    <xf numFmtId="0" fontId="9" fillId="19" borderId="14" xfId="37" applyFont="1" applyFill="1" applyBorder="1" applyAlignment="1">
      <alignment horizontal="center" vertical="center" wrapText="1"/>
    </xf>
    <xf numFmtId="0" fontId="9" fillId="19" borderId="11" xfId="37" applyFont="1" applyFill="1" applyBorder="1" applyAlignment="1">
      <alignment horizontal="center" vertical="center" wrapText="1"/>
    </xf>
    <xf numFmtId="0" fontId="9" fillId="19" borderId="33" xfId="37" applyFont="1" applyFill="1" applyBorder="1" applyAlignment="1">
      <alignment horizontal="center" vertical="center" wrapText="1"/>
    </xf>
    <xf numFmtId="0" fontId="6" fillId="19" borderId="34" xfId="37" applyFont="1" applyFill="1" applyBorder="1" applyAlignment="1">
      <alignment horizontal="center" vertical="center" wrapText="1"/>
    </xf>
    <xf numFmtId="0" fontId="6" fillId="19" borderId="35" xfId="37" applyFont="1" applyFill="1" applyBorder="1" applyAlignment="1">
      <alignment horizontal="center" vertical="center" wrapText="1"/>
    </xf>
    <xf numFmtId="0" fontId="6" fillId="19" borderId="18" xfId="37" applyFont="1" applyFill="1" applyBorder="1" applyAlignment="1">
      <alignment horizontal="center" vertical="center" wrapText="1"/>
    </xf>
    <xf numFmtId="0" fontId="6" fillId="20" borderId="23" xfId="37" applyFont="1" applyFill="1" applyBorder="1" applyAlignment="1">
      <alignment horizontal="left" vertical="center" wrapTex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rmalny_Zeszyt1" xfId="37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96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6" width="11.42578125" style="2" customWidth="1"/>
    <col min="7" max="7" width="12.140625" style="2" customWidth="1"/>
    <col min="8" max="8" width="12" style="2" customWidth="1"/>
    <col min="9" max="9" width="11.7109375" style="2" customWidth="1"/>
    <col min="10" max="10" width="12.85546875" style="2" customWidth="1"/>
    <col min="11" max="11" width="12.140625" style="2" customWidth="1"/>
    <col min="12" max="12" width="11.42578125" style="2" customWidth="1"/>
    <col min="13" max="13" width="10" style="2" customWidth="1"/>
    <col min="14" max="14" width="10.28515625" style="2" customWidth="1"/>
    <col min="15" max="16" width="11.140625" style="2" customWidth="1"/>
    <col min="17" max="16384" width="9.140625" style="2"/>
  </cols>
  <sheetData>
    <row r="1" spans="1:17" ht="75" customHeight="1" x14ac:dyDescent="0.2">
      <c r="A1" s="64" t="str">
        <f>CONCATENATE("Informacja z wykonania budżetów województw za  ",$C$93," ",$B$94," roku    ",$B$96,"")</f>
        <v xml:space="preserve">Informacja z wykonania budżetów województw za  II Kwartały 2023 roku    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68" t="s">
        <v>134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5" spans="1:17" ht="13.5" customHeight="1" x14ac:dyDescent="0.2">
      <c r="B5" s="39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38"/>
      <c r="O5" s="38"/>
      <c r="P5" s="38"/>
      <c r="Q5" s="38"/>
    </row>
    <row r="6" spans="1:17" ht="13.5" customHeight="1" x14ac:dyDescent="0.2">
      <c r="A6" s="69" t="s">
        <v>0</v>
      </c>
      <c r="B6" s="74" t="s">
        <v>135</v>
      </c>
      <c r="C6" s="78" t="s">
        <v>139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80"/>
      <c r="O6" s="78" t="s">
        <v>138</v>
      </c>
      <c r="P6" s="79"/>
      <c r="Q6" s="80"/>
    </row>
    <row r="7" spans="1:17" ht="13.5" customHeight="1" x14ac:dyDescent="0.2">
      <c r="A7" s="70"/>
      <c r="B7" s="72"/>
      <c r="C7" s="73" t="s">
        <v>136</v>
      </c>
      <c r="D7" s="73" t="s">
        <v>149</v>
      </c>
      <c r="E7" s="73" t="s">
        <v>140</v>
      </c>
      <c r="F7" s="73" t="s">
        <v>141</v>
      </c>
      <c r="G7" s="73" t="s">
        <v>76</v>
      </c>
      <c r="H7" s="73" t="s">
        <v>77</v>
      </c>
      <c r="I7" s="75" t="s">
        <v>137</v>
      </c>
      <c r="J7" s="73" t="s">
        <v>59</v>
      </c>
      <c r="K7" s="73" t="s">
        <v>60</v>
      </c>
      <c r="L7" s="73" t="s">
        <v>61</v>
      </c>
      <c r="M7" s="73" t="s">
        <v>62</v>
      </c>
      <c r="N7" s="72" t="s">
        <v>63</v>
      </c>
      <c r="O7" s="63" t="s">
        <v>64</v>
      </c>
      <c r="P7" s="63" t="s">
        <v>65</v>
      </c>
      <c r="Q7" s="63" t="s">
        <v>66</v>
      </c>
    </row>
    <row r="8" spans="1:17" ht="13.5" customHeight="1" x14ac:dyDescent="0.2">
      <c r="A8" s="70"/>
      <c r="B8" s="72"/>
      <c r="C8" s="63"/>
      <c r="D8" s="63"/>
      <c r="E8" s="63"/>
      <c r="F8" s="63"/>
      <c r="G8" s="63"/>
      <c r="H8" s="63"/>
      <c r="I8" s="75"/>
      <c r="J8" s="63"/>
      <c r="K8" s="63"/>
      <c r="L8" s="63"/>
      <c r="M8" s="63"/>
      <c r="N8" s="72"/>
      <c r="O8" s="63"/>
      <c r="P8" s="63"/>
      <c r="Q8" s="63"/>
    </row>
    <row r="9" spans="1:17" ht="11.25" customHeight="1" x14ac:dyDescent="0.2">
      <c r="A9" s="70"/>
      <c r="B9" s="72"/>
      <c r="C9" s="63"/>
      <c r="D9" s="63"/>
      <c r="E9" s="63"/>
      <c r="F9" s="63"/>
      <c r="G9" s="63"/>
      <c r="H9" s="63"/>
      <c r="I9" s="75"/>
      <c r="J9" s="63"/>
      <c r="K9" s="63"/>
      <c r="L9" s="63"/>
      <c r="M9" s="63"/>
      <c r="N9" s="72"/>
      <c r="O9" s="63"/>
      <c r="P9" s="63"/>
      <c r="Q9" s="63"/>
    </row>
    <row r="10" spans="1:17" ht="27.75" customHeight="1" x14ac:dyDescent="0.2">
      <c r="A10" s="71"/>
      <c r="B10" s="73"/>
      <c r="C10" s="63"/>
      <c r="D10" s="63"/>
      <c r="E10" s="63"/>
      <c r="F10" s="63"/>
      <c r="G10" s="63"/>
      <c r="H10" s="63"/>
      <c r="I10" s="76"/>
      <c r="J10" s="63"/>
      <c r="K10" s="63"/>
      <c r="L10" s="63"/>
      <c r="M10" s="63"/>
      <c r="N10" s="73"/>
      <c r="O10" s="63"/>
      <c r="P10" s="63"/>
      <c r="Q10" s="63"/>
    </row>
    <row r="11" spans="1:17" ht="15" customHeight="1" x14ac:dyDescent="0.2">
      <c r="A11" s="41">
        <v>1</v>
      </c>
      <c r="B11" s="41">
        <v>2</v>
      </c>
      <c r="C11" s="41">
        <v>3</v>
      </c>
      <c r="D11" s="41">
        <v>4</v>
      </c>
      <c r="E11" s="41">
        <v>5</v>
      </c>
      <c r="F11" s="41">
        <v>6</v>
      </c>
      <c r="G11" s="41">
        <v>7</v>
      </c>
      <c r="H11" s="41">
        <v>8</v>
      </c>
      <c r="I11" s="41">
        <v>9</v>
      </c>
      <c r="J11" s="41">
        <v>10</v>
      </c>
      <c r="K11" s="41">
        <v>11</v>
      </c>
      <c r="L11" s="41">
        <v>12</v>
      </c>
      <c r="M11" s="41">
        <v>13</v>
      </c>
      <c r="N11" s="41">
        <v>14</v>
      </c>
      <c r="O11" s="41">
        <v>15</v>
      </c>
      <c r="P11" s="41">
        <v>16</v>
      </c>
      <c r="Q11" s="41">
        <v>17</v>
      </c>
    </row>
    <row r="12" spans="1:17" ht="13.5" customHeight="1" x14ac:dyDescent="0.2">
      <c r="A12" s="41"/>
      <c r="B12" s="55" t="s">
        <v>152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7"/>
    </row>
    <row r="13" spans="1:17" ht="43.5" customHeight="1" x14ac:dyDescent="0.2">
      <c r="A13" s="48" t="s">
        <v>153</v>
      </c>
      <c r="B13" s="49">
        <f>4783452876.38</f>
        <v>4783452876.3800001</v>
      </c>
      <c r="C13" s="49">
        <f>2817548770.58</f>
        <v>2817548770.5799999</v>
      </c>
      <c r="D13" s="49">
        <f>172408608.29</f>
        <v>172408608.28999999</v>
      </c>
      <c r="E13" s="49">
        <f>170000000</f>
        <v>170000000</v>
      </c>
      <c r="F13" s="49">
        <f>0</f>
        <v>0</v>
      </c>
      <c r="G13" s="49">
        <f>2408169.3</f>
        <v>2408169.2999999998</v>
      </c>
      <c r="H13" s="49">
        <f>438.99</f>
        <v>438.99</v>
      </c>
      <c r="I13" s="49">
        <f>0</f>
        <v>0</v>
      </c>
      <c r="J13" s="49">
        <f>2450404936.97</f>
        <v>2450404936.9699998</v>
      </c>
      <c r="K13" s="49">
        <f>0</f>
        <v>0</v>
      </c>
      <c r="L13" s="49">
        <f>193644074.74</f>
        <v>193644074.74000001</v>
      </c>
      <c r="M13" s="49">
        <f>1077573.05</f>
        <v>1077573.05</v>
      </c>
      <c r="N13" s="49">
        <f>13577.53</f>
        <v>13577.53</v>
      </c>
      <c r="O13" s="49">
        <f>1965904105.8</f>
        <v>1965904105.8</v>
      </c>
      <c r="P13" s="49">
        <f>1965904105.8</f>
        <v>1965904105.8</v>
      </c>
      <c r="Q13" s="49">
        <f>0</f>
        <v>0</v>
      </c>
    </row>
    <row r="14" spans="1:17" ht="28.5" customHeight="1" x14ac:dyDescent="0.2">
      <c r="A14" s="48" t="s">
        <v>108</v>
      </c>
      <c r="B14" s="49">
        <f>229950000</f>
        <v>229950000</v>
      </c>
      <c r="C14" s="49">
        <f>229950000</f>
        <v>229950000</v>
      </c>
      <c r="D14" s="49">
        <f>0</f>
        <v>0</v>
      </c>
      <c r="E14" s="49">
        <f>0</f>
        <v>0</v>
      </c>
      <c r="F14" s="49">
        <f>0</f>
        <v>0</v>
      </c>
      <c r="G14" s="49">
        <f>0</f>
        <v>0</v>
      </c>
      <c r="H14" s="49">
        <f>0</f>
        <v>0</v>
      </c>
      <c r="I14" s="49">
        <f>0</f>
        <v>0</v>
      </c>
      <c r="J14" s="49">
        <f>229950000</f>
        <v>229950000</v>
      </c>
      <c r="K14" s="49">
        <f>0</f>
        <v>0</v>
      </c>
      <c r="L14" s="49">
        <f>0</f>
        <v>0</v>
      </c>
      <c r="M14" s="49">
        <f>0</f>
        <v>0</v>
      </c>
      <c r="N14" s="49">
        <f>0</f>
        <v>0</v>
      </c>
      <c r="O14" s="49">
        <f>0</f>
        <v>0</v>
      </c>
      <c r="P14" s="49">
        <f>0</f>
        <v>0</v>
      </c>
      <c r="Q14" s="49">
        <f>0</f>
        <v>0</v>
      </c>
    </row>
    <row r="15" spans="1:17" ht="22.5" customHeight="1" x14ac:dyDescent="0.2">
      <c r="A15" s="46" t="s">
        <v>109</v>
      </c>
      <c r="B15" s="50">
        <f>0</f>
        <v>0</v>
      </c>
      <c r="C15" s="50">
        <f>0</f>
        <v>0</v>
      </c>
      <c r="D15" s="50">
        <f>0</f>
        <v>0</v>
      </c>
      <c r="E15" s="50">
        <f>0</f>
        <v>0</v>
      </c>
      <c r="F15" s="50">
        <f>0</f>
        <v>0</v>
      </c>
      <c r="G15" s="50">
        <f>0</f>
        <v>0</v>
      </c>
      <c r="H15" s="50">
        <f>0</f>
        <v>0</v>
      </c>
      <c r="I15" s="50">
        <f>0</f>
        <v>0</v>
      </c>
      <c r="J15" s="50">
        <f>0</f>
        <v>0</v>
      </c>
      <c r="K15" s="50">
        <f>0</f>
        <v>0</v>
      </c>
      <c r="L15" s="50">
        <f>0</f>
        <v>0</v>
      </c>
      <c r="M15" s="50">
        <f>0</f>
        <v>0</v>
      </c>
      <c r="N15" s="50">
        <f>0</f>
        <v>0</v>
      </c>
      <c r="O15" s="50">
        <f>0</f>
        <v>0</v>
      </c>
      <c r="P15" s="50">
        <f>0</f>
        <v>0</v>
      </c>
      <c r="Q15" s="50">
        <f>0</f>
        <v>0</v>
      </c>
    </row>
    <row r="16" spans="1:17" ht="22.5" customHeight="1" x14ac:dyDescent="0.2">
      <c r="A16" s="46" t="s">
        <v>110</v>
      </c>
      <c r="B16" s="50">
        <f>229950000</f>
        <v>229950000</v>
      </c>
      <c r="C16" s="50">
        <f>229950000</f>
        <v>229950000</v>
      </c>
      <c r="D16" s="50">
        <f>0</f>
        <v>0</v>
      </c>
      <c r="E16" s="50">
        <f>0</f>
        <v>0</v>
      </c>
      <c r="F16" s="50">
        <f>0</f>
        <v>0</v>
      </c>
      <c r="G16" s="50">
        <f>0</f>
        <v>0</v>
      </c>
      <c r="H16" s="50">
        <f>0</f>
        <v>0</v>
      </c>
      <c r="I16" s="50">
        <f>0</f>
        <v>0</v>
      </c>
      <c r="J16" s="50">
        <f>229950000</f>
        <v>229950000</v>
      </c>
      <c r="K16" s="50">
        <f>0</f>
        <v>0</v>
      </c>
      <c r="L16" s="50">
        <f>0</f>
        <v>0</v>
      </c>
      <c r="M16" s="50">
        <f>0</f>
        <v>0</v>
      </c>
      <c r="N16" s="50">
        <f>0</f>
        <v>0</v>
      </c>
      <c r="O16" s="50">
        <f>0</f>
        <v>0</v>
      </c>
      <c r="P16" s="50">
        <f>0</f>
        <v>0</v>
      </c>
      <c r="Q16" s="50">
        <f>0</f>
        <v>0</v>
      </c>
    </row>
    <row r="17" spans="1:17" ht="36" customHeight="1" x14ac:dyDescent="0.2">
      <c r="A17" s="48" t="s">
        <v>111</v>
      </c>
      <c r="B17" s="49">
        <f>4552320467.07</f>
        <v>4552320467.0699997</v>
      </c>
      <c r="C17" s="49">
        <f>2586416361.27</f>
        <v>2586416361.27</v>
      </c>
      <c r="D17" s="49">
        <f>172379324.3</f>
        <v>172379324.30000001</v>
      </c>
      <c r="E17" s="49">
        <f>170000000</f>
        <v>170000000</v>
      </c>
      <c r="F17" s="49">
        <f>0</f>
        <v>0</v>
      </c>
      <c r="G17" s="49">
        <f>2379324.3</f>
        <v>2379324.2999999998</v>
      </c>
      <c r="H17" s="49">
        <f>0</f>
        <v>0</v>
      </c>
      <c r="I17" s="49">
        <f>0</f>
        <v>0</v>
      </c>
      <c r="J17" s="49">
        <f>2220454936.97</f>
        <v>2220454936.9699998</v>
      </c>
      <c r="K17" s="49">
        <f>0</f>
        <v>0</v>
      </c>
      <c r="L17" s="49">
        <f>193582100</f>
        <v>193582100</v>
      </c>
      <c r="M17" s="49">
        <f>0</f>
        <v>0</v>
      </c>
      <c r="N17" s="49">
        <f>0</f>
        <v>0</v>
      </c>
      <c r="O17" s="49">
        <f>1965904105.8</f>
        <v>1965904105.8</v>
      </c>
      <c r="P17" s="49">
        <f>1965904105.8</f>
        <v>1965904105.8</v>
      </c>
      <c r="Q17" s="49">
        <f>0</f>
        <v>0</v>
      </c>
    </row>
    <row r="18" spans="1:17" ht="22.5" customHeight="1" x14ac:dyDescent="0.2">
      <c r="A18" s="46" t="s">
        <v>112</v>
      </c>
      <c r="B18" s="50">
        <f>0</f>
        <v>0</v>
      </c>
      <c r="C18" s="50">
        <f>0</f>
        <v>0</v>
      </c>
      <c r="D18" s="50">
        <f>0</f>
        <v>0</v>
      </c>
      <c r="E18" s="50">
        <f>0</f>
        <v>0</v>
      </c>
      <c r="F18" s="50">
        <f>0</f>
        <v>0</v>
      </c>
      <c r="G18" s="50">
        <f>0</f>
        <v>0</v>
      </c>
      <c r="H18" s="50">
        <f>0</f>
        <v>0</v>
      </c>
      <c r="I18" s="50">
        <f>0</f>
        <v>0</v>
      </c>
      <c r="J18" s="50">
        <f>0</f>
        <v>0</v>
      </c>
      <c r="K18" s="50">
        <f>0</f>
        <v>0</v>
      </c>
      <c r="L18" s="50">
        <f>0</f>
        <v>0</v>
      </c>
      <c r="M18" s="50">
        <f>0</f>
        <v>0</v>
      </c>
      <c r="N18" s="50">
        <f>0</f>
        <v>0</v>
      </c>
      <c r="O18" s="50">
        <f>0</f>
        <v>0</v>
      </c>
      <c r="P18" s="50">
        <f>0</f>
        <v>0</v>
      </c>
      <c r="Q18" s="50">
        <f>0</f>
        <v>0</v>
      </c>
    </row>
    <row r="19" spans="1:17" ht="22.5" customHeight="1" x14ac:dyDescent="0.2">
      <c r="A19" s="46" t="s">
        <v>113</v>
      </c>
      <c r="B19" s="50">
        <f>4552320467.07</f>
        <v>4552320467.0699997</v>
      </c>
      <c r="C19" s="50">
        <f>2586416361.27</f>
        <v>2586416361.27</v>
      </c>
      <c r="D19" s="50">
        <f>172379324.3</f>
        <v>172379324.30000001</v>
      </c>
      <c r="E19" s="50">
        <f>170000000</f>
        <v>170000000</v>
      </c>
      <c r="F19" s="50">
        <f>0</f>
        <v>0</v>
      </c>
      <c r="G19" s="50">
        <f>2379324.3</f>
        <v>2379324.2999999998</v>
      </c>
      <c r="H19" s="50">
        <f>0</f>
        <v>0</v>
      </c>
      <c r="I19" s="50">
        <f>0</f>
        <v>0</v>
      </c>
      <c r="J19" s="50">
        <f>2220454936.97</f>
        <v>2220454936.9699998</v>
      </c>
      <c r="K19" s="50">
        <f>0</f>
        <v>0</v>
      </c>
      <c r="L19" s="50">
        <f>193582100</f>
        <v>193582100</v>
      </c>
      <c r="M19" s="50">
        <f>0</f>
        <v>0</v>
      </c>
      <c r="N19" s="50">
        <f>0</f>
        <v>0</v>
      </c>
      <c r="O19" s="50">
        <f>1965904105.8</f>
        <v>1965904105.8</v>
      </c>
      <c r="P19" s="50">
        <f>1965904105.8</f>
        <v>1965904105.8</v>
      </c>
      <c r="Q19" s="50">
        <f>0</f>
        <v>0</v>
      </c>
    </row>
    <row r="20" spans="1:17" ht="36" customHeight="1" x14ac:dyDescent="0.2">
      <c r="A20" s="48" t="s">
        <v>114</v>
      </c>
      <c r="B20" s="49">
        <f>0</f>
        <v>0</v>
      </c>
      <c r="C20" s="49">
        <f>0</f>
        <v>0</v>
      </c>
      <c r="D20" s="49">
        <f>0</f>
        <v>0</v>
      </c>
      <c r="E20" s="49">
        <f>0</f>
        <v>0</v>
      </c>
      <c r="F20" s="49">
        <f>0</f>
        <v>0</v>
      </c>
      <c r="G20" s="49">
        <f>0</f>
        <v>0</v>
      </c>
      <c r="H20" s="49">
        <f>0</f>
        <v>0</v>
      </c>
      <c r="I20" s="49">
        <f>0</f>
        <v>0</v>
      </c>
      <c r="J20" s="49">
        <f>0</f>
        <v>0</v>
      </c>
      <c r="K20" s="49">
        <f>0</f>
        <v>0</v>
      </c>
      <c r="L20" s="49">
        <f>0</f>
        <v>0</v>
      </c>
      <c r="M20" s="49">
        <f>0</f>
        <v>0</v>
      </c>
      <c r="N20" s="49">
        <f>0</f>
        <v>0</v>
      </c>
      <c r="O20" s="49">
        <f>0</f>
        <v>0</v>
      </c>
      <c r="P20" s="49">
        <f>0</f>
        <v>0</v>
      </c>
      <c r="Q20" s="49">
        <f>0</f>
        <v>0</v>
      </c>
    </row>
    <row r="21" spans="1:17" ht="36" customHeight="1" x14ac:dyDescent="0.2">
      <c r="A21" s="48" t="s">
        <v>115</v>
      </c>
      <c r="B21" s="49">
        <f>1182409.31</f>
        <v>1182409.31</v>
      </c>
      <c r="C21" s="49">
        <f>1182409.31</f>
        <v>1182409.31</v>
      </c>
      <c r="D21" s="49">
        <f>29283.99</f>
        <v>29283.99</v>
      </c>
      <c r="E21" s="49">
        <f>0</f>
        <v>0</v>
      </c>
      <c r="F21" s="49">
        <f>0</f>
        <v>0</v>
      </c>
      <c r="G21" s="49">
        <f>28845</f>
        <v>28845</v>
      </c>
      <c r="H21" s="49">
        <f>438.99</f>
        <v>438.99</v>
      </c>
      <c r="I21" s="49">
        <f>0</f>
        <v>0</v>
      </c>
      <c r="J21" s="49">
        <f>0</f>
        <v>0</v>
      </c>
      <c r="K21" s="49">
        <f>0</f>
        <v>0</v>
      </c>
      <c r="L21" s="49">
        <f>61974.74</f>
        <v>61974.74</v>
      </c>
      <c r="M21" s="49">
        <f>1077573.05</f>
        <v>1077573.05</v>
      </c>
      <c r="N21" s="49">
        <f>13577.53</f>
        <v>13577.53</v>
      </c>
      <c r="O21" s="49">
        <f>0</f>
        <v>0</v>
      </c>
      <c r="P21" s="49">
        <f>0</f>
        <v>0</v>
      </c>
      <c r="Q21" s="49">
        <f>0</f>
        <v>0</v>
      </c>
    </row>
    <row r="22" spans="1:17" ht="30" customHeight="1" x14ac:dyDescent="0.2">
      <c r="A22" s="46" t="s">
        <v>116</v>
      </c>
      <c r="B22" s="50">
        <f>194299.24</f>
        <v>194299.24</v>
      </c>
      <c r="C22" s="50">
        <f>194299.24</f>
        <v>194299.24</v>
      </c>
      <c r="D22" s="50">
        <f>28845</f>
        <v>28845</v>
      </c>
      <c r="E22" s="50">
        <f>0</f>
        <v>0</v>
      </c>
      <c r="F22" s="50">
        <f>0</f>
        <v>0</v>
      </c>
      <c r="G22" s="50">
        <f>28845</f>
        <v>28845</v>
      </c>
      <c r="H22" s="50">
        <f>0</f>
        <v>0</v>
      </c>
      <c r="I22" s="50">
        <f>0</f>
        <v>0</v>
      </c>
      <c r="J22" s="50">
        <f>0</f>
        <v>0</v>
      </c>
      <c r="K22" s="50">
        <f>0</f>
        <v>0</v>
      </c>
      <c r="L22" s="50">
        <f>61974.74</f>
        <v>61974.74</v>
      </c>
      <c r="M22" s="50">
        <f>89901.97</f>
        <v>89901.97</v>
      </c>
      <c r="N22" s="50">
        <f>13577.53</f>
        <v>13577.53</v>
      </c>
      <c r="O22" s="50">
        <f>0</f>
        <v>0</v>
      </c>
      <c r="P22" s="50">
        <f>0</f>
        <v>0</v>
      </c>
      <c r="Q22" s="50">
        <f>0</f>
        <v>0</v>
      </c>
    </row>
    <row r="23" spans="1:17" ht="28.5" customHeight="1" x14ac:dyDescent="0.2">
      <c r="A23" s="46" t="s">
        <v>117</v>
      </c>
      <c r="B23" s="50">
        <f>988110.07</f>
        <v>988110.07</v>
      </c>
      <c r="C23" s="50">
        <f>988110.07</f>
        <v>988110.07</v>
      </c>
      <c r="D23" s="50">
        <f>438.99</f>
        <v>438.99</v>
      </c>
      <c r="E23" s="50">
        <f>0</f>
        <v>0</v>
      </c>
      <c r="F23" s="50">
        <f>0</f>
        <v>0</v>
      </c>
      <c r="G23" s="50">
        <f>0</f>
        <v>0</v>
      </c>
      <c r="H23" s="50">
        <f>438.99</f>
        <v>438.99</v>
      </c>
      <c r="I23" s="50">
        <f>0</f>
        <v>0</v>
      </c>
      <c r="J23" s="50">
        <f>0</f>
        <v>0</v>
      </c>
      <c r="K23" s="50">
        <f>0</f>
        <v>0</v>
      </c>
      <c r="L23" s="50">
        <f>0</f>
        <v>0</v>
      </c>
      <c r="M23" s="50">
        <f>987671.08</f>
        <v>987671.08</v>
      </c>
      <c r="N23" s="50">
        <f>0</f>
        <v>0</v>
      </c>
      <c r="O23" s="50">
        <f>0</f>
        <v>0</v>
      </c>
      <c r="P23" s="50">
        <f>0</f>
        <v>0</v>
      </c>
      <c r="Q23" s="50">
        <f>0</f>
        <v>0</v>
      </c>
    </row>
    <row r="24" spans="1:17" ht="19.5" customHeight="1" x14ac:dyDescent="0.2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</row>
    <row r="25" spans="1:17" ht="19.5" customHeight="1" x14ac:dyDescent="0.2">
      <c r="A25" s="44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</row>
    <row r="26" spans="1:17" ht="19.5" customHeight="1" x14ac:dyDescent="0.2">
      <c r="A26" s="44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</row>
    <row r="27" spans="1:17" ht="19.5" customHeight="1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</row>
    <row r="28" spans="1:17" ht="19.5" customHeight="1" x14ac:dyDescent="0.2">
      <c r="A28" s="44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</row>
    <row r="29" spans="1:17" ht="45.75" customHeight="1" x14ac:dyDescent="0.2">
      <c r="A29" s="64" t="str">
        <f>CONCATENATE("Informacja z wykonania budżetów województw za  ",$C$93," ",$B$94," roku    ",$B$96,"")</f>
        <v xml:space="preserve">Informacja z wykonania budżetów województw za  II Kwartały 2023 roku    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</row>
    <row r="31" spans="1:17" ht="13.5" customHeight="1" x14ac:dyDescent="0.2">
      <c r="A31" s="68" t="s">
        <v>52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</row>
    <row r="33" spans="1:17" ht="13.5" customHeight="1" x14ac:dyDescent="0.2">
      <c r="A33" s="69" t="s">
        <v>0</v>
      </c>
      <c r="B33" s="74" t="s">
        <v>53</v>
      </c>
      <c r="C33" s="65" t="s">
        <v>55</v>
      </c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7"/>
      <c r="O33" s="65" t="s">
        <v>73</v>
      </c>
      <c r="P33" s="66"/>
      <c r="Q33" s="67"/>
    </row>
    <row r="34" spans="1:17" ht="13.5" customHeight="1" x14ac:dyDescent="0.2">
      <c r="A34" s="70"/>
      <c r="B34" s="72"/>
      <c r="C34" s="72" t="s">
        <v>54</v>
      </c>
      <c r="D34" s="63" t="s">
        <v>57</v>
      </c>
      <c r="E34" s="63" t="s">
        <v>74</v>
      </c>
      <c r="F34" s="63" t="s">
        <v>75</v>
      </c>
      <c r="G34" s="63" t="s">
        <v>145</v>
      </c>
      <c r="H34" s="63" t="s">
        <v>77</v>
      </c>
      <c r="I34" s="63" t="s">
        <v>4</v>
      </c>
      <c r="J34" s="63" t="s">
        <v>59</v>
      </c>
      <c r="K34" s="63" t="s">
        <v>60</v>
      </c>
      <c r="L34" s="63" t="s">
        <v>61</v>
      </c>
      <c r="M34" s="63" t="s">
        <v>62</v>
      </c>
      <c r="N34" s="103" t="s">
        <v>63</v>
      </c>
      <c r="O34" s="63" t="s">
        <v>64</v>
      </c>
      <c r="P34" s="63" t="s">
        <v>65</v>
      </c>
      <c r="Q34" s="74" t="s">
        <v>66</v>
      </c>
    </row>
    <row r="35" spans="1:17" ht="13.5" customHeight="1" x14ac:dyDescent="0.2">
      <c r="A35" s="70"/>
      <c r="B35" s="72"/>
      <c r="C35" s="72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103"/>
      <c r="O35" s="63"/>
      <c r="P35" s="63"/>
      <c r="Q35" s="72"/>
    </row>
    <row r="36" spans="1:17" ht="11.25" customHeight="1" x14ac:dyDescent="0.2">
      <c r="A36" s="70"/>
      <c r="B36" s="72"/>
      <c r="C36" s="72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103"/>
      <c r="O36" s="63"/>
      <c r="P36" s="63"/>
      <c r="Q36" s="72"/>
    </row>
    <row r="37" spans="1:17" ht="11.25" customHeight="1" x14ac:dyDescent="0.2">
      <c r="A37" s="71"/>
      <c r="B37" s="73"/>
      <c r="C37" s="7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103"/>
      <c r="O37" s="63"/>
      <c r="P37" s="63"/>
      <c r="Q37" s="73"/>
    </row>
    <row r="38" spans="1:17" ht="11.25" customHeight="1" x14ac:dyDescent="0.2">
      <c r="A38" s="41">
        <v>1</v>
      </c>
      <c r="B38" s="41">
        <v>2</v>
      </c>
      <c r="C38" s="41">
        <v>3</v>
      </c>
      <c r="D38" s="41">
        <v>4</v>
      </c>
      <c r="E38" s="41">
        <v>5</v>
      </c>
      <c r="F38" s="41">
        <v>6</v>
      </c>
      <c r="G38" s="41">
        <v>7</v>
      </c>
      <c r="H38" s="41">
        <v>8</v>
      </c>
      <c r="I38" s="41">
        <v>9</v>
      </c>
      <c r="J38" s="41">
        <v>10</v>
      </c>
      <c r="K38" s="41">
        <v>11</v>
      </c>
      <c r="L38" s="41">
        <v>12</v>
      </c>
      <c r="M38" s="41">
        <v>13</v>
      </c>
      <c r="N38" s="41">
        <v>14</v>
      </c>
      <c r="O38" s="41">
        <v>15</v>
      </c>
      <c r="P38" s="41">
        <v>16</v>
      </c>
      <c r="Q38" s="41">
        <v>17</v>
      </c>
    </row>
    <row r="39" spans="1:17" ht="13.5" customHeight="1" x14ac:dyDescent="0.2">
      <c r="A39" s="41"/>
      <c r="B39" s="55" t="s">
        <v>152</v>
      </c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7"/>
    </row>
    <row r="40" spans="1:17" ht="30.75" customHeight="1" x14ac:dyDescent="0.2">
      <c r="A40" s="53" t="s">
        <v>92</v>
      </c>
      <c r="B40" s="51">
        <f>0</f>
        <v>0</v>
      </c>
      <c r="C40" s="51">
        <f>0</f>
        <v>0</v>
      </c>
      <c r="D40" s="51">
        <f>0</f>
        <v>0</v>
      </c>
      <c r="E40" s="51">
        <f>0</f>
        <v>0</v>
      </c>
      <c r="F40" s="51">
        <f>0</f>
        <v>0</v>
      </c>
      <c r="G40" s="51">
        <f>0</f>
        <v>0</v>
      </c>
      <c r="H40" s="51">
        <f>0</f>
        <v>0</v>
      </c>
      <c r="I40" s="51">
        <f>0</f>
        <v>0</v>
      </c>
      <c r="J40" s="51">
        <f>0</f>
        <v>0</v>
      </c>
      <c r="K40" s="51">
        <f>0</f>
        <v>0</v>
      </c>
      <c r="L40" s="51">
        <f>0</f>
        <v>0</v>
      </c>
      <c r="M40" s="51">
        <f>0</f>
        <v>0</v>
      </c>
      <c r="N40" s="51">
        <f>0</f>
        <v>0</v>
      </c>
      <c r="O40" s="51">
        <f>0</f>
        <v>0</v>
      </c>
      <c r="P40" s="51">
        <f>0</f>
        <v>0</v>
      </c>
      <c r="Q40" s="51">
        <f>0</f>
        <v>0</v>
      </c>
    </row>
    <row r="41" spans="1:17" ht="24" customHeight="1" x14ac:dyDescent="0.2">
      <c r="A41" s="47" t="s">
        <v>80</v>
      </c>
      <c r="B41" s="52">
        <f>0</f>
        <v>0</v>
      </c>
      <c r="C41" s="52">
        <f>0</f>
        <v>0</v>
      </c>
      <c r="D41" s="52">
        <f>0</f>
        <v>0</v>
      </c>
      <c r="E41" s="52">
        <f>0</f>
        <v>0</v>
      </c>
      <c r="F41" s="52">
        <f>0</f>
        <v>0</v>
      </c>
      <c r="G41" s="52">
        <f>0</f>
        <v>0</v>
      </c>
      <c r="H41" s="52">
        <f>0</f>
        <v>0</v>
      </c>
      <c r="I41" s="52">
        <f>0</f>
        <v>0</v>
      </c>
      <c r="J41" s="52">
        <f>0</f>
        <v>0</v>
      </c>
      <c r="K41" s="52">
        <f>0</f>
        <v>0</v>
      </c>
      <c r="L41" s="52">
        <f>0</f>
        <v>0</v>
      </c>
      <c r="M41" s="52">
        <f>0</f>
        <v>0</v>
      </c>
      <c r="N41" s="52">
        <f>0</f>
        <v>0</v>
      </c>
      <c r="O41" s="52">
        <f>0</f>
        <v>0</v>
      </c>
      <c r="P41" s="52">
        <f>0</f>
        <v>0</v>
      </c>
      <c r="Q41" s="52">
        <f>0</f>
        <v>0</v>
      </c>
    </row>
    <row r="42" spans="1:17" ht="24" customHeight="1" x14ac:dyDescent="0.2">
      <c r="A42" s="47" t="s">
        <v>81</v>
      </c>
      <c r="B42" s="52">
        <f>0</f>
        <v>0</v>
      </c>
      <c r="C42" s="52">
        <f>0</f>
        <v>0</v>
      </c>
      <c r="D42" s="52">
        <f>0</f>
        <v>0</v>
      </c>
      <c r="E42" s="52">
        <f>0</f>
        <v>0</v>
      </c>
      <c r="F42" s="52">
        <f>0</f>
        <v>0</v>
      </c>
      <c r="G42" s="52">
        <f>0</f>
        <v>0</v>
      </c>
      <c r="H42" s="52">
        <f>0</f>
        <v>0</v>
      </c>
      <c r="I42" s="52">
        <f>0</f>
        <v>0</v>
      </c>
      <c r="J42" s="52">
        <f>0</f>
        <v>0</v>
      </c>
      <c r="K42" s="52">
        <f>0</f>
        <v>0</v>
      </c>
      <c r="L42" s="52">
        <f>0</f>
        <v>0</v>
      </c>
      <c r="M42" s="52">
        <f>0</f>
        <v>0</v>
      </c>
      <c r="N42" s="52">
        <f>0</f>
        <v>0</v>
      </c>
      <c r="O42" s="52">
        <f>0</f>
        <v>0</v>
      </c>
      <c r="P42" s="52">
        <f>0</f>
        <v>0</v>
      </c>
      <c r="Q42" s="52">
        <f>0</f>
        <v>0</v>
      </c>
    </row>
    <row r="43" spans="1:17" ht="30.75" customHeight="1" x14ac:dyDescent="0.2">
      <c r="A43" s="53" t="s">
        <v>93</v>
      </c>
      <c r="B43" s="51">
        <f>493771870.75</f>
        <v>493771870.75</v>
      </c>
      <c r="C43" s="51">
        <f>493771870.75</f>
        <v>493771870.75</v>
      </c>
      <c r="D43" s="51">
        <f>449272732.53</f>
        <v>449272732.52999997</v>
      </c>
      <c r="E43" s="51">
        <f>98144.03</f>
        <v>98144.03</v>
      </c>
      <c r="F43" s="51">
        <f>9988.58</f>
        <v>9988.58</v>
      </c>
      <c r="G43" s="51">
        <f>449164599.92</f>
        <v>449164599.92000002</v>
      </c>
      <c r="H43" s="51">
        <f>0</f>
        <v>0</v>
      </c>
      <c r="I43" s="51">
        <f>0</f>
        <v>0</v>
      </c>
      <c r="J43" s="51">
        <f>0</f>
        <v>0</v>
      </c>
      <c r="K43" s="51">
        <f>0</f>
        <v>0</v>
      </c>
      <c r="L43" s="51">
        <f>40573313.82</f>
        <v>40573313.82</v>
      </c>
      <c r="M43" s="51">
        <f>3749409.86</f>
        <v>3749409.86</v>
      </c>
      <c r="N43" s="51">
        <f>176414.54</f>
        <v>176414.54</v>
      </c>
      <c r="O43" s="51">
        <f>0</f>
        <v>0</v>
      </c>
      <c r="P43" s="51">
        <f>0</f>
        <v>0</v>
      </c>
      <c r="Q43" s="51">
        <f>0</f>
        <v>0</v>
      </c>
    </row>
    <row r="44" spans="1:17" ht="24" customHeight="1" x14ac:dyDescent="0.2">
      <c r="A44" s="47" t="s">
        <v>82</v>
      </c>
      <c r="B44" s="52">
        <f>21808480.62</f>
        <v>21808480.620000001</v>
      </c>
      <c r="C44" s="52">
        <f>21808480.62</f>
        <v>21808480.620000001</v>
      </c>
      <c r="D44" s="52">
        <f>21725459</f>
        <v>21725459</v>
      </c>
      <c r="E44" s="52">
        <f>0</f>
        <v>0</v>
      </c>
      <c r="F44" s="52">
        <f>0</f>
        <v>0</v>
      </c>
      <c r="G44" s="52">
        <f>21725459</f>
        <v>21725459</v>
      </c>
      <c r="H44" s="52">
        <f>0</f>
        <v>0</v>
      </c>
      <c r="I44" s="52">
        <f>0</f>
        <v>0</v>
      </c>
      <c r="J44" s="52">
        <f>0</f>
        <v>0</v>
      </c>
      <c r="K44" s="52">
        <f>0</f>
        <v>0</v>
      </c>
      <c r="L44" s="52">
        <f>83021.62</f>
        <v>83021.62</v>
      </c>
      <c r="M44" s="52">
        <f>0</f>
        <v>0</v>
      </c>
      <c r="N44" s="52">
        <f>0</f>
        <v>0</v>
      </c>
      <c r="O44" s="52">
        <f>0</f>
        <v>0</v>
      </c>
      <c r="P44" s="52">
        <f>0</f>
        <v>0</v>
      </c>
      <c r="Q44" s="52">
        <f>0</f>
        <v>0</v>
      </c>
    </row>
    <row r="45" spans="1:17" ht="24" customHeight="1" x14ac:dyDescent="0.2">
      <c r="A45" s="47" t="s">
        <v>83</v>
      </c>
      <c r="B45" s="52">
        <f>471963390.13</f>
        <v>471963390.13</v>
      </c>
      <c r="C45" s="52">
        <f>471963390.13</f>
        <v>471963390.13</v>
      </c>
      <c r="D45" s="52">
        <f>427547273.53</f>
        <v>427547273.52999997</v>
      </c>
      <c r="E45" s="52">
        <f>98144.03</f>
        <v>98144.03</v>
      </c>
      <c r="F45" s="52">
        <f>9988.58</f>
        <v>9988.58</v>
      </c>
      <c r="G45" s="52">
        <f>427439140.92</f>
        <v>427439140.92000002</v>
      </c>
      <c r="H45" s="52">
        <f>0</f>
        <v>0</v>
      </c>
      <c r="I45" s="52">
        <f>0</f>
        <v>0</v>
      </c>
      <c r="J45" s="52">
        <f>0</f>
        <v>0</v>
      </c>
      <c r="K45" s="52">
        <f>0</f>
        <v>0</v>
      </c>
      <c r="L45" s="52">
        <f>40490292.2</f>
        <v>40490292.200000003</v>
      </c>
      <c r="M45" s="52">
        <f>3749409.86</f>
        <v>3749409.86</v>
      </c>
      <c r="N45" s="52">
        <f>176414.54</f>
        <v>176414.54</v>
      </c>
      <c r="O45" s="52">
        <f>0</f>
        <v>0</v>
      </c>
      <c r="P45" s="52">
        <f>0</f>
        <v>0</v>
      </c>
      <c r="Q45" s="52">
        <f>0</f>
        <v>0</v>
      </c>
    </row>
    <row r="46" spans="1:17" ht="30.75" customHeight="1" x14ac:dyDescent="0.2">
      <c r="A46" s="53" t="s">
        <v>94</v>
      </c>
      <c r="B46" s="51">
        <f>8091159345.91</f>
        <v>8091159345.9099998</v>
      </c>
      <c r="C46" s="51">
        <f>8090985301.04</f>
        <v>8090985301.04</v>
      </c>
      <c r="D46" s="51">
        <f>382724.11</f>
        <v>382724.11</v>
      </c>
      <c r="E46" s="51">
        <f>600</f>
        <v>600</v>
      </c>
      <c r="F46" s="51">
        <f>16265.52</f>
        <v>16265.52</v>
      </c>
      <c r="G46" s="51">
        <f>365858.59</f>
        <v>365858.59</v>
      </c>
      <c r="H46" s="51">
        <f>0</f>
        <v>0</v>
      </c>
      <c r="I46" s="51">
        <f>0</f>
        <v>0</v>
      </c>
      <c r="J46" s="51">
        <f>8087296076.75</f>
        <v>8087296076.75</v>
      </c>
      <c r="K46" s="51">
        <f>0</f>
        <v>0</v>
      </c>
      <c r="L46" s="51">
        <f>3298036.55</f>
        <v>3298036.55</v>
      </c>
      <c r="M46" s="51">
        <f>8463.63</f>
        <v>8463.6299999999992</v>
      </c>
      <c r="N46" s="51">
        <f>0</f>
        <v>0</v>
      </c>
      <c r="O46" s="51">
        <f>174044.87</f>
        <v>174044.87</v>
      </c>
      <c r="P46" s="51">
        <f>174044.87</f>
        <v>174044.87</v>
      </c>
      <c r="Q46" s="51">
        <f>0</f>
        <v>0</v>
      </c>
    </row>
    <row r="47" spans="1:17" ht="24" customHeight="1" x14ac:dyDescent="0.2">
      <c r="A47" s="47" t="s">
        <v>84</v>
      </c>
      <c r="B47" s="52">
        <f>365834.59</f>
        <v>365834.59</v>
      </c>
      <c r="C47" s="52">
        <f>365834.59</f>
        <v>365834.59</v>
      </c>
      <c r="D47" s="52">
        <f>365834.59</f>
        <v>365834.59</v>
      </c>
      <c r="E47" s="52">
        <f>0</f>
        <v>0</v>
      </c>
      <c r="F47" s="52">
        <f>0</f>
        <v>0</v>
      </c>
      <c r="G47" s="52">
        <f>365834.59</f>
        <v>365834.59</v>
      </c>
      <c r="H47" s="52">
        <f>0</f>
        <v>0</v>
      </c>
      <c r="I47" s="52">
        <f>0</f>
        <v>0</v>
      </c>
      <c r="J47" s="52">
        <f>0</f>
        <v>0</v>
      </c>
      <c r="K47" s="52">
        <f>0</f>
        <v>0</v>
      </c>
      <c r="L47" s="52">
        <f>0</f>
        <v>0</v>
      </c>
      <c r="M47" s="52">
        <f>0</f>
        <v>0</v>
      </c>
      <c r="N47" s="52">
        <f>0</f>
        <v>0</v>
      </c>
      <c r="O47" s="52">
        <f>0</f>
        <v>0</v>
      </c>
      <c r="P47" s="52">
        <f>0</f>
        <v>0</v>
      </c>
      <c r="Q47" s="52">
        <f>0</f>
        <v>0</v>
      </c>
    </row>
    <row r="48" spans="1:17" ht="24" customHeight="1" x14ac:dyDescent="0.2">
      <c r="A48" s="47" t="s">
        <v>85</v>
      </c>
      <c r="B48" s="52">
        <f>5479678777.01</f>
        <v>5479678777.0100002</v>
      </c>
      <c r="C48" s="52">
        <f>5479678777.01</f>
        <v>5479678777.0100002</v>
      </c>
      <c r="D48" s="52">
        <f>624</f>
        <v>624</v>
      </c>
      <c r="E48" s="52">
        <f>600</f>
        <v>600</v>
      </c>
      <c r="F48" s="52">
        <f>0</f>
        <v>0</v>
      </c>
      <c r="G48" s="52">
        <f>24</f>
        <v>24</v>
      </c>
      <c r="H48" s="52">
        <f>0</f>
        <v>0</v>
      </c>
      <c r="I48" s="52">
        <f>0</f>
        <v>0</v>
      </c>
      <c r="J48" s="52">
        <f>5476400562.17</f>
        <v>5476400562.1700001</v>
      </c>
      <c r="K48" s="52">
        <f>0</f>
        <v>0</v>
      </c>
      <c r="L48" s="52">
        <f>3269127.21</f>
        <v>3269127.21</v>
      </c>
      <c r="M48" s="52">
        <f>8463.63</f>
        <v>8463.6299999999992</v>
      </c>
      <c r="N48" s="52">
        <f>0</f>
        <v>0</v>
      </c>
      <c r="O48" s="52">
        <f>0</f>
        <v>0</v>
      </c>
      <c r="P48" s="52">
        <f>0</f>
        <v>0</v>
      </c>
      <c r="Q48" s="52">
        <f>0</f>
        <v>0</v>
      </c>
    </row>
    <row r="49" spans="1:17" ht="24" customHeight="1" x14ac:dyDescent="0.2">
      <c r="A49" s="47" t="s">
        <v>86</v>
      </c>
      <c r="B49" s="52">
        <f>2611114734.31</f>
        <v>2611114734.3099999</v>
      </c>
      <c r="C49" s="52">
        <f>2610940689.44</f>
        <v>2610940689.4400001</v>
      </c>
      <c r="D49" s="52">
        <f>16265.52</f>
        <v>16265.52</v>
      </c>
      <c r="E49" s="52">
        <f>0</f>
        <v>0</v>
      </c>
      <c r="F49" s="52">
        <f>16265.52</f>
        <v>16265.52</v>
      </c>
      <c r="G49" s="52">
        <f>0</f>
        <v>0</v>
      </c>
      <c r="H49" s="52">
        <f>0</f>
        <v>0</v>
      </c>
      <c r="I49" s="52">
        <f>0</f>
        <v>0</v>
      </c>
      <c r="J49" s="52">
        <f>2610895514.58</f>
        <v>2610895514.5799999</v>
      </c>
      <c r="K49" s="52">
        <f>0</f>
        <v>0</v>
      </c>
      <c r="L49" s="52">
        <f>28909.34</f>
        <v>28909.34</v>
      </c>
      <c r="M49" s="52">
        <f>0</f>
        <v>0</v>
      </c>
      <c r="N49" s="52">
        <f>0</f>
        <v>0</v>
      </c>
      <c r="O49" s="52">
        <f>174044.87</f>
        <v>174044.87</v>
      </c>
      <c r="P49" s="52">
        <f>174044.87</f>
        <v>174044.87</v>
      </c>
      <c r="Q49" s="52">
        <f>0</f>
        <v>0</v>
      </c>
    </row>
    <row r="50" spans="1:17" ht="30.75" customHeight="1" x14ac:dyDescent="0.2">
      <c r="A50" s="53" t="s">
        <v>95</v>
      </c>
      <c r="B50" s="51">
        <f>4789573250.9</f>
        <v>4789573250.8999996</v>
      </c>
      <c r="C50" s="51">
        <f>4787205972.28</f>
        <v>4787205972.2799997</v>
      </c>
      <c r="D50" s="51">
        <f>16122643.87</f>
        <v>16122643.869999999</v>
      </c>
      <c r="E50" s="51">
        <f>22515.49</f>
        <v>22515.49</v>
      </c>
      <c r="F50" s="51">
        <f>514145.68</f>
        <v>514145.68</v>
      </c>
      <c r="G50" s="51">
        <f>15584532.01</f>
        <v>15584532.01</v>
      </c>
      <c r="H50" s="51">
        <f>1450.69</f>
        <v>1450.69</v>
      </c>
      <c r="I50" s="51">
        <f>0</f>
        <v>0</v>
      </c>
      <c r="J50" s="51">
        <f>27507.59</f>
        <v>27507.59</v>
      </c>
      <c r="K50" s="51">
        <f>15807033.75</f>
        <v>15807033.75</v>
      </c>
      <c r="L50" s="51">
        <f>1838397713.76</f>
        <v>1838397713.76</v>
      </c>
      <c r="M50" s="51">
        <f>2888847967.29</f>
        <v>2888847967.29</v>
      </c>
      <c r="N50" s="51">
        <f>28003106.02</f>
        <v>28003106.02</v>
      </c>
      <c r="O50" s="51">
        <f>2367278.62</f>
        <v>2367278.62</v>
      </c>
      <c r="P50" s="51">
        <f>1831610.91</f>
        <v>1831610.91</v>
      </c>
      <c r="Q50" s="51">
        <f>535667.71</f>
        <v>535667.71</v>
      </c>
    </row>
    <row r="51" spans="1:17" ht="30" customHeight="1" x14ac:dyDescent="0.2">
      <c r="A51" s="47" t="s">
        <v>87</v>
      </c>
      <c r="B51" s="52">
        <f>134062002.11</f>
        <v>134062002.11</v>
      </c>
      <c r="C51" s="52">
        <f>134054694.49</f>
        <v>134054694.48999999</v>
      </c>
      <c r="D51" s="52">
        <f>310590.63</f>
        <v>310590.63</v>
      </c>
      <c r="E51" s="52">
        <f>0.02</f>
        <v>0.02</v>
      </c>
      <c r="F51" s="52">
        <f>8.69</f>
        <v>8.69</v>
      </c>
      <c r="G51" s="52">
        <f>310581.92</f>
        <v>310581.92</v>
      </c>
      <c r="H51" s="52">
        <f>0</f>
        <v>0</v>
      </c>
      <c r="I51" s="52">
        <f>0</f>
        <v>0</v>
      </c>
      <c r="J51" s="52">
        <f>998.91</f>
        <v>998.91</v>
      </c>
      <c r="K51" s="52">
        <f>0</f>
        <v>0</v>
      </c>
      <c r="L51" s="52">
        <f>127639222.91</f>
        <v>127639222.91</v>
      </c>
      <c r="M51" s="52">
        <f>5473768.77</f>
        <v>5473768.7699999996</v>
      </c>
      <c r="N51" s="52">
        <f>630113.27</f>
        <v>630113.27</v>
      </c>
      <c r="O51" s="52">
        <f>7307.62</f>
        <v>7307.62</v>
      </c>
      <c r="P51" s="52">
        <f>7307.62</f>
        <v>7307.62</v>
      </c>
      <c r="Q51" s="52">
        <f>0</f>
        <v>0</v>
      </c>
    </row>
    <row r="52" spans="1:17" ht="24" customHeight="1" x14ac:dyDescent="0.2">
      <c r="A52" s="47" t="s">
        <v>88</v>
      </c>
      <c r="B52" s="52">
        <f>4655511248.79</f>
        <v>4655511248.79</v>
      </c>
      <c r="C52" s="52">
        <f>4653151277.79</f>
        <v>4653151277.79</v>
      </c>
      <c r="D52" s="52">
        <f>15812053.24</f>
        <v>15812053.24</v>
      </c>
      <c r="E52" s="52">
        <f>22515.47</f>
        <v>22515.47</v>
      </c>
      <c r="F52" s="52">
        <f>514136.99</f>
        <v>514136.99</v>
      </c>
      <c r="G52" s="52">
        <f>15273950.09</f>
        <v>15273950.09</v>
      </c>
      <c r="H52" s="52">
        <f>1450.69</f>
        <v>1450.69</v>
      </c>
      <c r="I52" s="52">
        <f>0</f>
        <v>0</v>
      </c>
      <c r="J52" s="52">
        <f>26508.68</f>
        <v>26508.68</v>
      </c>
      <c r="K52" s="52">
        <f>15807033.75</f>
        <v>15807033.75</v>
      </c>
      <c r="L52" s="52">
        <f>1710758490.85</f>
        <v>1710758490.8499999</v>
      </c>
      <c r="M52" s="52">
        <f>2883374198.52</f>
        <v>2883374198.52</v>
      </c>
      <c r="N52" s="52">
        <f>27372992.75</f>
        <v>27372992.75</v>
      </c>
      <c r="O52" s="52">
        <f>2359971</f>
        <v>2359971</v>
      </c>
      <c r="P52" s="52">
        <f>1824303.29</f>
        <v>1824303.29</v>
      </c>
      <c r="Q52" s="52">
        <f>535667.71</f>
        <v>535667.71</v>
      </c>
    </row>
    <row r="53" spans="1:17" ht="30.75" customHeight="1" x14ac:dyDescent="0.2">
      <c r="A53" s="53" t="s">
        <v>96</v>
      </c>
      <c r="B53" s="51">
        <f>1292045723.85</f>
        <v>1292045723.8499999</v>
      </c>
      <c r="C53" s="51">
        <f>1289016765.18</f>
        <v>1289016765.1800001</v>
      </c>
      <c r="D53" s="51">
        <f>122836117.25</f>
        <v>122836117.25</v>
      </c>
      <c r="E53" s="51">
        <f>6740169.68</f>
        <v>6740169.6799999997</v>
      </c>
      <c r="F53" s="51">
        <f>585409.99</f>
        <v>585409.99</v>
      </c>
      <c r="G53" s="51">
        <f>115268777.78</f>
        <v>115268777.78</v>
      </c>
      <c r="H53" s="51">
        <f>241759.8</f>
        <v>241759.8</v>
      </c>
      <c r="I53" s="51">
        <f>0</f>
        <v>0</v>
      </c>
      <c r="J53" s="51">
        <f>260390.52</f>
        <v>260390.52</v>
      </c>
      <c r="K53" s="51">
        <f>191403.39</f>
        <v>191403.39</v>
      </c>
      <c r="L53" s="51">
        <f>946662600.56</f>
        <v>946662600.55999994</v>
      </c>
      <c r="M53" s="51">
        <f>191187490.74</f>
        <v>191187490.74000001</v>
      </c>
      <c r="N53" s="51">
        <f>27878762.72</f>
        <v>27878762.719999999</v>
      </c>
      <c r="O53" s="51">
        <f>3028958.67</f>
        <v>3028958.67</v>
      </c>
      <c r="P53" s="51">
        <f>3026382.51</f>
        <v>3026382.51</v>
      </c>
      <c r="Q53" s="51">
        <f>2576.16</f>
        <v>2576.16</v>
      </c>
    </row>
    <row r="54" spans="1:17" ht="30" customHeight="1" x14ac:dyDescent="0.2">
      <c r="A54" s="47" t="s">
        <v>89</v>
      </c>
      <c r="B54" s="52">
        <f>81533462.39</f>
        <v>81533462.390000001</v>
      </c>
      <c r="C54" s="52">
        <f>81504407.88</f>
        <v>81504407.879999995</v>
      </c>
      <c r="D54" s="52">
        <f>3369841.55</f>
        <v>3369841.55</v>
      </c>
      <c r="E54" s="52">
        <f>114124.36</f>
        <v>114124.36</v>
      </c>
      <c r="F54" s="52">
        <f>118827.42</f>
        <v>118827.42</v>
      </c>
      <c r="G54" s="52">
        <f>3136889.77</f>
        <v>3136889.77</v>
      </c>
      <c r="H54" s="52">
        <f>0</f>
        <v>0</v>
      </c>
      <c r="I54" s="52">
        <f>0</f>
        <v>0</v>
      </c>
      <c r="J54" s="52">
        <f>0</f>
        <v>0</v>
      </c>
      <c r="K54" s="52">
        <f>10</f>
        <v>10</v>
      </c>
      <c r="L54" s="52">
        <f>72148907.01</f>
        <v>72148907.010000005</v>
      </c>
      <c r="M54" s="52">
        <f>5060582.49</f>
        <v>5060582.49</v>
      </c>
      <c r="N54" s="52">
        <f>925066.83</f>
        <v>925066.83</v>
      </c>
      <c r="O54" s="52">
        <f>29054.51</f>
        <v>29054.51</v>
      </c>
      <c r="P54" s="52">
        <f>28878.35</f>
        <v>28878.35</v>
      </c>
      <c r="Q54" s="52">
        <f>176.16</f>
        <v>176.16</v>
      </c>
    </row>
    <row r="55" spans="1:17" ht="33" customHeight="1" x14ac:dyDescent="0.2">
      <c r="A55" s="47" t="s">
        <v>154</v>
      </c>
      <c r="B55" s="52">
        <f>173.17</f>
        <v>173.17</v>
      </c>
      <c r="C55" s="52">
        <f>173.17</f>
        <v>173.17</v>
      </c>
      <c r="D55" s="52">
        <f>173.17</f>
        <v>173.17</v>
      </c>
      <c r="E55" s="52">
        <f>17</f>
        <v>17</v>
      </c>
      <c r="F55" s="52">
        <f>0</f>
        <v>0</v>
      </c>
      <c r="G55" s="52">
        <f>0</f>
        <v>0</v>
      </c>
      <c r="H55" s="52">
        <f>156.17</f>
        <v>156.16999999999999</v>
      </c>
      <c r="I55" s="52">
        <f>0</f>
        <v>0</v>
      </c>
      <c r="J55" s="52">
        <f>0</f>
        <v>0</v>
      </c>
      <c r="K55" s="52">
        <f>0</f>
        <v>0</v>
      </c>
      <c r="L55" s="52">
        <f>0</f>
        <v>0</v>
      </c>
      <c r="M55" s="52">
        <f>0</f>
        <v>0</v>
      </c>
      <c r="N55" s="52">
        <f>0</f>
        <v>0</v>
      </c>
      <c r="O55" s="52">
        <f>0</f>
        <v>0</v>
      </c>
      <c r="P55" s="52">
        <f>0</f>
        <v>0</v>
      </c>
      <c r="Q55" s="52">
        <f>0</f>
        <v>0</v>
      </c>
    </row>
    <row r="56" spans="1:17" ht="33" customHeight="1" x14ac:dyDescent="0.2">
      <c r="A56" s="47" t="s">
        <v>91</v>
      </c>
      <c r="B56" s="52">
        <f>1210512088.29</f>
        <v>1210512088.29</v>
      </c>
      <c r="C56" s="52">
        <f>1207512184.13</f>
        <v>1207512184.1300001</v>
      </c>
      <c r="D56" s="52">
        <f>119466102.53</f>
        <v>119466102.53</v>
      </c>
      <c r="E56" s="52">
        <f>6626028.32</f>
        <v>6626028.3200000003</v>
      </c>
      <c r="F56" s="52">
        <f>466582.57</f>
        <v>466582.57</v>
      </c>
      <c r="G56" s="52">
        <f>112131888.01</f>
        <v>112131888.01000001</v>
      </c>
      <c r="H56" s="52">
        <f>241603.63</f>
        <v>241603.63</v>
      </c>
      <c r="I56" s="52">
        <f>0</f>
        <v>0</v>
      </c>
      <c r="J56" s="52">
        <f>260390.52</f>
        <v>260390.52</v>
      </c>
      <c r="K56" s="52">
        <f>191393.39</f>
        <v>191393.39</v>
      </c>
      <c r="L56" s="52">
        <f>874513693.55</f>
        <v>874513693.54999995</v>
      </c>
      <c r="M56" s="52">
        <f>186126908.25</f>
        <v>186126908.25</v>
      </c>
      <c r="N56" s="52">
        <f>26953695.89</f>
        <v>26953695.890000001</v>
      </c>
      <c r="O56" s="52">
        <f>2999904.16</f>
        <v>2999904.16</v>
      </c>
      <c r="P56" s="52">
        <f>2997504.16</f>
        <v>2997504.16</v>
      </c>
      <c r="Q56" s="52">
        <f>2400</f>
        <v>2400</v>
      </c>
    </row>
    <row r="66" spans="1:13" ht="67.5" customHeight="1" x14ac:dyDescent="0.2">
      <c r="A66" s="64" t="str">
        <f>CONCATENATE("Informacja z wykonania budżetów województw za  ",$C$93," ",$B$94," roku    ",$B$96,"")</f>
        <v xml:space="preserve">Informacja z wykonania budżetów województw za  II Kwartały 2023 roku    </v>
      </c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</row>
    <row r="67" spans="1:13" ht="13.5" customHeight="1" x14ac:dyDescent="0.2">
      <c r="B67" s="68" t="s">
        <v>5</v>
      </c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</row>
    <row r="69" spans="1:13" ht="13.5" customHeight="1" x14ac:dyDescent="0.2">
      <c r="B69" s="94" t="s">
        <v>0</v>
      </c>
      <c r="C69" s="95"/>
      <c r="D69" s="95"/>
      <c r="E69" s="96"/>
      <c r="F69" s="84" t="s">
        <v>143</v>
      </c>
      <c r="G69" s="59" t="s">
        <v>150</v>
      </c>
      <c r="H69" s="88"/>
      <c r="I69" s="88"/>
      <c r="J69" s="88"/>
      <c r="K69" s="88"/>
      <c r="L69" s="89"/>
    </row>
    <row r="70" spans="1:13" ht="13.5" customHeight="1" x14ac:dyDescent="0.2">
      <c r="B70" s="97"/>
      <c r="C70" s="98"/>
      <c r="D70" s="98"/>
      <c r="E70" s="99"/>
      <c r="F70" s="85"/>
      <c r="G70" s="87" t="s">
        <v>144</v>
      </c>
      <c r="H70" s="58" t="s">
        <v>140</v>
      </c>
      <c r="I70" s="58" t="s">
        <v>141</v>
      </c>
      <c r="J70" s="58" t="s">
        <v>145</v>
      </c>
      <c r="K70" s="58" t="s">
        <v>146</v>
      </c>
      <c r="L70" s="62" t="s">
        <v>147</v>
      </c>
    </row>
    <row r="71" spans="1:13" ht="13.5" customHeight="1" x14ac:dyDescent="0.2">
      <c r="B71" s="97"/>
      <c r="C71" s="98"/>
      <c r="D71" s="98"/>
      <c r="E71" s="99"/>
      <c r="F71" s="85"/>
      <c r="G71" s="87"/>
      <c r="H71" s="58"/>
      <c r="I71" s="58"/>
      <c r="J71" s="58"/>
      <c r="K71" s="58"/>
      <c r="L71" s="62"/>
    </row>
    <row r="72" spans="1:13" ht="11.25" customHeight="1" x14ac:dyDescent="0.2">
      <c r="B72" s="97"/>
      <c r="C72" s="98"/>
      <c r="D72" s="98"/>
      <c r="E72" s="99"/>
      <c r="F72" s="85"/>
      <c r="G72" s="87"/>
      <c r="H72" s="58"/>
      <c r="I72" s="58"/>
      <c r="J72" s="58"/>
      <c r="K72" s="58"/>
      <c r="L72" s="62"/>
    </row>
    <row r="73" spans="1:13" ht="11.25" customHeight="1" x14ac:dyDescent="0.2">
      <c r="B73" s="100"/>
      <c r="C73" s="101"/>
      <c r="D73" s="101"/>
      <c r="E73" s="102"/>
      <c r="F73" s="86"/>
      <c r="G73" s="87"/>
      <c r="H73" s="58"/>
      <c r="I73" s="58"/>
      <c r="J73" s="58"/>
      <c r="K73" s="58"/>
      <c r="L73" s="62"/>
    </row>
    <row r="74" spans="1:13" ht="11.25" customHeight="1" x14ac:dyDescent="0.2">
      <c r="B74" s="58">
        <v>1</v>
      </c>
      <c r="C74" s="58"/>
      <c r="D74" s="58"/>
      <c r="E74" s="58"/>
      <c r="F74" s="3">
        <v>2</v>
      </c>
      <c r="G74" s="3">
        <v>3</v>
      </c>
      <c r="H74" s="3">
        <v>4</v>
      </c>
      <c r="I74" s="3">
        <v>5</v>
      </c>
      <c r="J74" s="3">
        <v>6</v>
      </c>
      <c r="K74" s="3">
        <v>7</v>
      </c>
      <c r="L74" s="3">
        <v>8</v>
      </c>
    </row>
    <row r="75" spans="1:13" ht="13.5" customHeight="1" x14ac:dyDescent="0.2">
      <c r="B75" s="58"/>
      <c r="C75" s="58"/>
      <c r="D75" s="58"/>
      <c r="E75" s="58"/>
      <c r="F75" s="59" t="s">
        <v>152</v>
      </c>
      <c r="G75" s="60"/>
      <c r="H75" s="60"/>
      <c r="I75" s="60"/>
      <c r="J75" s="60"/>
      <c r="K75" s="60"/>
      <c r="L75" s="61"/>
    </row>
    <row r="76" spans="1:13" ht="33.75" customHeight="1" x14ac:dyDescent="0.2">
      <c r="B76" s="81" t="s">
        <v>121</v>
      </c>
      <c r="C76" s="82"/>
      <c r="D76" s="82"/>
      <c r="E76" s="83"/>
      <c r="F76" s="54">
        <f>1198690602.76</f>
        <v>1198690602.76</v>
      </c>
      <c r="G76" s="54">
        <f>177827297.27</f>
        <v>177827297.27000001</v>
      </c>
      <c r="H76" s="54">
        <f>0</f>
        <v>0</v>
      </c>
      <c r="I76" s="54">
        <f>0</f>
        <v>0</v>
      </c>
      <c r="J76" s="54">
        <f>177827297.27</f>
        <v>177827297.27000001</v>
      </c>
      <c r="K76" s="54">
        <f>0</f>
        <v>0</v>
      </c>
      <c r="L76" s="54">
        <f>1020863305.49</f>
        <v>1020863305.49</v>
      </c>
    </row>
    <row r="77" spans="1:13" ht="33.75" customHeight="1" x14ac:dyDescent="0.2">
      <c r="B77" s="81" t="s">
        <v>122</v>
      </c>
      <c r="C77" s="82"/>
      <c r="D77" s="82"/>
      <c r="E77" s="83"/>
      <c r="F77" s="54">
        <f>0</f>
        <v>0</v>
      </c>
      <c r="G77" s="54">
        <f>0</f>
        <v>0</v>
      </c>
      <c r="H77" s="54">
        <f>0</f>
        <v>0</v>
      </c>
      <c r="I77" s="54">
        <f>0</f>
        <v>0</v>
      </c>
      <c r="J77" s="54">
        <f>0</f>
        <v>0</v>
      </c>
      <c r="K77" s="54">
        <f>0</f>
        <v>0</v>
      </c>
      <c r="L77" s="54">
        <f>0</f>
        <v>0</v>
      </c>
    </row>
    <row r="78" spans="1:13" ht="33.75" customHeight="1" x14ac:dyDescent="0.2">
      <c r="B78" s="81" t="s">
        <v>123</v>
      </c>
      <c r="C78" s="82"/>
      <c r="D78" s="82"/>
      <c r="E78" s="83"/>
      <c r="F78" s="54">
        <f>48718832</f>
        <v>48718832</v>
      </c>
      <c r="G78" s="54">
        <f>3003832</f>
        <v>3003832</v>
      </c>
      <c r="H78" s="54">
        <f>0</f>
        <v>0</v>
      </c>
      <c r="I78" s="54">
        <f>0</f>
        <v>0</v>
      </c>
      <c r="J78" s="54">
        <f>3003832</f>
        <v>3003832</v>
      </c>
      <c r="K78" s="54">
        <f>0</f>
        <v>0</v>
      </c>
      <c r="L78" s="54">
        <f>45715000</f>
        <v>45715000</v>
      </c>
    </row>
    <row r="79" spans="1:13" ht="22.5" customHeight="1" x14ac:dyDescent="0.2">
      <c r="B79" s="81" t="s">
        <v>124</v>
      </c>
      <c r="C79" s="82"/>
      <c r="D79" s="82"/>
      <c r="E79" s="83"/>
      <c r="F79" s="54">
        <f>17367189.51</f>
        <v>17367189.510000002</v>
      </c>
      <c r="G79" s="54">
        <f>6838281.02</f>
        <v>6838281.0199999996</v>
      </c>
      <c r="H79" s="54">
        <f>0</f>
        <v>0</v>
      </c>
      <c r="I79" s="54">
        <f>0</f>
        <v>0</v>
      </c>
      <c r="J79" s="54">
        <f>6838281.02</f>
        <v>6838281.0199999996</v>
      </c>
      <c r="K79" s="54">
        <f>0</f>
        <v>0</v>
      </c>
      <c r="L79" s="54">
        <f>10528908.49</f>
        <v>10528908.49</v>
      </c>
    </row>
    <row r="80" spans="1:13" ht="33.75" customHeight="1" x14ac:dyDescent="0.2">
      <c r="B80" s="81" t="s">
        <v>125</v>
      </c>
      <c r="C80" s="82"/>
      <c r="D80" s="82"/>
      <c r="E80" s="83"/>
      <c r="F80" s="54">
        <f>151508.64</f>
        <v>151508.64000000001</v>
      </c>
      <c r="G80" s="54">
        <f>56832.84</f>
        <v>56832.84</v>
      </c>
      <c r="H80" s="54">
        <f>0</f>
        <v>0</v>
      </c>
      <c r="I80" s="54">
        <f>0</f>
        <v>0</v>
      </c>
      <c r="J80" s="54">
        <f>56832.84</f>
        <v>56832.84</v>
      </c>
      <c r="K80" s="54">
        <f>0</f>
        <v>0</v>
      </c>
      <c r="L80" s="54">
        <f>94675.8</f>
        <v>94675.8</v>
      </c>
    </row>
    <row r="81" spans="1:13" ht="33.75" customHeight="1" x14ac:dyDescent="0.2">
      <c r="B81" s="81" t="s">
        <v>126</v>
      </c>
      <c r="C81" s="82"/>
      <c r="D81" s="82"/>
      <c r="E81" s="83"/>
      <c r="F81" s="54">
        <f>16866189.47</f>
        <v>16866189.469999999</v>
      </c>
      <c r="G81" s="54">
        <f>6337280.98</f>
        <v>6337280.9800000004</v>
      </c>
      <c r="H81" s="54">
        <f>0</f>
        <v>0</v>
      </c>
      <c r="I81" s="54">
        <f>0</f>
        <v>0</v>
      </c>
      <c r="J81" s="54">
        <f>6337280.98</f>
        <v>6337280.9800000004</v>
      </c>
      <c r="K81" s="54">
        <f>0</f>
        <v>0</v>
      </c>
      <c r="L81" s="54">
        <f>10528908.49</f>
        <v>10528908.49</v>
      </c>
    </row>
    <row r="82" spans="1:13" ht="33" customHeight="1" x14ac:dyDescent="0.2">
      <c r="B82" s="81" t="s">
        <v>127</v>
      </c>
      <c r="C82" s="82"/>
      <c r="D82" s="82"/>
      <c r="E82" s="83"/>
      <c r="F82" s="54">
        <f>1621714.42</f>
        <v>1621714.42</v>
      </c>
      <c r="G82" s="54">
        <f>0</f>
        <v>0</v>
      </c>
      <c r="H82" s="54">
        <f>0</f>
        <v>0</v>
      </c>
      <c r="I82" s="54">
        <f>0</f>
        <v>0</v>
      </c>
      <c r="J82" s="54">
        <f>0</f>
        <v>0</v>
      </c>
      <c r="K82" s="54">
        <f>0</f>
        <v>0</v>
      </c>
      <c r="L82" s="54">
        <f>1621714.42</f>
        <v>1621714.42</v>
      </c>
    </row>
    <row r="85" spans="1:13" ht="60" customHeight="1" x14ac:dyDescent="0.2">
      <c r="A85" s="64" t="str">
        <f>CONCATENATE("Informacja z wykonania budżetów województw za  ",$C$93," ",$B$94," roku    ",$B$96,"")</f>
        <v xml:space="preserve">Informacja z wykonania budżetów województw za  II Kwartały 2023 roku    </v>
      </c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</row>
    <row r="86" spans="1:13" ht="13.5" customHeight="1" x14ac:dyDescent="0.2">
      <c r="B86" s="9"/>
    </row>
    <row r="87" spans="1:13" ht="13.5" customHeight="1" x14ac:dyDescent="0.2">
      <c r="B87" s="10"/>
      <c r="C87" s="59"/>
      <c r="D87" s="88"/>
      <c r="E87" s="88"/>
      <c r="F87" s="89"/>
      <c r="G87" s="59" t="s">
        <v>7</v>
      </c>
      <c r="H87" s="89"/>
      <c r="I87" s="59" t="s">
        <v>8</v>
      </c>
      <c r="J87" s="89"/>
      <c r="K87" s="10"/>
    </row>
    <row r="88" spans="1:13" ht="18" customHeight="1" x14ac:dyDescent="0.2">
      <c r="B88" s="11"/>
      <c r="C88" s="81" t="s">
        <v>23</v>
      </c>
      <c r="D88" s="82"/>
      <c r="E88" s="82"/>
      <c r="F88" s="83"/>
      <c r="G88" s="90">
        <f>16</f>
        <v>16</v>
      </c>
      <c r="H88" s="91"/>
      <c r="I88" s="92">
        <f>3747981919.8</f>
        <v>3747981919.8000002</v>
      </c>
      <c r="J88" s="93"/>
      <c r="K88" s="12"/>
    </row>
    <row r="89" spans="1:13" ht="22.5" customHeight="1" x14ac:dyDescent="0.2">
      <c r="B89" s="11"/>
      <c r="C89" s="81" t="s">
        <v>24</v>
      </c>
      <c r="D89" s="82"/>
      <c r="E89" s="82"/>
      <c r="F89" s="83"/>
      <c r="G89" s="90">
        <f>0</f>
        <v>0</v>
      </c>
      <c r="H89" s="91"/>
      <c r="I89" s="92">
        <f>0</f>
        <v>0</v>
      </c>
      <c r="J89" s="93"/>
      <c r="K89" s="12"/>
    </row>
    <row r="90" spans="1:13" ht="21" customHeight="1" x14ac:dyDescent="0.2">
      <c r="B90" s="11"/>
      <c r="C90" s="81" t="s">
        <v>25</v>
      </c>
      <c r="D90" s="82"/>
      <c r="E90" s="82"/>
      <c r="F90" s="83"/>
      <c r="G90" s="90">
        <f>0</f>
        <v>0</v>
      </c>
      <c r="H90" s="91"/>
      <c r="I90" s="92">
        <f>0</f>
        <v>0</v>
      </c>
      <c r="J90" s="93"/>
      <c r="K90" s="12"/>
    </row>
    <row r="93" spans="1:13" ht="13.5" customHeight="1" x14ac:dyDescent="0.2">
      <c r="A93" s="15" t="s">
        <v>26</v>
      </c>
      <c r="B93" s="15">
        <f>2</f>
        <v>2</v>
      </c>
      <c r="C93" s="15" t="str">
        <f>IF(B93=1,"I Kwartał",IF(B93=2,"II Kwartały",IF(B93=3,"III Kwartały",IF(B93=4,"IV Kwartały","-"))))</f>
        <v>II Kwartały</v>
      </c>
    </row>
    <row r="94" spans="1:13" ht="13.5" customHeight="1" x14ac:dyDescent="0.2">
      <c r="A94" s="15" t="s">
        <v>27</v>
      </c>
      <c r="B94" s="15">
        <f>2023</f>
        <v>2023</v>
      </c>
      <c r="C94" s="16"/>
    </row>
    <row r="95" spans="1:13" ht="13.5" customHeight="1" x14ac:dyDescent="0.2">
      <c r="A95" s="15" t="s">
        <v>28</v>
      </c>
      <c r="B95" s="17" t="str">
        <f>"Aug 14 2023 12:00AM"</f>
        <v>Aug 14 2023 12:00AM</v>
      </c>
      <c r="C95" s="16"/>
    </row>
    <row r="96" spans="1:13" ht="13.5" customHeight="1" x14ac:dyDescent="0.2">
      <c r="A96" s="43" t="s">
        <v>151</v>
      </c>
      <c r="B96" s="17" t="str">
        <f>""</f>
        <v/>
      </c>
    </row>
  </sheetData>
  <mergeCells count="79">
    <mergeCell ref="O6:Q6"/>
    <mergeCell ref="O7:O10"/>
    <mergeCell ref="A66:M66"/>
    <mergeCell ref="L34:L37"/>
    <mergeCell ref="P34:P37"/>
    <mergeCell ref="Q34:Q37"/>
    <mergeCell ref="N34:N37"/>
    <mergeCell ref="O34:O37"/>
    <mergeCell ref="D34:D37"/>
    <mergeCell ref="H7:H10"/>
    <mergeCell ref="B81:E81"/>
    <mergeCell ref="I88:J88"/>
    <mergeCell ref="B67:M67"/>
    <mergeCell ref="I87:J87"/>
    <mergeCell ref="B74:E74"/>
    <mergeCell ref="B69:E73"/>
    <mergeCell ref="B82:E82"/>
    <mergeCell ref="A85:M85"/>
    <mergeCell ref="B78:E78"/>
    <mergeCell ref="B79:E79"/>
    <mergeCell ref="G90:H90"/>
    <mergeCell ref="I90:J90"/>
    <mergeCell ref="C87:F87"/>
    <mergeCell ref="C88:F88"/>
    <mergeCell ref="C89:F89"/>
    <mergeCell ref="C90:F90"/>
    <mergeCell ref="G88:H88"/>
    <mergeCell ref="G87:H87"/>
    <mergeCell ref="G89:H89"/>
    <mergeCell ref="I89:J89"/>
    <mergeCell ref="B80:E80"/>
    <mergeCell ref="B77:E77"/>
    <mergeCell ref="M34:M37"/>
    <mergeCell ref="B76:E76"/>
    <mergeCell ref="F69:F73"/>
    <mergeCell ref="G70:G73"/>
    <mergeCell ref="G69:L69"/>
    <mergeCell ref="H70:H73"/>
    <mergeCell ref="I70:I73"/>
    <mergeCell ref="J70:J73"/>
    <mergeCell ref="A1:M1"/>
    <mergeCell ref="C5:M5"/>
    <mergeCell ref="A3:M3"/>
    <mergeCell ref="K7:K10"/>
    <mergeCell ref="C7:C10"/>
    <mergeCell ref="B6:B10"/>
    <mergeCell ref="A6:A10"/>
    <mergeCell ref="C6:N6"/>
    <mergeCell ref="D7:D10"/>
    <mergeCell ref="E7:E10"/>
    <mergeCell ref="G7:G10"/>
    <mergeCell ref="F7:F10"/>
    <mergeCell ref="I7:I10"/>
    <mergeCell ref="J7:J10"/>
    <mergeCell ref="K70:K73"/>
    <mergeCell ref="Q7:Q10"/>
    <mergeCell ref="C33:N33"/>
    <mergeCell ref="L7:L10"/>
    <mergeCell ref="M7:M10"/>
    <mergeCell ref="N7:N10"/>
    <mergeCell ref="P7:P10"/>
    <mergeCell ref="A29:M29"/>
    <mergeCell ref="O33:Q33"/>
    <mergeCell ref="A31:M31"/>
    <mergeCell ref="J34:J37"/>
    <mergeCell ref="A33:A37"/>
    <mergeCell ref="C34:C37"/>
    <mergeCell ref="E34:E37"/>
    <mergeCell ref="B33:B37"/>
    <mergeCell ref="B12:Q12"/>
    <mergeCell ref="B39:Q39"/>
    <mergeCell ref="B75:E75"/>
    <mergeCell ref="F75:L75"/>
    <mergeCell ref="L70:L73"/>
    <mergeCell ref="F34:F37"/>
    <mergeCell ref="G34:G37"/>
    <mergeCell ref="H34:H37"/>
    <mergeCell ref="K34:K37"/>
    <mergeCell ref="I34:I37"/>
  </mergeCells>
  <phoneticPr fontId="5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8" max="16383" man="1"/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Q106"/>
  <sheetViews>
    <sheetView workbookViewId="0">
      <selection activeCell="A95" sqref="A95"/>
    </sheetView>
  </sheetViews>
  <sheetFormatPr defaultRowHeight="13.5" customHeight="1" x14ac:dyDescent="0.2"/>
  <cols>
    <col min="1" max="1" width="32.28515625" style="2" customWidth="1"/>
    <col min="2" max="13" width="10.7109375" style="2" customWidth="1"/>
    <col min="14" max="16384" width="9.140625" style="2"/>
  </cols>
  <sheetData>
    <row r="1" spans="1:17" ht="75" customHeight="1" x14ac:dyDescent="0.2">
      <c r="A1" s="115" t="str">
        <f>CONCATENATE("Informacja z wykonania budżetów województw za  ",$D$104," ",$C$105," roku")</f>
        <v>Informacja z wykonania budżetów województw za  - 2023 roku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68" t="s">
        <v>134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5" spans="1:17" ht="13.5" customHeight="1" x14ac:dyDescent="0.2">
      <c r="A5" s="134" t="s">
        <v>0</v>
      </c>
      <c r="B5" s="59" t="s">
        <v>135</v>
      </c>
      <c r="C5" s="58" t="s">
        <v>139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9" t="s">
        <v>138</v>
      </c>
      <c r="P5" s="88"/>
      <c r="Q5" s="89"/>
    </row>
    <row r="6" spans="1:17" ht="13.5" customHeight="1" x14ac:dyDescent="0.2">
      <c r="A6" s="134"/>
      <c r="B6" s="59"/>
      <c r="C6" s="58" t="s">
        <v>136</v>
      </c>
      <c r="D6" s="58" t="s">
        <v>3</v>
      </c>
      <c r="E6" s="58" t="s">
        <v>140</v>
      </c>
      <c r="F6" s="58" t="s">
        <v>141</v>
      </c>
      <c r="G6" s="58" t="s">
        <v>76</v>
      </c>
      <c r="H6" s="58" t="s">
        <v>77</v>
      </c>
      <c r="I6" s="58" t="s">
        <v>137</v>
      </c>
      <c r="J6" s="58" t="s">
        <v>59</v>
      </c>
      <c r="K6" s="58" t="s">
        <v>60</v>
      </c>
      <c r="L6" s="58" t="s">
        <v>61</v>
      </c>
      <c r="M6" s="58" t="s">
        <v>62</v>
      </c>
      <c r="N6" s="116" t="s">
        <v>63</v>
      </c>
      <c r="O6" s="84" t="s">
        <v>64</v>
      </c>
      <c r="P6" s="112" t="s">
        <v>65</v>
      </c>
      <c r="Q6" s="109" t="s">
        <v>66</v>
      </c>
    </row>
    <row r="7" spans="1:17" ht="13.5" customHeight="1" x14ac:dyDescent="0.2">
      <c r="A7" s="134"/>
      <c r="B7" s="59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16"/>
      <c r="O7" s="85"/>
      <c r="P7" s="113"/>
      <c r="Q7" s="110"/>
    </row>
    <row r="8" spans="1:17" ht="13.5" customHeight="1" x14ac:dyDescent="0.2">
      <c r="A8" s="134"/>
      <c r="B8" s="59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16"/>
      <c r="O8" s="85"/>
      <c r="P8" s="113"/>
      <c r="Q8" s="110"/>
    </row>
    <row r="9" spans="1:17" ht="13.5" customHeight="1" x14ac:dyDescent="0.2">
      <c r="A9" s="134"/>
      <c r="B9" s="59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116"/>
      <c r="O9" s="85"/>
      <c r="P9" s="113"/>
      <c r="Q9" s="110"/>
    </row>
    <row r="10" spans="1:17" ht="22.5" customHeight="1" x14ac:dyDescent="0.2">
      <c r="A10" s="134"/>
      <c r="B10" s="59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116"/>
      <c r="O10" s="86"/>
      <c r="P10" s="114"/>
      <c r="Q10" s="111"/>
    </row>
    <row r="11" spans="1:17" ht="13.5" customHeight="1" x14ac:dyDescent="0.2">
      <c r="A11" s="7"/>
      <c r="B11" s="3" t="s">
        <v>21</v>
      </c>
      <c r="C11" s="5" t="s">
        <v>9</v>
      </c>
      <c r="D11" s="6" t="s">
        <v>10</v>
      </c>
      <c r="E11" s="5" t="s">
        <v>11</v>
      </c>
      <c r="F11" s="5" t="s">
        <v>12</v>
      </c>
      <c r="G11" s="5" t="s">
        <v>13</v>
      </c>
      <c r="H11" s="5" t="s">
        <v>58</v>
      </c>
      <c r="I11" s="5" t="s">
        <v>14</v>
      </c>
      <c r="J11" s="5" t="s">
        <v>15</v>
      </c>
      <c r="K11" s="5" t="s">
        <v>67</v>
      </c>
      <c r="L11" s="5" t="s">
        <v>68</v>
      </c>
      <c r="M11" s="5" t="s">
        <v>69</v>
      </c>
      <c r="N11" s="37" t="s">
        <v>70</v>
      </c>
      <c r="O11" s="5" t="s">
        <v>1</v>
      </c>
      <c r="P11" s="5" t="s">
        <v>71</v>
      </c>
      <c r="Q11" s="5" t="s">
        <v>72</v>
      </c>
    </row>
    <row r="12" spans="1:17" ht="13.5" customHeight="1" x14ac:dyDescent="0.2">
      <c r="A12" s="3">
        <v>1</v>
      </c>
      <c r="B12" s="3">
        <v>2</v>
      </c>
      <c r="C12" s="3">
        <v>3</v>
      </c>
      <c r="D12" s="3">
        <v>4</v>
      </c>
      <c r="E12" s="3">
        <v>5</v>
      </c>
      <c r="F12" s="3">
        <v>6</v>
      </c>
      <c r="G12" s="3">
        <v>7</v>
      </c>
      <c r="H12" s="3">
        <v>8</v>
      </c>
      <c r="I12" s="3">
        <v>9</v>
      </c>
      <c r="J12" s="3">
        <v>10</v>
      </c>
      <c r="K12" s="3">
        <v>11</v>
      </c>
      <c r="L12" s="3">
        <v>12</v>
      </c>
      <c r="M12" s="3">
        <v>13</v>
      </c>
      <c r="N12" s="3">
        <v>14</v>
      </c>
      <c r="O12" s="3">
        <v>15</v>
      </c>
      <c r="P12" s="3">
        <v>16</v>
      </c>
      <c r="Q12" s="3">
        <v>17</v>
      </c>
    </row>
    <row r="13" spans="1:17" ht="25.5" x14ac:dyDescent="0.2">
      <c r="A13" s="8" t="s">
        <v>107</v>
      </c>
      <c r="B13" s="135" t="s">
        <v>34</v>
      </c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</row>
    <row r="14" spans="1:17" ht="22.5" customHeight="1" x14ac:dyDescent="0.2">
      <c r="A14" s="28" t="s">
        <v>108</v>
      </c>
      <c r="B14" s="120" t="s">
        <v>35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</row>
    <row r="15" spans="1:17" ht="13.5" customHeight="1" x14ac:dyDescent="0.2">
      <c r="A15" s="29" t="s">
        <v>109</v>
      </c>
      <c r="B15" s="136" t="s">
        <v>36</v>
      </c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</row>
    <row r="16" spans="1:17" ht="12.75" x14ac:dyDescent="0.2">
      <c r="A16" s="29" t="s">
        <v>110</v>
      </c>
      <c r="B16" s="120" t="s">
        <v>118</v>
      </c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</row>
    <row r="17" spans="1:17" ht="36" customHeight="1" x14ac:dyDescent="0.2">
      <c r="A17" s="30" t="s">
        <v>111</v>
      </c>
      <c r="B17" s="136" t="s">
        <v>37</v>
      </c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</row>
    <row r="18" spans="1:17" ht="13.5" customHeight="1" x14ac:dyDescent="0.2">
      <c r="A18" s="31" t="s">
        <v>112</v>
      </c>
      <c r="B18" s="120" t="s">
        <v>38</v>
      </c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</row>
    <row r="19" spans="1:17" ht="12.75" x14ac:dyDescent="0.2">
      <c r="A19" s="32" t="s">
        <v>113</v>
      </c>
      <c r="B19" s="136" t="s">
        <v>119</v>
      </c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</row>
    <row r="20" spans="1:17" ht="12.75" x14ac:dyDescent="0.2">
      <c r="A20" s="33" t="s">
        <v>114</v>
      </c>
      <c r="B20" s="120" t="s">
        <v>39</v>
      </c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</row>
    <row r="21" spans="1:17" ht="30.75" customHeight="1" x14ac:dyDescent="0.2">
      <c r="A21" s="28" t="s">
        <v>115</v>
      </c>
      <c r="B21" s="120" t="s">
        <v>40</v>
      </c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</row>
    <row r="22" spans="1:17" ht="13.5" customHeight="1" x14ac:dyDescent="0.2">
      <c r="A22" s="32" t="s">
        <v>116</v>
      </c>
      <c r="B22" s="120" t="s">
        <v>41</v>
      </c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</row>
    <row r="23" spans="1:17" ht="13.5" customHeight="1" thickBot="1" x14ac:dyDescent="0.25">
      <c r="A23" s="34" t="s">
        <v>117</v>
      </c>
      <c r="B23" s="120" t="s">
        <v>120</v>
      </c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</row>
    <row r="32" spans="1:17" ht="75" customHeight="1" x14ac:dyDescent="0.2">
      <c r="A32" s="115" t="str">
        <f>CONCATENATE("Informacja z wykonania budżetów województw za  ",$D$104," ",$C$105," roku")</f>
        <v>Informacja z wykonania budżetów województw za  - 2023 roku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</row>
    <row r="33" spans="1:17" ht="13.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7" ht="13.5" customHeight="1" x14ac:dyDescent="0.2">
      <c r="A34" s="68" t="s">
        <v>52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</row>
    <row r="36" spans="1:17" ht="13.5" customHeight="1" x14ac:dyDescent="0.2">
      <c r="A36" s="139" t="s">
        <v>0</v>
      </c>
      <c r="B36" s="140" t="s">
        <v>53</v>
      </c>
      <c r="C36" s="147" t="s">
        <v>55</v>
      </c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9"/>
      <c r="O36" s="147" t="s">
        <v>73</v>
      </c>
      <c r="P36" s="147"/>
      <c r="Q36" s="148"/>
    </row>
    <row r="37" spans="1:17" ht="13.5" customHeight="1" x14ac:dyDescent="0.2">
      <c r="A37" s="139"/>
      <c r="B37" s="140"/>
      <c r="C37" s="109" t="s">
        <v>54</v>
      </c>
      <c r="D37" s="143" t="s">
        <v>56</v>
      </c>
      <c r="E37" s="143" t="s">
        <v>74</v>
      </c>
      <c r="F37" s="143" t="s">
        <v>75</v>
      </c>
      <c r="G37" s="143" t="s">
        <v>76</v>
      </c>
      <c r="H37" s="143" t="s">
        <v>77</v>
      </c>
      <c r="I37" s="146" t="s">
        <v>78</v>
      </c>
      <c r="J37" s="58" t="s">
        <v>59</v>
      </c>
      <c r="K37" s="143" t="s">
        <v>60</v>
      </c>
      <c r="L37" s="143" t="s">
        <v>61</v>
      </c>
      <c r="M37" s="143" t="s">
        <v>62</v>
      </c>
      <c r="N37" s="150" t="s">
        <v>63</v>
      </c>
      <c r="O37" s="109" t="s">
        <v>64</v>
      </c>
      <c r="P37" s="143" t="s">
        <v>65</v>
      </c>
      <c r="Q37" s="109" t="s">
        <v>66</v>
      </c>
    </row>
    <row r="38" spans="1:17" ht="13.5" customHeight="1" x14ac:dyDescent="0.2">
      <c r="A38" s="139"/>
      <c r="B38" s="140"/>
      <c r="C38" s="110"/>
      <c r="D38" s="144"/>
      <c r="E38" s="144"/>
      <c r="F38" s="144"/>
      <c r="G38" s="144"/>
      <c r="H38" s="144"/>
      <c r="I38" s="146"/>
      <c r="J38" s="58"/>
      <c r="K38" s="144"/>
      <c r="L38" s="144"/>
      <c r="M38" s="144"/>
      <c r="N38" s="151"/>
      <c r="O38" s="110"/>
      <c r="P38" s="144"/>
      <c r="Q38" s="110"/>
    </row>
    <row r="39" spans="1:17" ht="13.5" customHeight="1" x14ac:dyDescent="0.2">
      <c r="A39" s="139"/>
      <c r="B39" s="140"/>
      <c r="C39" s="110"/>
      <c r="D39" s="144"/>
      <c r="E39" s="144"/>
      <c r="F39" s="144"/>
      <c r="G39" s="144"/>
      <c r="H39" s="144"/>
      <c r="I39" s="146"/>
      <c r="J39" s="58"/>
      <c r="K39" s="144"/>
      <c r="L39" s="144"/>
      <c r="M39" s="144"/>
      <c r="N39" s="151"/>
      <c r="O39" s="110"/>
      <c r="P39" s="144"/>
      <c r="Q39" s="110"/>
    </row>
    <row r="40" spans="1:17" ht="13.5" customHeight="1" x14ac:dyDescent="0.2">
      <c r="A40" s="139"/>
      <c r="B40" s="140"/>
      <c r="C40" s="110"/>
      <c r="D40" s="144"/>
      <c r="E40" s="144"/>
      <c r="F40" s="144"/>
      <c r="G40" s="144"/>
      <c r="H40" s="144"/>
      <c r="I40" s="146"/>
      <c r="J40" s="58"/>
      <c r="K40" s="144"/>
      <c r="L40" s="144"/>
      <c r="M40" s="144"/>
      <c r="N40" s="151"/>
      <c r="O40" s="110"/>
      <c r="P40" s="144"/>
      <c r="Q40" s="110"/>
    </row>
    <row r="41" spans="1:17" ht="22.5" customHeight="1" x14ac:dyDescent="0.2">
      <c r="A41" s="139"/>
      <c r="B41" s="140"/>
      <c r="C41" s="111"/>
      <c r="D41" s="145"/>
      <c r="E41" s="145"/>
      <c r="F41" s="145"/>
      <c r="G41" s="145"/>
      <c r="H41" s="145"/>
      <c r="I41" s="146"/>
      <c r="J41" s="58"/>
      <c r="K41" s="145"/>
      <c r="L41" s="145"/>
      <c r="M41" s="145"/>
      <c r="N41" s="152"/>
      <c r="O41" s="111"/>
      <c r="P41" s="145"/>
      <c r="Q41" s="111"/>
    </row>
    <row r="42" spans="1:17" ht="13.5" customHeight="1" x14ac:dyDescent="0.2">
      <c r="A42" s="21"/>
      <c r="B42" s="22" t="s">
        <v>22</v>
      </c>
      <c r="C42" s="18" t="s">
        <v>9</v>
      </c>
      <c r="D42" s="6" t="s">
        <v>10</v>
      </c>
      <c r="E42" s="3" t="s">
        <v>11</v>
      </c>
      <c r="F42" s="5" t="s">
        <v>12</v>
      </c>
      <c r="G42" s="5" t="s">
        <v>13</v>
      </c>
      <c r="H42" s="5" t="s">
        <v>58</v>
      </c>
      <c r="I42" s="3" t="s">
        <v>14</v>
      </c>
      <c r="J42" s="3" t="s">
        <v>15</v>
      </c>
      <c r="K42" s="5" t="s">
        <v>67</v>
      </c>
      <c r="L42" s="5" t="s">
        <v>68</v>
      </c>
      <c r="M42" s="5" t="s">
        <v>69</v>
      </c>
      <c r="N42" s="19" t="s">
        <v>70</v>
      </c>
      <c r="O42" s="18" t="s">
        <v>1</v>
      </c>
      <c r="P42" s="5" t="s">
        <v>71</v>
      </c>
      <c r="Q42" s="5" t="s">
        <v>72</v>
      </c>
    </row>
    <row r="43" spans="1:17" ht="13.5" customHeight="1" x14ac:dyDescent="0.2">
      <c r="A43" s="19">
        <v>1</v>
      </c>
      <c r="B43" s="22">
        <v>2</v>
      </c>
      <c r="C43" s="4">
        <v>3</v>
      </c>
      <c r="D43" s="3">
        <v>4</v>
      </c>
      <c r="E43" s="3">
        <v>5</v>
      </c>
      <c r="F43" s="3">
        <v>6</v>
      </c>
      <c r="G43" s="3">
        <v>7</v>
      </c>
      <c r="H43" s="3">
        <v>8</v>
      </c>
      <c r="I43" s="3">
        <v>9</v>
      </c>
      <c r="J43" s="3">
        <v>10</v>
      </c>
      <c r="K43" s="3">
        <v>11</v>
      </c>
      <c r="L43" s="3">
        <v>12</v>
      </c>
      <c r="M43" s="3">
        <v>13</v>
      </c>
      <c r="N43" s="20">
        <v>14</v>
      </c>
      <c r="O43" s="4">
        <v>15</v>
      </c>
      <c r="P43" s="3">
        <v>16</v>
      </c>
      <c r="Q43" s="3">
        <v>17</v>
      </c>
    </row>
    <row r="44" spans="1:17" ht="30" customHeight="1" x14ac:dyDescent="0.2">
      <c r="A44" s="23" t="s">
        <v>79</v>
      </c>
      <c r="B44" s="141" t="s">
        <v>42</v>
      </c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2"/>
    </row>
    <row r="45" spans="1:17" ht="15.75" customHeight="1" x14ac:dyDescent="0.2">
      <c r="A45" s="24" t="s">
        <v>92</v>
      </c>
      <c r="B45" s="107" t="s">
        <v>43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8"/>
    </row>
    <row r="46" spans="1:17" ht="13.5" customHeight="1" x14ac:dyDescent="0.2">
      <c r="A46" s="25" t="s">
        <v>80</v>
      </c>
      <c r="B46" s="137" t="s">
        <v>44</v>
      </c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8"/>
    </row>
    <row r="47" spans="1:17" ht="12.75" x14ac:dyDescent="0.2">
      <c r="A47" s="25" t="s">
        <v>81</v>
      </c>
      <c r="B47" s="137" t="s">
        <v>97</v>
      </c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8"/>
    </row>
    <row r="48" spans="1:17" ht="13.5" customHeight="1" x14ac:dyDescent="0.2">
      <c r="A48" s="24" t="s">
        <v>93</v>
      </c>
      <c r="B48" s="137" t="s">
        <v>148</v>
      </c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8"/>
    </row>
    <row r="49" spans="1:17" ht="13.5" customHeight="1" x14ac:dyDescent="0.2">
      <c r="A49" s="25" t="s">
        <v>82</v>
      </c>
      <c r="B49" s="107" t="s">
        <v>45</v>
      </c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8"/>
    </row>
    <row r="50" spans="1:17" ht="12.75" x14ac:dyDescent="0.2">
      <c r="A50" s="25" t="s">
        <v>83</v>
      </c>
      <c r="B50" s="137" t="s">
        <v>98</v>
      </c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8"/>
    </row>
    <row r="51" spans="1:17" ht="12.75" x14ac:dyDescent="0.2">
      <c r="A51" s="26" t="s">
        <v>94</v>
      </c>
      <c r="B51" s="107" t="s">
        <v>46</v>
      </c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8"/>
    </row>
    <row r="52" spans="1:17" ht="13.5" customHeight="1" x14ac:dyDescent="0.2">
      <c r="A52" s="25" t="s">
        <v>84</v>
      </c>
      <c r="B52" s="107" t="s">
        <v>99</v>
      </c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8"/>
    </row>
    <row r="53" spans="1:17" ht="13.5" customHeight="1" x14ac:dyDescent="0.2">
      <c r="A53" s="25" t="s">
        <v>85</v>
      </c>
      <c r="B53" s="107" t="s">
        <v>100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8"/>
    </row>
    <row r="54" spans="1:17" ht="13.5" customHeight="1" x14ac:dyDescent="0.2">
      <c r="A54" s="25" t="s">
        <v>86</v>
      </c>
      <c r="B54" s="107" t="s">
        <v>101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8"/>
    </row>
    <row r="55" spans="1:17" ht="13.5" customHeight="1" x14ac:dyDescent="0.2">
      <c r="A55" s="24" t="s">
        <v>95</v>
      </c>
      <c r="B55" s="107" t="s">
        <v>47</v>
      </c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8"/>
    </row>
    <row r="56" spans="1:17" ht="13.5" customHeight="1" x14ac:dyDescent="0.2">
      <c r="A56" s="25" t="s">
        <v>87</v>
      </c>
      <c r="B56" s="107" t="s">
        <v>48</v>
      </c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8"/>
    </row>
    <row r="57" spans="1:17" ht="13.5" customHeight="1" x14ac:dyDescent="0.2">
      <c r="A57" s="25" t="s">
        <v>88</v>
      </c>
      <c r="B57" s="107" t="s">
        <v>102</v>
      </c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8"/>
    </row>
    <row r="58" spans="1:17" ht="13.5" customHeight="1" x14ac:dyDescent="0.2">
      <c r="A58" s="24" t="s">
        <v>96</v>
      </c>
      <c r="B58" s="107" t="s">
        <v>103</v>
      </c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8"/>
    </row>
    <row r="59" spans="1:17" ht="13.5" customHeight="1" x14ac:dyDescent="0.2">
      <c r="A59" s="25" t="s">
        <v>89</v>
      </c>
      <c r="B59" s="153" t="s">
        <v>104</v>
      </c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8"/>
    </row>
    <row r="60" spans="1:17" ht="24" customHeight="1" x14ac:dyDescent="0.2">
      <c r="A60" s="25" t="s">
        <v>90</v>
      </c>
      <c r="B60" s="153" t="s">
        <v>105</v>
      </c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8"/>
    </row>
    <row r="61" spans="1:17" ht="18" customHeight="1" thickBot="1" x14ac:dyDescent="0.25">
      <c r="A61" s="27" t="s">
        <v>91</v>
      </c>
      <c r="B61" s="153" t="s">
        <v>106</v>
      </c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8"/>
    </row>
    <row r="65" spans="1:13" ht="75" customHeight="1" x14ac:dyDescent="0.2">
      <c r="A65" s="115" t="str">
        <f>CONCATENATE("Informacja z wykonania budżetów województw za ",$D$104," ",$C$105," roku")</f>
        <v>Informacja z wykonania budżetów województw za - 2023 roku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</row>
    <row r="66" spans="1:13" ht="13.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3.5" customHeight="1" x14ac:dyDescent="0.2">
      <c r="B67" s="68" t="s">
        <v>5</v>
      </c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</row>
    <row r="69" spans="1:13" ht="13.5" customHeight="1" x14ac:dyDescent="0.2">
      <c r="B69" s="134" t="s">
        <v>0</v>
      </c>
      <c r="C69" s="134"/>
      <c r="D69" s="134"/>
      <c r="E69" s="134"/>
      <c r="F69" s="84" t="s">
        <v>2</v>
      </c>
      <c r="G69" s="59" t="s">
        <v>142</v>
      </c>
      <c r="H69" s="88"/>
      <c r="I69" s="88"/>
      <c r="J69" s="88"/>
      <c r="K69" s="88"/>
      <c r="L69" s="89"/>
    </row>
    <row r="70" spans="1:13" ht="13.5" customHeight="1" x14ac:dyDescent="0.2">
      <c r="B70" s="134"/>
      <c r="C70" s="134"/>
      <c r="D70" s="134"/>
      <c r="E70" s="134"/>
      <c r="F70" s="85"/>
      <c r="G70" s="58" t="s">
        <v>6</v>
      </c>
      <c r="H70" s="58" t="s">
        <v>74</v>
      </c>
      <c r="I70" s="58" t="s">
        <v>141</v>
      </c>
      <c r="J70" s="58" t="s">
        <v>76</v>
      </c>
      <c r="K70" s="58" t="s">
        <v>77</v>
      </c>
      <c r="L70" s="104" t="s">
        <v>147</v>
      </c>
    </row>
    <row r="71" spans="1:13" ht="13.5" customHeight="1" x14ac:dyDescent="0.2">
      <c r="B71" s="134"/>
      <c r="C71" s="134"/>
      <c r="D71" s="134"/>
      <c r="E71" s="134"/>
      <c r="F71" s="85"/>
      <c r="G71" s="58"/>
      <c r="H71" s="58"/>
      <c r="I71" s="58"/>
      <c r="J71" s="58"/>
      <c r="K71" s="58"/>
      <c r="L71" s="105"/>
    </row>
    <row r="72" spans="1:13" ht="22.5" customHeight="1" x14ac:dyDescent="0.2">
      <c r="B72" s="134"/>
      <c r="C72" s="134"/>
      <c r="D72" s="134"/>
      <c r="E72" s="134"/>
      <c r="F72" s="86"/>
      <c r="G72" s="58"/>
      <c r="H72" s="58"/>
      <c r="I72" s="58"/>
      <c r="J72" s="58"/>
      <c r="K72" s="58"/>
      <c r="L72" s="106"/>
    </row>
    <row r="73" spans="1:13" ht="13.5" customHeight="1" x14ac:dyDescent="0.2">
      <c r="B73" s="58"/>
      <c r="C73" s="58"/>
      <c r="D73" s="58"/>
      <c r="E73" s="58"/>
      <c r="F73" s="3" t="s">
        <v>20</v>
      </c>
      <c r="G73" s="3" t="s">
        <v>16</v>
      </c>
      <c r="H73" s="3" t="s">
        <v>17</v>
      </c>
      <c r="I73" s="3" t="s">
        <v>18</v>
      </c>
      <c r="J73" s="3" t="s">
        <v>19</v>
      </c>
      <c r="K73" s="3" t="s">
        <v>132</v>
      </c>
      <c r="L73" s="42" t="s">
        <v>133</v>
      </c>
    </row>
    <row r="74" spans="1:13" ht="13.5" customHeight="1" x14ac:dyDescent="0.2">
      <c r="B74" s="58">
        <v>1</v>
      </c>
      <c r="C74" s="58"/>
      <c r="D74" s="58"/>
      <c r="E74" s="58"/>
      <c r="F74" s="3">
        <v>2</v>
      </c>
      <c r="G74" s="3">
        <v>3</v>
      </c>
      <c r="H74" s="3">
        <v>4</v>
      </c>
      <c r="I74" s="3">
        <v>5</v>
      </c>
      <c r="J74" s="3">
        <v>6</v>
      </c>
      <c r="K74" s="3">
        <v>7</v>
      </c>
      <c r="L74" s="40">
        <v>8</v>
      </c>
    </row>
    <row r="75" spans="1:13" ht="33.75" customHeight="1" x14ac:dyDescent="0.2">
      <c r="B75" s="127" t="s">
        <v>121</v>
      </c>
      <c r="C75" s="127"/>
      <c r="D75" s="127"/>
      <c r="E75" s="127"/>
      <c r="F75" s="122" t="s">
        <v>49</v>
      </c>
      <c r="G75" s="122"/>
      <c r="H75" s="122"/>
      <c r="I75" s="122"/>
      <c r="J75" s="122"/>
      <c r="K75" s="122"/>
      <c r="L75" s="122"/>
    </row>
    <row r="76" spans="1:13" ht="33.75" customHeight="1" x14ac:dyDescent="0.2">
      <c r="B76" s="126" t="s">
        <v>122</v>
      </c>
      <c r="C76" s="126"/>
      <c r="D76" s="126"/>
      <c r="E76" s="126"/>
      <c r="F76" s="126" t="s">
        <v>50</v>
      </c>
      <c r="G76" s="126"/>
      <c r="H76" s="126"/>
      <c r="I76" s="126"/>
      <c r="J76" s="126"/>
      <c r="K76" s="126"/>
      <c r="L76" s="126"/>
    </row>
    <row r="77" spans="1:13" ht="33.75" customHeight="1" x14ac:dyDescent="0.2">
      <c r="B77" s="127" t="s">
        <v>123</v>
      </c>
      <c r="C77" s="127"/>
      <c r="D77" s="127"/>
      <c r="E77" s="127"/>
      <c r="F77" s="127" t="s">
        <v>51</v>
      </c>
      <c r="G77" s="127"/>
      <c r="H77" s="127"/>
      <c r="I77" s="127"/>
      <c r="J77" s="127"/>
      <c r="K77" s="127"/>
      <c r="L77" s="127"/>
    </row>
    <row r="78" spans="1:13" ht="22.5" customHeight="1" x14ac:dyDescent="0.2">
      <c r="B78" s="127" t="s">
        <v>124</v>
      </c>
      <c r="C78" s="127"/>
      <c r="D78" s="127"/>
      <c r="E78" s="127"/>
      <c r="F78" s="126" t="s">
        <v>128</v>
      </c>
      <c r="G78" s="126"/>
      <c r="H78" s="126"/>
      <c r="I78" s="126"/>
      <c r="J78" s="126"/>
      <c r="K78" s="126"/>
      <c r="L78" s="126"/>
    </row>
    <row r="79" spans="1:13" ht="33.75" customHeight="1" x14ac:dyDescent="0.2">
      <c r="B79" s="126" t="s">
        <v>125</v>
      </c>
      <c r="C79" s="126"/>
      <c r="D79" s="126"/>
      <c r="E79" s="126"/>
      <c r="F79" s="127" t="s">
        <v>129</v>
      </c>
      <c r="G79" s="127"/>
      <c r="H79" s="127"/>
      <c r="I79" s="127"/>
      <c r="J79" s="127"/>
      <c r="K79" s="127"/>
      <c r="L79" s="127"/>
    </row>
    <row r="80" spans="1:13" ht="33.75" customHeight="1" x14ac:dyDescent="0.2">
      <c r="B80" s="127" t="s">
        <v>126</v>
      </c>
      <c r="C80" s="127"/>
      <c r="D80" s="127"/>
      <c r="E80" s="127"/>
      <c r="F80" s="126" t="s">
        <v>130</v>
      </c>
      <c r="G80" s="126"/>
      <c r="H80" s="126"/>
      <c r="I80" s="126"/>
      <c r="J80" s="126"/>
      <c r="K80" s="126"/>
      <c r="L80" s="126"/>
    </row>
    <row r="81" spans="1:13" ht="22.5" customHeight="1" x14ac:dyDescent="0.2">
      <c r="B81" s="117" t="s">
        <v>127</v>
      </c>
      <c r="C81" s="118"/>
      <c r="D81" s="118"/>
      <c r="E81" s="119"/>
      <c r="F81" s="127" t="s">
        <v>131</v>
      </c>
      <c r="G81" s="127"/>
      <c r="H81" s="127"/>
      <c r="I81" s="127"/>
      <c r="J81" s="127"/>
      <c r="K81" s="127"/>
      <c r="L81" s="127"/>
    </row>
    <row r="82" spans="1:13" ht="18.75" customHeight="1" x14ac:dyDescent="0.2">
      <c r="A82" s="35"/>
      <c r="B82" s="36"/>
      <c r="C82" s="36"/>
      <c r="D82" s="36"/>
      <c r="E82" s="36"/>
      <c r="F82" s="121"/>
      <c r="G82" s="121"/>
      <c r="H82" s="121"/>
      <c r="I82" s="121"/>
      <c r="J82" s="121"/>
      <c r="K82" s="121"/>
      <c r="L82" s="35"/>
    </row>
    <row r="83" spans="1:13" ht="13.5" customHeight="1" x14ac:dyDescent="0.2">
      <c r="C83" s="35"/>
      <c r="G83" s="35"/>
      <c r="H83" s="35"/>
      <c r="I83" s="35"/>
      <c r="J83" s="35"/>
      <c r="K83" s="35"/>
    </row>
    <row r="94" spans="1:13" ht="75" customHeight="1" x14ac:dyDescent="0.2">
      <c r="A94" s="115" t="str">
        <f>CONCATENATE("Informacja z wykonania budżetów województw za  ",$D$104," ",$C$105," roku")</f>
        <v>Informacja z wykonania budżetów województw za  - 2023 roku</v>
      </c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</row>
    <row r="95" spans="1:13" ht="13.5" customHeight="1" x14ac:dyDescent="0.2">
      <c r="B95" s="9"/>
    </row>
    <row r="96" spans="1:13" ht="13.5" customHeight="1" x14ac:dyDescent="0.2">
      <c r="B96" s="10"/>
      <c r="C96" s="59"/>
      <c r="D96" s="88"/>
      <c r="E96" s="88"/>
      <c r="F96" s="89"/>
      <c r="G96" s="59" t="s">
        <v>7</v>
      </c>
      <c r="H96" s="89"/>
      <c r="I96" s="59" t="s">
        <v>8</v>
      </c>
      <c r="J96" s="89"/>
      <c r="K96" s="10"/>
    </row>
    <row r="97" spans="2:11" ht="13.5" customHeight="1" x14ac:dyDescent="0.2">
      <c r="B97" s="10"/>
      <c r="C97" s="14"/>
      <c r="D97" s="13"/>
      <c r="E97" s="13"/>
      <c r="F97" s="4"/>
      <c r="G97" s="59" t="s">
        <v>33</v>
      </c>
      <c r="H97" s="89"/>
      <c r="I97" s="59" t="s">
        <v>32</v>
      </c>
      <c r="J97" s="89"/>
      <c r="K97" s="10"/>
    </row>
    <row r="98" spans="2:11" ht="13.5" customHeight="1" x14ac:dyDescent="0.2">
      <c r="B98" s="11"/>
      <c r="C98" s="117" t="s">
        <v>23</v>
      </c>
      <c r="D98" s="118"/>
      <c r="E98" s="118"/>
      <c r="F98" s="119"/>
      <c r="G98" s="128" t="s">
        <v>29</v>
      </c>
      <c r="H98" s="129"/>
      <c r="I98" s="129"/>
      <c r="J98" s="130"/>
      <c r="K98" s="12"/>
    </row>
    <row r="99" spans="2:11" ht="13.5" customHeight="1" x14ac:dyDescent="0.2">
      <c r="B99" s="11"/>
      <c r="C99" s="123" t="s">
        <v>24</v>
      </c>
      <c r="D99" s="124"/>
      <c r="E99" s="124"/>
      <c r="F99" s="125"/>
      <c r="G99" s="131" t="s">
        <v>30</v>
      </c>
      <c r="H99" s="132"/>
      <c r="I99" s="132"/>
      <c r="J99" s="133"/>
      <c r="K99" s="12"/>
    </row>
    <row r="100" spans="2:11" ht="13.5" customHeight="1" x14ac:dyDescent="0.2">
      <c r="B100" s="11"/>
      <c r="C100" s="117" t="s">
        <v>25</v>
      </c>
      <c r="D100" s="118"/>
      <c r="E100" s="118"/>
      <c r="F100" s="119"/>
      <c r="G100" s="128" t="s">
        <v>31</v>
      </c>
      <c r="H100" s="129"/>
      <c r="I100" s="129"/>
      <c r="J100" s="130"/>
      <c r="K100" s="12"/>
    </row>
    <row r="104" spans="2:11" ht="13.5" customHeight="1" x14ac:dyDescent="0.2">
      <c r="B104" s="15" t="s">
        <v>26</v>
      </c>
      <c r="C104" s="15">
        <f>2</f>
        <v>2</v>
      </c>
      <c r="D104" s="15" t="str">
        <f>IF(C104="1","I Kwartał",IF(C104="2","II Kwartały",IF(C104="3","III Kwartały",IF(C104="4","IV Kwartały","-"))))</f>
        <v>-</v>
      </c>
    </row>
    <row r="105" spans="2:11" ht="13.5" customHeight="1" x14ac:dyDescent="0.2">
      <c r="B105" s="15" t="s">
        <v>27</v>
      </c>
      <c r="C105" s="15">
        <f>2023</f>
        <v>2023</v>
      </c>
      <c r="D105" s="16"/>
    </row>
    <row r="106" spans="2:11" ht="13.5" customHeight="1" x14ac:dyDescent="0.2">
      <c r="B106" s="15" t="s">
        <v>28</v>
      </c>
      <c r="C106" s="17" t="str">
        <f>"Aug 14 2023 12:00AM"</f>
        <v>Aug 14 2023 12:00AM</v>
      </c>
      <c r="D106" s="16"/>
    </row>
  </sheetData>
  <mergeCells count="111">
    <mergeCell ref="B17:Q17"/>
    <mergeCell ref="B18:Q18"/>
    <mergeCell ref="B19:Q19"/>
    <mergeCell ref="B20:Q20"/>
    <mergeCell ref="O37:O41"/>
    <mergeCell ref="B55:Q55"/>
    <mergeCell ref="B53:Q53"/>
    <mergeCell ref="B54:Q54"/>
    <mergeCell ref="B50:Q50"/>
    <mergeCell ref="E37:E41"/>
    <mergeCell ref="B61:Q61"/>
    <mergeCell ref="B60:Q60"/>
    <mergeCell ref="B56:Q56"/>
    <mergeCell ref="B57:Q57"/>
    <mergeCell ref="B58:Q58"/>
    <mergeCell ref="B59:Q59"/>
    <mergeCell ref="B49:Q49"/>
    <mergeCell ref="I37:I41"/>
    <mergeCell ref="O36:Q36"/>
    <mergeCell ref="C36:N36"/>
    <mergeCell ref="P37:P41"/>
    <mergeCell ref="D37:D41"/>
    <mergeCell ref="L37:L41"/>
    <mergeCell ref="M37:M41"/>
    <mergeCell ref="N37:N41"/>
    <mergeCell ref="C37:C41"/>
    <mergeCell ref="H37:H41"/>
    <mergeCell ref="G37:G41"/>
    <mergeCell ref="F37:F41"/>
    <mergeCell ref="J37:J41"/>
    <mergeCell ref="K37:K41"/>
    <mergeCell ref="B48:Q48"/>
    <mergeCell ref="A1:M1"/>
    <mergeCell ref="B51:Q51"/>
    <mergeCell ref="B46:Q46"/>
    <mergeCell ref="B47:Q47"/>
    <mergeCell ref="A32:M32"/>
    <mergeCell ref="A34:M34"/>
    <mergeCell ref="A36:A41"/>
    <mergeCell ref="B36:B41"/>
    <mergeCell ref="B44:Q44"/>
    <mergeCell ref="B45:Q45"/>
    <mergeCell ref="A3:M3"/>
    <mergeCell ref="B16:Q16"/>
    <mergeCell ref="A5:A10"/>
    <mergeCell ref="B5:B10"/>
    <mergeCell ref="B13:Q13"/>
    <mergeCell ref="B14:Q14"/>
    <mergeCell ref="B15:Q15"/>
    <mergeCell ref="D6:D10"/>
    <mergeCell ref="C6:C10"/>
    <mergeCell ref="E6:E10"/>
    <mergeCell ref="B74:E74"/>
    <mergeCell ref="B73:E73"/>
    <mergeCell ref="B69:E72"/>
    <mergeCell ref="F69:F72"/>
    <mergeCell ref="G70:G72"/>
    <mergeCell ref="A94:M94"/>
    <mergeCell ref="F81:L81"/>
    <mergeCell ref="B75:E75"/>
    <mergeCell ref="B76:E76"/>
    <mergeCell ref="B77:E77"/>
    <mergeCell ref="F77:L77"/>
    <mergeCell ref="F78:L78"/>
    <mergeCell ref="G100:J100"/>
    <mergeCell ref="G97:H97"/>
    <mergeCell ref="I97:J97"/>
    <mergeCell ref="G98:J98"/>
    <mergeCell ref="G99:J99"/>
    <mergeCell ref="C96:F96"/>
    <mergeCell ref="C98:F98"/>
    <mergeCell ref="C99:F99"/>
    <mergeCell ref="G96:H96"/>
    <mergeCell ref="I96:J96"/>
    <mergeCell ref="F76:L76"/>
    <mergeCell ref="B79:E79"/>
    <mergeCell ref="B80:E80"/>
    <mergeCell ref="B81:E81"/>
    <mergeCell ref="F79:L79"/>
    <mergeCell ref="F80:L80"/>
    <mergeCell ref="B78:E78"/>
    <mergeCell ref="G6:G10"/>
    <mergeCell ref="H6:H10"/>
    <mergeCell ref="I6:I10"/>
    <mergeCell ref="J6:J10"/>
    <mergeCell ref="C100:F100"/>
    <mergeCell ref="B21:Q21"/>
    <mergeCell ref="B22:Q22"/>
    <mergeCell ref="B23:Q23"/>
    <mergeCell ref="F82:K82"/>
    <mergeCell ref="F75:L75"/>
    <mergeCell ref="O5:Q5"/>
    <mergeCell ref="P6:P10"/>
    <mergeCell ref="O6:O10"/>
    <mergeCell ref="Q6:Q10"/>
    <mergeCell ref="C5:N5"/>
    <mergeCell ref="G69:L69"/>
    <mergeCell ref="M6:M10"/>
    <mergeCell ref="A65:M65"/>
    <mergeCell ref="F6:F10"/>
    <mergeCell ref="N6:N10"/>
    <mergeCell ref="K70:K72"/>
    <mergeCell ref="J70:J72"/>
    <mergeCell ref="I70:I72"/>
    <mergeCell ref="H70:H72"/>
    <mergeCell ref="L70:L72"/>
    <mergeCell ref="K6:K10"/>
    <mergeCell ref="L6:L10"/>
    <mergeCell ref="B67:M67"/>
    <mergeCell ref="B52:Q52"/>
    <mergeCell ref="Q37:Q41"/>
  </mergeCells>
  <phoneticPr fontId="5" type="noConversion"/>
  <pageMargins left="0.19685039370078741" right="0.19685039370078741" top="0.19685039370078741" bottom="0.19685039370078741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zob_nal</vt:lpstr>
      <vt:lpstr>definicja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2009-11-20T13:14:31Z</cp:lastPrinted>
  <dcterms:created xsi:type="dcterms:W3CDTF">2001-05-17T08:58:03Z</dcterms:created>
  <dcterms:modified xsi:type="dcterms:W3CDTF">2023-08-14T13:40:26Z</dcterms:modified>
</cp:coreProperties>
</file>