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<sst xmlns="http://schemas.openxmlformats.org/spreadsheetml/2006/main" count="95" uniqueCount="78">
  <si>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</si>
  <si>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</si>
  <si>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</si>
  <si>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</si>
  <si>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</si>
  <si>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</si>
  <si>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</si>
  <si>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</si>
  <si>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</si>
  <si>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</si>
  <si>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</si>
  <si>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</si>
  <si>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</si>
  <si>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</si>
  <si>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</si>
  <si>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</si>
  <si>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</si>
  <si>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</si>
  <si>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</si>
  <si>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</si>
  <si>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</si>
  <si>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</si>
  <si>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</si>
  <si>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</si>
  <si>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</si>
  <si>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</si>
  <si>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</si>
  <si>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</si>
  <si>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</si>
  <si>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</si>
  <si>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</si>
  <si>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</si>
  <si>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</si>
  <si>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</si>
  <si>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</si>
  <si>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</si>
  <si>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</si>
  <si>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</si>
  <si>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</si>
  <si>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</si>
  <si>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</si>
  <si>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</si>
  <si>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</si>
  <si>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</si>
  <si>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</si>
  <si>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</si>
  <si>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</si>
  <si>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</si>
  <si>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</si>
  <si>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</si>
  <si>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</si>
  <si>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</si>
  <si>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</si>
  <si>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</si>
  <si>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</si>
  <si>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</si>
  <si>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</si>
  <si>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</si>
  <si>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</si>
  <si>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</si>
  <si>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</si>
  <si>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</si>
  <si>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</si>
  <si>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</si>
  <si>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</si>
  <si>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</si>
  <si>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</si>
  <si>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</si>
  <si>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</si>
  <si>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</si>
  <si>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</si>
  <si>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</si>
  <si>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</si>
  <si>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</si>
  <si>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</si>
  <si>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</si>
  <si>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</si>
  <si>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II Kwartały 2019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</si>
</sst>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76453522925.04</f>
        <v>76453522925.04</v>
      </c>
      <c r="C13" s="20">
        <f>60306342668.22</f>
        <v>60306342668.22</v>
      </c>
      <c r="D13" s="20">
        <f>3364553287.74</f>
        <v>3364553287.74</v>
      </c>
      <c r="E13" s="20">
        <f>732295597.02</f>
        <v>732295597.02</v>
      </c>
      <c r="F13" s="20">
        <f>356965156</f>
        <v>356965156</v>
      </c>
      <c r="G13" s="20">
        <f>2271075576.94</f>
        <v>2271075576.94</v>
      </c>
      <c r="H13" s="20">
        <f>4216957.78</f>
        <v>4216957.78</v>
      </c>
      <c r="I13" s="20">
        <f>0</f>
        <v>0</v>
      </c>
      <c r="J13" s="20">
        <f>55186323438.74</f>
        <v>55186323438.74</v>
      </c>
      <c r="K13" s="20">
        <f>949090856.24</f>
        <v>949090856.24</v>
      </c>
      <c r="L13" s="20">
        <f>757753359.55</f>
        <v>757753359.55</v>
      </c>
      <c r="M13" s="20">
        <f>34504558.6</f>
        <v>34504558.6</v>
      </c>
      <c r="N13" s="20">
        <f>14117167.35</f>
        <v>14117167.35</v>
      </c>
      <c r="O13" s="20">
        <f>16147180256.82</f>
        <v>16147180256.82</v>
      </c>
      <c r="P13" s="20">
        <f>16147179957.54</f>
        <v>16147179957.54</v>
      </c>
      <c r="Q13" s="20">
        <f>299.28</f>
        <v>299.28</v>
      </c>
    </row>
    <row r="14" spans="1:17" ht="41.25" customHeight="1">
      <c r="A14" s="18" t="s">
        <v>73</v>
      </c>
      <c r="B14" s="20">
        <f>3667936109.01</f>
        <v>3667936109.01</v>
      </c>
      <c r="C14" s="20">
        <f>3667936109.01</f>
        <v>3667936109.01</v>
      </c>
      <c r="D14" s="20">
        <f>1754816.31</f>
        <v>1754816.31</v>
      </c>
      <c r="E14" s="20">
        <f>0</f>
        <v>0</v>
      </c>
      <c r="F14" s="20">
        <f>809990.27</f>
        <v>809990.27</v>
      </c>
      <c r="G14" s="20">
        <f>944826.04</f>
        <v>944826.04</v>
      </c>
      <c r="H14" s="20">
        <f>0</f>
        <v>0</v>
      </c>
      <c r="I14" s="20">
        <f>0</f>
        <v>0</v>
      </c>
      <c r="J14" s="20">
        <f>3633652686.97</f>
        <v>3633652686.97</v>
      </c>
      <c r="K14" s="20">
        <f>32526117.61</f>
        <v>32526117.61</v>
      </c>
      <c r="L14" s="20">
        <f>2488.12</f>
        <v>2488.12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1533829</f>
        <v>1533829</v>
      </c>
      <c r="C15" s="21">
        <f>1533829</f>
        <v>1533829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1533829</f>
        <v>1533829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3666402280.01</f>
        <v>3666402280.01</v>
      </c>
      <c r="C16" s="21">
        <f>3666402280.01</f>
        <v>3666402280.01</v>
      </c>
      <c r="D16" s="21">
        <f>1754816.31</f>
        <v>1754816.31</v>
      </c>
      <c r="E16" s="21">
        <f>0</f>
        <v>0</v>
      </c>
      <c r="F16" s="21">
        <f>809990.27</f>
        <v>809990.27</v>
      </c>
      <c r="G16" s="21">
        <f>944826.04</f>
        <v>944826.04</v>
      </c>
      <c r="H16" s="21">
        <f>0</f>
        <v>0</v>
      </c>
      <c r="I16" s="21">
        <f>0</f>
        <v>0</v>
      </c>
      <c r="J16" s="21">
        <f>3632118857.97</f>
        <v>3632118857.97</v>
      </c>
      <c r="K16" s="21">
        <f>32526117.61</f>
        <v>32526117.61</v>
      </c>
      <c r="L16" s="21">
        <f>2488.12</f>
        <v>2488.12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72704969383.69</f>
        <v>72704969383.69</v>
      </c>
      <c r="C17" s="20">
        <f>56557789455.53</f>
        <v>56557789455.53</v>
      </c>
      <c r="D17" s="20">
        <f>3337782915.45</f>
        <v>3337782915.45</v>
      </c>
      <c r="E17" s="20">
        <f>731240172.62</f>
        <v>731240172.62</v>
      </c>
      <c r="F17" s="20">
        <f>355865472.56</f>
        <v>355865472.56</v>
      </c>
      <c r="G17" s="20">
        <f>2247905320.72</f>
        <v>2247905320.72</v>
      </c>
      <c r="H17" s="20">
        <f>2771949.55</f>
        <v>2771949.55</v>
      </c>
      <c r="I17" s="20">
        <f>0</f>
        <v>0</v>
      </c>
      <c r="J17" s="20">
        <f>51552600137.06</f>
        <v>51552600137.06</v>
      </c>
      <c r="K17" s="20">
        <f>916375954.13</f>
        <v>916375954.13</v>
      </c>
      <c r="L17" s="20">
        <f>733662992.38</f>
        <v>733662992.38</v>
      </c>
      <c r="M17" s="20">
        <f>8722137.47</f>
        <v>8722137.47</v>
      </c>
      <c r="N17" s="20">
        <f>8645319.04</f>
        <v>8645319.04</v>
      </c>
      <c r="O17" s="20">
        <f>16147179928.16</f>
        <v>16147179928.16</v>
      </c>
      <c r="P17" s="20">
        <f>16147179928.16</f>
        <v>16147179928.16</v>
      </c>
      <c r="Q17" s="20">
        <f>0</f>
        <v>0</v>
      </c>
    </row>
    <row r="18" spans="1:17" ht="22.5">
      <c r="A18" s="15" t="s">
        <v>46</v>
      </c>
      <c r="B18" s="21">
        <f>842147590.47</f>
        <v>842147590.47</v>
      </c>
      <c r="C18" s="21">
        <f>842147590.47</f>
        <v>842147590.47</v>
      </c>
      <c r="D18" s="21">
        <f>57156892.76</f>
        <v>57156892.76</v>
      </c>
      <c r="E18" s="21">
        <f>37640536.68</f>
        <v>37640536.68</v>
      </c>
      <c r="F18" s="21">
        <f>4415090.6</f>
        <v>4415090.6</v>
      </c>
      <c r="G18" s="21">
        <f>15101265.48</f>
        <v>15101265.48</v>
      </c>
      <c r="H18" s="21">
        <f>0</f>
        <v>0</v>
      </c>
      <c r="I18" s="21">
        <f>0</f>
        <v>0</v>
      </c>
      <c r="J18" s="21">
        <f>768431769.82</f>
        <v>768431769.82</v>
      </c>
      <c r="K18" s="21">
        <f>14161766.82</f>
        <v>14161766.82</v>
      </c>
      <c r="L18" s="21">
        <f>1944760.19</f>
        <v>1944760.19</v>
      </c>
      <c r="M18" s="21">
        <f>187695</f>
        <v>187695</v>
      </c>
      <c r="N18" s="21">
        <f>264705.88</f>
        <v>264705.88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71862821793.22</f>
        <v>71862821793.22</v>
      </c>
      <c r="C19" s="21">
        <f>55715641865.06</f>
        <v>55715641865.06</v>
      </c>
      <c r="D19" s="21">
        <f>3280626022.69</f>
        <v>3280626022.69</v>
      </c>
      <c r="E19" s="21">
        <f>693599635.94</f>
        <v>693599635.94</v>
      </c>
      <c r="F19" s="21">
        <f>351450381.96</f>
        <v>351450381.96</v>
      </c>
      <c r="G19" s="21">
        <f>2232804055.24</f>
        <v>2232804055.24</v>
      </c>
      <c r="H19" s="21">
        <f>2771949.55</f>
        <v>2771949.55</v>
      </c>
      <c r="I19" s="21">
        <f>0</f>
        <v>0</v>
      </c>
      <c r="J19" s="21">
        <f>50784168367.24</f>
        <v>50784168367.24</v>
      </c>
      <c r="K19" s="21">
        <f>902214187.31</f>
        <v>902214187.31</v>
      </c>
      <c r="L19" s="21">
        <f>731718232.19</f>
        <v>731718232.19</v>
      </c>
      <c r="M19" s="21">
        <f>8534442.47</f>
        <v>8534442.47</v>
      </c>
      <c r="N19" s="21">
        <f>8380613.16</f>
        <v>8380613.16</v>
      </c>
      <c r="O19" s="21">
        <f>16147179928.16</f>
        <v>16147179928.16</v>
      </c>
      <c r="P19" s="21">
        <f>16147179928.16</f>
        <v>16147179928.16</v>
      </c>
      <c r="Q19" s="21">
        <f>0</f>
        <v>0</v>
      </c>
    </row>
    <row r="20" spans="1:17" ht="24.75" customHeight="1">
      <c r="A20" s="25" t="s">
        <v>48</v>
      </c>
      <c r="B20" s="26">
        <f>0</f>
        <v>0</v>
      </c>
      <c r="C20" s="26">
        <f>0</f>
        <v>0</v>
      </c>
      <c r="D20" s="26">
        <f>0</f>
        <v>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80617432.34</f>
        <v>80617432.34</v>
      </c>
      <c r="C21" s="20">
        <f>80617103.68</f>
        <v>80617103.68</v>
      </c>
      <c r="D21" s="20">
        <f>25015555.98</f>
        <v>25015555.98</v>
      </c>
      <c r="E21" s="20">
        <f>1055424.4</f>
        <v>1055424.4</v>
      </c>
      <c r="F21" s="20">
        <f>289693.17</f>
        <v>289693.17</v>
      </c>
      <c r="G21" s="20">
        <f>22225430.18</f>
        <v>22225430.18</v>
      </c>
      <c r="H21" s="20">
        <f>1445008.23</f>
        <v>1445008.23</v>
      </c>
      <c r="I21" s="20">
        <f>0</f>
        <v>0</v>
      </c>
      <c r="J21" s="20">
        <f>70614.71</f>
        <v>70614.71</v>
      </c>
      <c r="K21" s="20">
        <f>188784.5</f>
        <v>188784.5</v>
      </c>
      <c r="L21" s="20">
        <f>24087879.05</f>
        <v>24087879.05</v>
      </c>
      <c r="M21" s="20">
        <f>25782421.13</f>
        <v>25782421.13</v>
      </c>
      <c r="N21" s="20">
        <f>5471848.31</f>
        <v>5471848.31</v>
      </c>
      <c r="O21" s="20">
        <f>328.66</f>
        <v>328.66</v>
      </c>
      <c r="P21" s="20">
        <f>29.38</f>
        <v>29.38</v>
      </c>
      <c r="Q21" s="20">
        <f>299.28</f>
        <v>299.28</v>
      </c>
    </row>
    <row r="22" spans="1:17" ht="33" customHeight="1">
      <c r="A22" s="16" t="s">
        <v>49</v>
      </c>
      <c r="B22" s="21">
        <f>59017860.27</f>
        <v>59017860.27</v>
      </c>
      <c r="C22" s="21">
        <f>59017860.27</f>
        <v>59017860.27</v>
      </c>
      <c r="D22" s="21">
        <f>14134079.99</f>
        <v>14134079.99</v>
      </c>
      <c r="E22" s="21">
        <f>315473.61</f>
        <v>315473.61</v>
      </c>
      <c r="F22" s="21">
        <f>10689.42</f>
        <v>10689.42</v>
      </c>
      <c r="G22" s="21">
        <f>13807916.96</f>
        <v>13807916.96</v>
      </c>
      <c r="H22" s="21">
        <f>0</f>
        <v>0</v>
      </c>
      <c r="I22" s="21">
        <f>0</f>
        <v>0</v>
      </c>
      <c r="J22" s="21">
        <f>0</f>
        <v>0</v>
      </c>
      <c r="K22" s="21">
        <f>280.91</f>
        <v>280.91</v>
      </c>
      <c r="L22" s="21">
        <f>21878940.01</f>
        <v>21878940.01</v>
      </c>
      <c r="M22" s="21">
        <f>17781099.73</f>
        <v>17781099.73</v>
      </c>
      <c r="N22" s="21">
        <f>5223459.63</f>
        <v>5223459.63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21599572.07</f>
        <v>21599572.07</v>
      </c>
      <c r="C23" s="21">
        <f>21599243.41</f>
        <v>21599243.41</v>
      </c>
      <c r="D23" s="21">
        <f>10881475.99</f>
        <v>10881475.99</v>
      </c>
      <c r="E23" s="21">
        <f>739950.79</f>
        <v>739950.79</v>
      </c>
      <c r="F23" s="21">
        <f>279003.75</f>
        <v>279003.75</v>
      </c>
      <c r="G23" s="21">
        <f>8417513.22</f>
        <v>8417513.22</v>
      </c>
      <c r="H23" s="21">
        <f>1445008.23</f>
        <v>1445008.23</v>
      </c>
      <c r="I23" s="21">
        <f>0</f>
        <v>0</v>
      </c>
      <c r="J23" s="21">
        <f>70614.71</f>
        <v>70614.71</v>
      </c>
      <c r="K23" s="21">
        <f>188503.59</f>
        <v>188503.59</v>
      </c>
      <c r="L23" s="21">
        <f>2208939.04</f>
        <v>2208939.04</v>
      </c>
      <c r="M23" s="21">
        <f>8001321.4</f>
        <v>8001321.4</v>
      </c>
      <c r="N23" s="21">
        <f>248388.68</f>
        <v>248388.68</v>
      </c>
      <c r="O23" s="21">
        <f>328.66</f>
        <v>328.66</v>
      </c>
      <c r="P23" s="21">
        <f>29.38</f>
        <v>29.38</v>
      </c>
      <c r="Q23" s="21">
        <f>299.28</f>
        <v>299.28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9144440.68</f>
        <v>9144440.68</v>
      </c>
      <c r="C41" s="22">
        <f>9144440.68</f>
        <v>9144440.68</v>
      </c>
      <c r="D41" s="22">
        <f>2143182</f>
        <v>2143182</v>
      </c>
      <c r="E41" s="22">
        <f>50000</f>
        <v>50000</v>
      </c>
      <c r="F41" s="22">
        <f>1500000</f>
        <v>1500000</v>
      </c>
      <c r="G41" s="22">
        <f>593182</f>
        <v>593182</v>
      </c>
      <c r="H41" s="22">
        <f>0</f>
        <v>0</v>
      </c>
      <c r="I41" s="22">
        <f>0</f>
        <v>0</v>
      </c>
      <c r="J41" s="22">
        <f>10855</f>
        <v>10855</v>
      </c>
      <c r="K41" s="22">
        <f>3025060</f>
        <v>3025060</v>
      </c>
      <c r="L41" s="22">
        <f>3079951.64</f>
        <v>3079951.64</v>
      </c>
      <c r="M41" s="22">
        <f>806347.04</f>
        <v>806347.04</v>
      </c>
      <c r="N41" s="22">
        <f>79045</f>
        <v>79045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3344289.31</f>
        <v>3344289.31</v>
      </c>
      <c r="C42" s="23">
        <f>3344289.31</f>
        <v>3344289.31</v>
      </c>
      <c r="D42" s="23">
        <f>593182</f>
        <v>593182</v>
      </c>
      <c r="E42" s="23">
        <f>0</f>
        <v>0</v>
      </c>
      <c r="F42" s="23">
        <f>0</f>
        <v>0</v>
      </c>
      <c r="G42" s="23">
        <f>593182</f>
        <v>593182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2688107.31</f>
        <v>2688107.31</v>
      </c>
      <c r="M42" s="23">
        <f>0</f>
        <v>0</v>
      </c>
      <c r="N42" s="23">
        <f>57000</f>
        <v>57000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5800151.37</f>
        <v>5800151.37</v>
      </c>
      <c r="C43" s="23">
        <f>5800151.37</f>
        <v>5800151.37</v>
      </c>
      <c r="D43" s="23">
        <f>1550000</f>
        <v>1550000</v>
      </c>
      <c r="E43" s="23">
        <f>50000</f>
        <v>50000</v>
      </c>
      <c r="F43" s="23">
        <f>1500000</f>
        <v>1500000</v>
      </c>
      <c r="G43" s="23">
        <f>0</f>
        <v>0</v>
      </c>
      <c r="H43" s="23">
        <f>0</f>
        <v>0</v>
      </c>
      <c r="I43" s="23">
        <f>0</f>
        <v>0</v>
      </c>
      <c r="J43" s="23">
        <f>4855</f>
        <v>4855</v>
      </c>
      <c r="K43" s="23">
        <f>3025060</f>
        <v>3025060</v>
      </c>
      <c r="L43" s="23">
        <f>391844.33</f>
        <v>391844.33</v>
      </c>
      <c r="M43" s="23">
        <f>806347.04</f>
        <v>806347.04</v>
      </c>
      <c r="N43" s="23">
        <f>22045</f>
        <v>22045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1290135610.9</f>
        <v>1290135610.9</v>
      </c>
      <c r="C44" s="22">
        <f>1289985981.78</f>
        <v>1289985981.78</v>
      </c>
      <c r="D44" s="22">
        <f>506774416.11</f>
        <v>506774416.11</v>
      </c>
      <c r="E44" s="22">
        <f>1133542.69</f>
        <v>1133542.69</v>
      </c>
      <c r="F44" s="22">
        <f>1847603.02</f>
        <v>1847603.02</v>
      </c>
      <c r="G44" s="22">
        <f>503578201.2</f>
        <v>503578201.2</v>
      </c>
      <c r="H44" s="22">
        <f>215069.2</f>
        <v>215069.2</v>
      </c>
      <c r="I44" s="22">
        <f>0</f>
        <v>0</v>
      </c>
      <c r="J44" s="22">
        <f>608924.77</f>
        <v>608924.77</v>
      </c>
      <c r="K44" s="22">
        <f>3052306.94</f>
        <v>3052306.94</v>
      </c>
      <c r="L44" s="22">
        <f>427622243.18</f>
        <v>427622243.18</v>
      </c>
      <c r="M44" s="22">
        <f>308213821.97</f>
        <v>308213821.97</v>
      </c>
      <c r="N44" s="22">
        <f>43714268.81</f>
        <v>43714268.81</v>
      </c>
      <c r="O44" s="22">
        <f>149629.12</f>
        <v>149629.12</v>
      </c>
      <c r="P44" s="22">
        <f>8974.81</f>
        <v>8974.81</v>
      </c>
      <c r="Q44" s="22">
        <f>140654.31</f>
        <v>140654.31</v>
      </c>
    </row>
    <row r="45" spans="1:17" ht="32.25" customHeight="1">
      <c r="A45" s="17" t="s">
        <v>29</v>
      </c>
      <c r="B45" s="23">
        <f>134077919.4</f>
        <v>134077919.4</v>
      </c>
      <c r="C45" s="23">
        <f>133952919.4</f>
        <v>133952919.4</v>
      </c>
      <c r="D45" s="23">
        <f>47358916.57</f>
        <v>47358916.57</v>
      </c>
      <c r="E45" s="23">
        <f>863279.08</f>
        <v>863279.08</v>
      </c>
      <c r="F45" s="23">
        <f>0</f>
        <v>0</v>
      </c>
      <c r="G45" s="23">
        <f>46495637.49</f>
        <v>46495637.49</v>
      </c>
      <c r="H45" s="23">
        <f>0</f>
        <v>0</v>
      </c>
      <c r="I45" s="23">
        <f>0</f>
        <v>0</v>
      </c>
      <c r="J45" s="23">
        <f>188444.95</f>
        <v>188444.95</v>
      </c>
      <c r="K45" s="23">
        <f>0</f>
        <v>0</v>
      </c>
      <c r="L45" s="23">
        <f>46381377.76</f>
        <v>46381377.76</v>
      </c>
      <c r="M45" s="23">
        <f>23342552.52</f>
        <v>23342552.52</v>
      </c>
      <c r="N45" s="23">
        <f>16681627.6</f>
        <v>16681627.6</v>
      </c>
      <c r="O45" s="23">
        <f>125000</f>
        <v>125000</v>
      </c>
      <c r="P45" s="23">
        <f>0</f>
        <v>0</v>
      </c>
      <c r="Q45" s="23">
        <f>125000</f>
        <v>125000</v>
      </c>
    </row>
    <row r="46" spans="1:17" ht="32.25" customHeight="1">
      <c r="A46" s="17" t="s">
        <v>30</v>
      </c>
      <c r="B46" s="23">
        <f>1156057691.5</f>
        <v>1156057691.5</v>
      </c>
      <c r="C46" s="23">
        <f>1156033062.38</f>
        <v>1156033062.38</v>
      </c>
      <c r="D46" s="23">
        <f>459415499.54</f>
        <v>459415499.54</v>
      </c>
      <c r="E46" s="23">
        <f>270263.61</f>
        <v>270263.61</v>
      </c>
      <c r="F46" s="23">
        <f>1847603.02</f>
        <v>1847603.02</v>
      </c>
      <c r="G46" s="23">
        <f>457082563.71</f>
        <v>457082563.71</v>
      </c>
      <c r="H46" s="23">
        <f>215069.2</f>
        <v>215069.2</v>
      </c>
      <c r="I46" s="23">
        <f>0</f>
        <v>0</v>
      </c>
      <c r="J46" s="23">
        <f>420479.82</f>
        <v>420479.82</v>
      </c>
      <c r="K46" s="23">
        <f>3052306.94</f>
        <v>3052306.94</v>
      </c>
      <c r="L46" s="23">
        <f>381240865.42</f>
        <v>381240865.42</v>
      </c>
      <c r="M46" s="23">
        <f>284871269.45</f>
        <v>284871269.45</v>
      </c>
      <c r="N46" s="23">
        <f>27032641.21</f>
        <v>27032641.21</v>
      </c>
      <c r="O46" s="23">
        <f>24629.12</f>
        <v>24629.12</v>
      </c>
      <c r="P46" s="23">
        <f>8974.81</f>
        <v>8974.81</v>
      </c>
      <c r="Q46" s="23">
        <f>15654.31</f>
        <v>15654.31</v>
      </c>
    </row>
    <row r="47" spans="1:17" ht="35.25" customHeight="1">
      <c r="A47" s="27" t="s">
        <v>40</v>
      </c>
      <c r="B47" s="22">
        <f>28357664062.86</f>
        <v>28357664062.86</v>
      </c>
      <c r="C47" s="22">
        <f>28357552325.3</f>
        <v>28357552325.3</v>
      </c>
      <c r="D47" s="22">
        <f>40442617.93</f>
        <v>40442617.93</v>
      </c>
      <c r="E47" s="22">
        <f>9417079.64</f>
        <v>9417079.64</v>
      </c>
      <c r="F47" s="22">
        <f>50265.88</f>
        <v>50265.88</v>
      </c>
      <c r="G47" s="22">
        <f>30975085.75</f>
        <v>30975085.75</v>
      </c>
      <c r="H47" s="22">
        <f>186.66</f>
        <v>186.66</v>
      </c>
      <c r="I47" s="22">
        <f>7977101.43</f>
        <v>7977101.43</v>
      </c>
      <c r="J47" s="22">
        <f>28304909172.17</f>
        <v>28304909172.17</v>
      </c>
      <c r="K47" s="22">
        <f>604633.54</f>
        <v>604633.54</v>
      </c>
      <c r="L47" s="22">
        <f>3317643.43</f>
        <v>3317643.43</v>
      </c>
      <c r="M47" s="22">
        <f>38569.41</f>
        <v>38569.41</v>
      </c>
      <c r="N47" s="22">
        <f>262587.39</f>
        <v>262587.39</v>
      </c>
      <c r="O47" s="22">
        <f>111737.56</f>
        <v>111737.56</v>
      </c>
      <c r="P47" s="22">
        <f>111737.56</f>
        <v>111737.56</v>
      </c>
      <c r="Q47" s="22">
        <f>0</f>
        <v>0</v>
      </c>
    </row>
    <row r="48" spans="1:17" ht="28.5" customHeight="1">
      <c r="A48" s="17" t="s">
        <v>31</v>
      </c>
      <c r="B48" s="23">
        <f>27510024.71</f>
        <v>27510024.71</v>
      </c>
      <c r="C48" s="23">
        <f>27510024.71</f>
        <v>27510024.71</v>
      </c>
      <c r="D48" s="23">
        <f>27510024.71</f>
        <v>27510024.71</v>
      </c>
      <c r="E48" s="23">
        <f>0</f>
        <v>0</v>
      </c>
      <c r="F48" s="23">
        <f>0</f>
        <v>0</v>
      </c>
      <c r="G48" s="23">
        <f>27510024.71</f>
        <v>27510024.71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20971968926.46</f>
        <v>20971968926.46</v>
      </c>
      <c r="C49" s="23">
        <f>20971968926.46</f>
        <v>20971968926.46</v>
      </c>
      <c r="D49" s="23">
        <f>12347002.32</f>
        <v>12347002.32</v>
      </c>
      <c r="E49" s="23">
        <f>8985515.97</f>
        <v>8985515.97</v>
      </c>
      <c r="F49" s="23">
        <f>14420.38</f>
        <v>14420.38</v>
      </c>
      <c r="G49" s="23">
        <f>3346879.31</f>
        <v>3346879.31</v>
      </c>
      <c r="H49" s="23">
        <f>186.66</f>
        <v>186.66</v>
      </c>
      <c r="I49" s="23">
        <f>7924685.43</f>
        <v>7924685.43</v>
      </c>
      <c r="J49" s="23">
        <f>20948818100.56</f>
        <v>20948818100.56</v>
      </c>
      <c r="K49" s="23">
        <f>587135.33</f>
        <v>587135.33</v>
      </c>
      <c r="L49" s="23">
        <f>2175241.81</f>
        <v>2175241.81</v>
      </c>
      <c r="M49" s="23">
        <f>11363.63</f>
        <v>11363.63</v>
      </c>
      <c r="N49" s="23">
        <f>105397.38</f>
        <v>105397.38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7358185111.69</f>
        <v>7358185111.69</v>
      </c>
      <c r="C50" s="23">
        <f>7358073374.13</f>
        <v>7358073374.13</v>
      </c>
      <c r="D50" s="23">
        <f>585590.9</f>
        <v>585590.9</v>
      </c>
      <c r="E50" s="23">
        <f>431563.67</f>
        <v>431563.67</v>
      </c>
      <c r="F50" s="23">
        <f>35845.5</f>
        <v>35845.5</v>
      </c>
      <c r="G50" s="23">
        <f>118181.73</f>
        <v>118181.73</v>
      </c>
      <c r="H50" s="23">
        <f>0</f>
        <v>0</v>
      </c>
      <c r="I50" s="23">
        <f>52416</f>
        <v>52416</v>
      </c>
      <c r="J50" s="23">
        <f>7356091071.61</f>
        <v>7356091071.61</v>
      </c>
      <c r="K50" s="23">
        <f>17498.21</f>
        <v>17498.21</v>
      </c>
      <c r="L50" s="23">
        <f>1142401.62</f>
        <v>1142401.62</v>
      </c>
      <c r="M50" s="23">
        <f>27205.78</f>
        <v>27205.78</v>
      </c>
      <c r="N50" s="23">
        <f>157190.01</f>
        <v>157190.01</v>
      </c>
      <c r="O50" s="23">
        <f>111737.56</f>
        <v>111737.56</v>
      </c>
      <c r="P50" s="23">
        <f>111737.56</f>
        <v>111737.56</v>
      </c>
      <c r="Q50" s="23">
        <f>0</f>
        <v>0</v>
      </c>
    </row>
    <row r="51" spans="1:17" ht="35.25" customHeight="1">
      <c r="A51" s="27" t="s">
        <v>41</v>
      </c>
      <c r="B51" s="22">
        <f>22497456583.03</f>
        <v>22497456583.03</v>
      </c>
      <c r="C51" s="22">
        <f>22454185127.92</f>
        <v>22454185127.92</v>
      </c>
      <c r="D51" s="22">
        <f>541679794.23</f>
        <v>541679794.23</v>
      </c>
      <c r="E51" s="22">
        <f>162765244.75</f>
        <v>162765244.75</v>
      </c>
      <c r="F51" s="22">
        <f>12718833.31</f>
        <v>12718833.31</v>
      </c>
      <c r="G51" s="22">
        <f>363433652.23</f>
        <v>363433652.23</v>
      </c>
      <c r="H51" s="22">
        <f>2762063.94</f>
        <v>2762063.94</v>
      </c>
      <c r="I51" s="22">
        <f>657.73</f>
        <v>657.73</v>
      </c>
      <c r="J51" s="22">
        <f>5654037.37</f>
        <v>5654037.37</v>
      </c>
      <c r="K51" s="22">
        <f>37664318.1</f>
        <v>37664318.1</v>
      </c>
      <c r="L51" s="22">
        <f>6339811304.98</f>
        <v>6339811304.98</v>
      </c>
      <c r="M51" s="22">
        <f>15261941579.51</f>
        <v>15261941579.51</v>
      </c>
      <c r="N51" s="22">
        <f>267433436</f>
        <v>267433436</v>
      </c>
      <c r="O51" s="22">
        <f>43271455.11</f>
        <v>43271455.11</v>
      </c>
      <c r="P51" s="22">
        <f>26993599.94</f>
        <v>26993599.94</v>
      </c>
      <c r="Q51" s="22">
        <f>16277855.17</f>
        <v>16277855.17</v>
      </c>
    </row>
    <row r="52" spans="1:17" ht="28.5" customHeight="1">
      <c r="A52" s="17" t="s">
        <v>34</v>
      </c>
      <c r="B52" s="23">
        <f>6590069045.45</f>
        <v>6590069045.45</v>
      </c>
      <c r="C52" s="23">
        <f>6587745382.83</f>
        <v>6587745382.83</v>
      </c>
      <c r="D52" s="23">
        <f>82554677.89</f>
        <v>82554677.89</v>
      </c>
      <c r="E52" s="23">
        <f>2773391.8</f>
        <v>2773391.8</v>
      </c>
      <c r="F52" s="23">
        <f>558522.71</f>
        <v>558522.71</v>
      </c>
      <c r="G52" s="23">
        <f>78497840.91</f>
        <v>78497840.91</v>
      </c>
      <c r="H52" s="23">
        <f>724922.47</f>
        <v>724922.47</v>
      </c>
      <c r="I52" s="23">
        <f>0</f>
        <v>0</v>
      </c>
      <c r="J52" s="23">
        <f>603101.41</f>
        <v>603101.41</v>
      </c>
      <c r="K52" s="23">
        <f>1964446.54</f>
        <v>1964446.54</v>
      </c>
      <c r="L52" s="23">
        <f>1034136005.73</f>
        <v>1034136005.73</v>
      </c>
      <c r="M52" s="23">
        <f>5278030354.16</f>
        <v>5278030354.16</v>
      </c>
      <c r="N52" s="23">
        <f>190456797.1</f>
        <v>190456797.1</v>
      </c>
      <c r="O52" s="23">
        <f>2323662.62</f>
        <v>2323662.62</v>
      </c>
      <c r="P52" s="23">
        <f>402219.01</f>
        <v>402219.01</v>
      </c>
      <c r="Q52" s="23">
        <f>1921443.61</f>
        <v>1921443.61</v>
      </c>
    </row>
    <row r="53" spans="1:17" ht="28.5" customHeight="1">
      <c r="A53" s="17" t="s">
        <v>35</v>
      </c>
      <c r="B53" s="23">
        <f>15907387537.58</f>
        <v>15907387537.58</v>
      </c>
      <c r="C53" s="23">
        <f>15866439745.09</f>
        <v>15866439745.09</v>
      </c>
      <c r="D53" s="23">
        <f>459125116.34</f>
        <v>459125116.34</v>
      </c>
      <c r="E53" s="23">
        <f>159991852.95</f>
        <v>159991852.95</v>
      </c>
      <c r="F53" s="23">
        <f>12160310.6</f>
        <v>12160310.6</v>
      </c>
      <c r="G53" s="23">
        <f>284935811.32</f>
        <v>284935811.32</v>
      </c>
      <c r="H53" s="23">
        <f>2037141.47</f>
        <v>2037141.47</v>
      </c>
      <c r="I53" s="23">
        <f>657.73</f>
        <v>657.73</v>
      </c>
      <c r="J53" s="23">
        <f>5050935.96</f>
        <v>5050935.96</v>
      </c>
      <c r="K53" s="23">
        <f>35699871.56</f>
        <v>35699871.56</v>
      </c>
      <c r="L53" s="23">
        <f>5305675299.25</f>
        <v>5305675299.25</v>
      </c>
      <c r="M53" s="23">
        <f>9983911225.35</f>
        <v>9983911225.35</v>
      </c>
      <c r="N53" s="23">
        <f>76976638.9</f>
        <v>76976638.9</v>
      </c>
      <c r="O53" s="23">
        <f>40947792.49</f>
        <v>40947792.49</v>
      </c>
      <c r="P53" s="23">
        <f>26591380.93</f>
        <v>26591380.93</v>
      </c>
      <c r="Q53" s="23">
        <f>14356411.56</f>
        <v>14356411.56</v>
      </c>
    </row>
    <row r="54" spans="1:17" ht="35.25" customHeight="1">
      <c r="A54" s="27" t="s">
        <v>42</v>
      </c>
      <c r="B54" s="22">
        <f>21617761599.65</f>
        <v>21617761599.65</v>
      </c>
      <c r="C54" s="22">
        <f>21580489661.25</f>
        <v>21580489661.25</v>
      </c>
      <c r="D54" s="22">
        <f>3130020358.88</f>
        <v>3130020358.88</v>
      </c>
      <c r="E54" s="22">
        <f>2223584690.67</f>
        <v>2223584690.67</v>
      </c>
      <c r="F54" s="22">
        <f>94661977.61</f>
        <v>94661977.61</v>
      </c>
      <c r="G54" s="22">
        <f>779612432.56</f>
        <v>779612432.56</v>
      </c>
      <c r="H54" s="22">
        <f>32161258.04</f>
        <v>32161258.04</v>
      </c>
      <c r="I54" s="22">
        <f>2078774.56</f>
        <v>2078774.56</v>
      </c>
      <c r="J54" s="22">
        <f>27303406.72</f>
        <v>27303406.72</v>
      </c>
      <c r="K54" s="22">
        <f>51488129.36</f>
        <v>51488129.36</v>
      </c>
      <c r="L54" s="22">
        <f>11281432005.57</f>
        <v>11281432005.57</v>
      </c>
      <c r="M54" s="22">
        <f>6877571610.01</f>
        <v>6877571610.01</v>
      </c>
      <c r="N54" s="22">
        <f>210595376.15</f>
        <v>210595376.15</v>
      </c>
      <c r="O54" s="22">
        <f>37271938.4</f>
        <v>37271938.4</v>
      </c>
      <c r="P54" s="22">
        <f>17149002.24</f>
        <v>17149002.24</v>
      </c>
      <c r="Q54" s="22">
        <f>20122936.16</f>
        <v>20122936.16</v>
      </c>
    </row>
    <row r="55" spans="1:17" ht="28.5" customHeight="1">
      <c r="A55" s="17" t="s">
        <v>36</v>
      </c>
      <c r="B55" s="23">
        <f>1293807805.4</f>
        <v>1293807805.4</v>
      </c>
      <c r="C55" s="23">
        <f>1275839314.48</f>
        <v>1275839314.48</v>
      </c>
      <c r="D55" s="23">
        <f>101908854.88</f>
        <v>101908854.88</v>
      </c>
      <c r="E55" s="23">
        <f>7026877.23</f>
        <v>7026877.23</v>
      </c>
      <c r="F55" s="23">
        <f>2511062.77</f>
        <v>2511062.77</v>
      </c>
      <c r="G55" s="23">
        <f>90063471.96</f>
        <v>90063471.96</v>
      </c>
      <c r="H55" s="23">
        <f>2307442.92</f>
        <v>2307442.92</v>
      </c>
      <c r="I55" s="23">
        <f>0</f>
        <v>0</v>
      </c>
      <c r="J55" s="23">
        <f>929493.82</f>
        <v>929493.82</v>
      </c>
      <c r="K55" s="23">
        <f>3616506.52</f>
        <v>3616506.52</v>
      </c>
      <c r="L55" s="23">
        <f>571566504.11</f>
        <v>571566504.11</v>
      </c>
      <c r="M55" s="23">
        <f>582874344.67</f>
        <v>582874344.67</v>
      </c>
      <c r="N55" s="23">
        <f>14943610.48</f>
        <v>14943610.48</v>
      </c>
      <c r="O55" s="23">
        <f>17968490.92</f>
        <v>17968490.92</v>
      </c>
      <c r="P55" s="23">
        <f>259500.01</f>
        <v>259500.01</v>
      </c>
      <c r="Q55" s="23">
        <f>17708990.91</f>
        <v>17708990.91</v>
      </c>
    </row>
    <row r="56" spans="1:17" ht="47.25" customHeight="1">
      <c r="A56" s="17" t="s">
        <v>76</v>
      </c>
      <c r="B56" s="23">
        <f>12898816796.27</f>
        <v>12898816796.27</v>
      </c>
      <c r="C56" s="23">
        <f>12890366922.98</f>
        <v>12890366922.98</v>
      </c>
      <c r="D56" s="23">
        <f>1955236559.73</f>
        <v>1955236559.73</v>
      </c>
      <c r="E56" s="23">
        <f>1622405107.74</f>
        <v>1622405107.74</v>
      </c>
      <c r="F56" s="23">
        <f>56620376.08</f>
        <v>56620376.08</v>
      </c>
      <c r="G56" s="23">
        <f>255258130.6</f>
        <v>255258130.6</v>
      </c>
      <c r="H56" s="23">
        <f>20952945.31</f>
        <v>20952945.31</v>
      </c>
      <c r="I56" s="23">
        <f>1968047.8</f>
        <v>1968047.8</v>
      </c>
      <c r="J56" s="23">
        <f>22391729.37</f>
        <v>22391729.37</v>
      </c>
      <c r="K56" s="23">
        <f>36832108.51</f>
        <v>36832108.51</v>
      </c>
      <c r="L56" s="23">
        <f>7865512940.29</f>
        <v>7865512940.29</v>
      </c>
      <c r="M56" s="23">
        <f>2962643588.45</f>
        <v>2962643588.45</v>
      </c>
      <c r="N56" s="23">
        <f>45781948.83</f>
        <v>45781948.83</v>
      </c>
      <c r="O56" s="23">
        <f>8449873.29</f>
        <v>8449873.29</v>
      </c>
      <c r="P56" s="23">
        <f>7906017.58</f>
        <v>7906017.58</v>
      </c>
      <c r="Q56" s="23">
        <f>543855.71</f>
        <v>543855.71</v>
      </c>
    </row>
    <row r="57" spans="1:17" ht="35.25" customHeight="1">
      <c r="A57" s="17" t="s">
        <v>37</v>
      </c>
      <c r="B57" s="23">
        <f>7425136997.98</f>
        <v>7425136997.98</v>
      </c>
      <c r="C57" s="23">
        <f>7414283423.79</f>
        <v>7414283423.79</v>
      </c>
      <c r="D57" s="23">
        <f>1072874944.27</f>
        <v>1072874944.27</v>
      </c>
      <c r="E57" s="23">
        <f>594152705.7</f>
        <v>594152705.7</v>
      </c>
      <c r="F57" s="23">
        <f>35530538.76</f>
        <v>35530538.76</v>
      </c>
      <c r="G57" s="23">
        <f>434290830</f>
        <v>434290830</v>
      </c>
      <c r="H57" s="23">
        <f>8900869.81</f>
        <v>8900869.81</v>
      </c>
      <c r="I57" s="23">
        <f>110726.76</f>
        <v>110726.76</v>
      </c>
      <c r="J57" s="23">
        <f>3982183.53</f>
        <v>3982183.53</v>
      </c>
      <c r="K57" s="23">
        <f>11039514.33</f>
        <v>11039514.33</v>
      </c>
      <c r="L57" s="23">
        <f>2844352561.17</f>
        <v>2844352561.17</v>
      </c>
      <c r="M57" s="23">
        <f>3332053676.89</f>
        <v>3332053676.89</v>
      </c>
      <c r="N57" s="23">
        <f>149869816.84</f>
        <v>149869816.84</v>
      </c>
      <c r="O57" s="23">
        <f>10853574.19</f>
        <v>10853574.19</v>
      </c>
      <c r="P57" s="23">
        <f>8983484.65</f>
        <v>8983484.65</v>
      </c>
      <c r="Q57" s="23">
        <f>1870089.54</f>
        <v>1870089.54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4711528881.19</f>
        <v>4711528881.19</v>
      </c>
      <c r="G78" s="21">
        <f>1508006209.39</f>
        <v>1508006209.39</v>
      </c>
      <c r="H78" s="21">
        <f>53902397.12</f>
        <v>53902397.12</v>
      </c>
      <c r="I78" s="21">
        <f>627733102.76</f>
        <v>627733102.76</v>
      </c>
      <c r="J78" s="21">
        <f>789777442.29</f>
        <v>789777442.29</v>
      </c>
      <c r="K78" s="21">
        <f>36593267.22</f>
        <v>36593267.22</v>
      </c>
      <c r="L78" s="21">
        <f>3203522671.8</f>
        <v>3203522671.8</v>
      </c>
    </row>
    <row r="79" spans="2:12" ht="33.75" customHeight="1">
      <c r="B79" s="47" t="s">
        <v>52</v>
      </c>
      <c r="C79" s="48"/>
      <c r="D79" s="48"/>
      <c r="E79" s="49"/>
      <c r="F79" s="24">
        <f>5216834.51</f>
        <v>5216834.51</v>
      </c>
      <c r="G79" s="24">
        <f>4862071.51</f>
        <v>4862071.51</v>
      </c>
      <c r="H79" s="24">
        <f>712464.51</f>
        <v>712464.51</v>
      </c>
      <c r="I79" s="24">
        <f>0</f>
        <v>0</v>
      </c>
      <c r="J79" s="24">
        <f>4149607</f>
        <v>4149607</v>
      </c>
      <c r="K79" s="24">
        <f>0</f>
        <v>0</v>
      </c>
      <c r="L79" s="24">
        <f>354763</f>
        <v>354763</v>
      </c>
    </row>
    <row r="80" spans="2:12" ht="33.75" customHeight="1">
      <c r="B80" s="47" t="s">
        <v>53</v>
      </c>
      <c r="C80" s="48"/>
      <c r="D80" s="48"/>
      <c r="E80" s="49"/>
      <c r="F80" s="24">
        <f>132066276.19</f>
        <v>132066276.19</v>
      </c>
      <c r="G80" s="24">
        <f>44989894.03</f>
        <v>44989894.03</v>
      </c>
      <c r="H80" s="24">
        <f>250000</f>
        <v>250000</v>
      </c>
      <c r="I80" s="24">
        <f>0</f>
        <v>0</v>
      </c>
      <c r="J80" s="24">
        <f>44739894.03</f>
        <v>44739894.03</v>
      </c>
      <c r="K80" s="24">
        <f>0</f>
        <v>0</v>
      </c>
      <c r="L80" s="24">
        <f>87076382.16</f>
        <v>87076382.16</v>
      </c>
    </row>
    <row r="81" spans="2:12" ht="22.5" customHeight="1">
      <c r="B81" s="47" t="s">
        <v>54</v>
      </c>
      <c r="C81" s="48"/>
      <c r="D81" s="48"/>
      <c r="E81" s="49"/>
      <c r="F81" s="24">
        <f>81876775.1</f>
        <v>81876775.1</v>
      </c>
      <c r="G81" s="24">
        <f>49999179.36</f>
        <v>49999179.36</v>
      </c>
      <c r="H81" s="24">
        <f>170000</f>
        <v>170000</v>
      </c>
      <c r="I81" s="24">
        <f>2464075.05</f>
        <v>2464075.05</v>
      </c>
      <c r="J81" s="24">
        <f>47365104.31</f>
        <v>47365104.31</v>
      </c>
      <c r="K81" s="24">
        <f>0</f>
        <v>0</v>
      </c>
      <c r="L81" s="24">
        <f>31877595.74</f>
        <v>31877595.74</v>
      </c>
    </row>
    <row r="82" spans="2:12" ht="33.75" customHeight="1">
      <c r="B82" s="47" t="s">
        <v>55</v>
      </c>
      <c r="C82" s="48"/>
      <c r="D82" s="48"/>
      <c r="E82" s="49"/>
      <c r="F82" s="24">
        <f>9825345.74</f>
        <v>9825345.74</v>
      </c>
      <c r="G82" s="24">
        <f>9740414.78</f>
        <v>9740414.78</v>
      </c>
      <c r="H82" s="24">
        <f>0</f>
        <v>0</v>
      </c>
      <c r="I82" s="24">
        <f>0</f>
        <v>0</v>
      </c>
      <c r="J82" s="24">
        <f>9740414.78</f>
        <v>9740414.78</v>
      </c>
      <c r="K82" s="24">
        <f>0</f>
        <v>0</v>
      </c>
      <c r="L82" s="24">
        <f>84930.96</f>
        <v>84930.96</v>
      </c>
    </row>
    <row r="83" spans="2:12" ht="33.75" customHeight="1">
      <c r="B83" s="47" t="s">
        <v>56</v>
      </c>
      <c r="C83" s="48"/>
      <c r="D83" s="48"/>
      <c r="E83" s="49"/>
      <c r="F83" s="24">
        <f>11213871.96</f>
        <v>11213871.96</v>
      </c>
      <c r="G83" s="24">
        <f>7484412.19</f>
        <v>7484412.19</v>
      </c>
      <c r="H83" s="24">
        <f>0</f>
        <v>0</v>
      </c>
      <c r="I83" s="24">
        <f>0</f>
        <v>0</v>
      </c>
      <c r="J83" s="24">
        <f>7484412.19</f>
        <v>7484412.19</v>
      </c>
      <c r="K83" s="24">
        <f>0</f>
        <v>0</v>
      </c>
      <c r="L83" s="24">
        <f>3729459.77</f>
        <v>3729459.77</v>
      </c>
    </row>
    <row r="84" spans="2:12" ht="33" customHeight="1">
      <c r="B84" s="50" t="s">
        <v>57</v>
      </c>
      <c r="C84" s="51"/>
      <c r="D84" s="51"/>
      <c r="E84" s="52"/>
      <c r="F84" s="21">
        <f>982000</f>
        <v>982000</v>
      </c>
      <c r="G84" s="21">
        <f>800000</f>
        <v>800000</v>
      </c>
      <c r="H84" s="21">
        <f>0</f>
        <v>0</v>
      </c>
      <c r="I84" s="21">
        <f>0</f>
        <v>0</v>
      </c>
      <c r="J84" s="21">
        <f>800000</f>
        <v>800000</v>
      </c>
      <c r="K84" s="21">
        <f>0</f>
        <v>0</v>
      </c>
      <c r="L84" s="21">
        <f>182000</f>
        <v>182000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2467</f>
        <v>2467</v>
      </c>
      <c r="H90" s="55"/>
      <c r="I90" s="56">
        <f>14213832091.48</f>
        <v>14213832091.48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340</f>
        <v>340</v>
      </c>
      <c r="H91" s="62"/>
      <c r="I91" s="63">
        <f>-723465482.64</f>
        <v>-723465482.64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  <row r="94" ht="15" customHeight="1"/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2019-08-23T12:58:14Z</dcterms:modified>
  <cp:category/>
  <cp:version/>
  <cp:contentType/>
  <cp:contentStatus/>
</cp:coreProperties>
</file>