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 kwartał\Dane ostateczne 2023.05.26\Zbiorówki_2023_k1_20230526\"/>
    </mc:Choice>
  </mc:AlternateContent>
  <bookViews>
    <workbookView xWindow="240" yWindow="120" windowWidth="14220" windowHeight="8835"/>
  </bookViews>
  <sheets>
    <sheet name="zob_nal" sheetId="7" r:id="rId1"/>
  </sheets>
  <calcPr calcId="152511"/>
</workbook>
</file>

<file path=xl/calcChain.xml><?xml version="1.0" encoding="utf-8"?>
<calcChain xmlns="http://schemas.openxmlformats.org/spreadsheetml/2006/main">
  <c r="B107" i="7" l="1"/>
  <c r="B106" i="7"/>
  <c r="B105" i="7"/>
  <c r="B104" i="7"/>
  <c r="I101" i="7"/>
  <c r="G101" i="7"/>
  <c r="I100" i="7"/>
  <c r="G100" i="7"/>
  <c r="I99" i="7"/>
  <c r="G99" i="7"/>
  <c r="L93" i="7"/>
  <c r="K93" i="7"/>
  <c r="J93" i="7"/>
  <c r="I93" i="7"/>
  <c r="H93" i="7"/>
  <c r="G93" i="7"/>
  <c r="F93" i="7"/>
  <c r="L92" i="7"/>
  <c r="K92" i="7"/>
  <c r="J92" i="7"/>
  <c r="I92" i="7"/>
  <c r="H92" i="7"/>
  <c r="G92" i="7"/>
  <c r="F92" i="7"/>
  <c r="L91" i="7"/>
  <c r="K91" i="7"/>
  <c r="J91" i="7"/>
  <c r="I91" i="7"/>
  <c r="H91" i="7"/>
  <c r="G91" i="7"/>
  <c r="F91" i="7"/>
  <c r="L90" i="7"/>
  <c r="K90" i="7"/>
  <c r="J90" i="7"/>
  <c r="I90" i="7"/>
  <c r="H90" i="7"/>
  <c r="G90" i="7"/>
  <c r="F90" i="7"/>
  <c r="L89" i="7"/>
  <c r="K89" i="7"/>
  <c r="J89" i="7"/>
  <c r="I89" i="7"/>
  <c r="H89" i="7"/>
  <c r="G89" i="7"/>
  <c r="F89" i="7"/>
  <c r="L88" i="7"/>
  <c r="K88" i="7"/>
  <c r="J88" i="7"/>
  <c r="I88" i="7"/>
  <c r="H88" i="7"/>
  <c r="G88" i="7"/>
  <c r="F88" i="7"/>
  <c r="L87" i="7"/>
  <c r="K87" i="7"/>
  <c r="J87" i="7"/>
  <c r="I87" i="7"/>
  <c r="H87" i="7"/>
  <c r="G87" i="7"/>
  <c r="F87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B60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B59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B58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B57" i="7"/>
  <c r="Q56" i="7"/>
  <c r="P56" i="7"/>
  <c r="O56" i="7"/>
  <c r="N56" i="7"/>
  <c r="M56" i="7"/>
  <c r="L56" i="7"/>
  <c r="K56" i="7"/>
  <c r="J56" i="7"/>
  <c r="I56" i="7"/>
  <c r="H56" i="7"/>
  <c r="G56" i="7"/>
  <c r="F56" i="7"/>
  <c r="E56" i="7"/>
  <c r="D56" i="7"/>
  <c r="C56" i="7"/>
  <c r="B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C55" i="7"/>
  <c r="B55" i="7"/>
  <c r="Q54" i="7"/>
  <c r="P54" i="7"/>
  <c r="O54" i="7"/>
  <c r="N54" i="7"/>
  <c r="M54" i="7"/>
  <c r="L54" i="7"/>
  <c r="K54" i="7"/>
  <c r="J54" i="7"/>
  <c r="I54" i="7"/>
  <c r="H54" i="7"/>
  <c r="G54" i="7"/>
  <c r="F54" i="7"/>
  <c r="E54" i="7"/>
  <c r="D54" i="7"/>
  <c r="C54" i="7"/>
  <c r="B54" i="7"/>
  <c r="Q53" i="7"/>
  <c r="P53" i="7"/>
  <c r="O53" i="7"/>
  <c r="N53" i="7"/>
  <c r="M53" i="7"/>
  <c r="L53" i="7"/>
  <c r="K53" i="7"/>
  <c r="J53" i="7"/>
  <c r="I53" i="7"/>
  <c r="H53" i="7"/>
  <c r="G53" i="7"/>
  <c r="F53" i="7"/>
  <c r="E53" i="7"/>
  <c r="D53" i="7"/>
  <c r="C53" i="7"/>
  <c r="B53" i="7"/>
  <c r="Q52" i="7"/>
  <c r="P52" i="7"/>
  <c r="O52" i="7"/>
  <c r="N52" i="7"/>
  <c r="M52" i="7"/>
  <c r="L52" i="7"/>
  <c r="K52" i="7"/>
  <c r="J52" i="7"/>
  <c r="I52" i="7"/>
  <c r="H52" i="7"/>
  <c r="G52" i="7"/>
  <c r="F52" i="7"/>
  <c r="E52" i="7"/>
  <c r="D52" i="7"/>
  <c r="C52" i="7"/>
  <c r="B52" i="7"/>
  <c r="Q51" i="7"/>
  <c r="P51" i="7"/>
  <c r="O51" i="7"/>
  <c r="N51" i="7"/>
  <c r="M51" i="7"/>
  <c r="L51" i="7"/>
  <c r="K51" i="7"/>
  <c r="J51" i="7"/>
  <c r="I51" i="7"/>
  <c r="H51" i="7"/>
  <c r="G51" i="7"/>
  <c r="F51" i="7"/>
  <c r="E51" i="7"/>
  <c r="D51" i="7"/>
  <c r="C51" i="7"/>
  <c r="B51" i="7"/>
  <c r="Q50" i="7"/>
  <c r="P50" i="7"/>
  <c r="O50" i="7"/>
  <c r="N50" i="7"/>
  <c r="M50" i="7"/>
  <c r="L50" i="7"/>
  <c r="K50" i="7"/>
  <c r="J50" i="7"/>
  <c r="I50" i="7"/>
  <c r="H50" i="7"/>
  <c r="G50" i="7"/>
  <c r="F50" i="7"/>
  <c r="E50" i="7"/>
  <c r="D50" i="7"/>
  <c r="C50" i="7"/>
  <c r="B50" i="7"/>
  <c r="Q49" i="7"/>
  <c r="P49" i="7"/>
  <c r="O49" i="7"/>
  <c r="N49" i="7"/>
  <c r="M49" i="7"/>
  <c r="L49" i="7"/>
  <c r="K49" i="7"/>
  <c r="J49" i="7"/>
  <c r="I49" i="7"/>
  <c r="H49" i="7"/>
  <c r="G49" i="7"/>
  <c r="F49" i="7"/>
  <c r="E49" i="7"/>
  <c r="D49" i="7"/>
  <c r="C49" i="7"/>
  <c r="B49" i="7"/>
  <c r="Q48" i="7"/>
  <c r="P48" i="7"/>
  <c r="O48" i="7"/>
  <c r="N48" i="7"/>
  <c r="M48" i="7"/>
  <c r="L48" i="7"/>
  <c r="K48" i="7"/>
  <c r="J48" i="7"/>
  <c r="I48" i="7"/>
  <c r="H48" i="7"/>
  <c r="G48" i="7"/>
  <c r="F48" i="7"/>
  <c r="E48" i="7"/>
  <c r="D48" i="7"/>
  <c r="C48" i="7"/>
  <c r="B48" i="7"/>
  <c r="Q47" i="7"/>
  <c r="P47" i="7"/>
  <c r="O47" i="7"/>
  <c r="N47" i="7"/>
  <c r="M47" i="7"/>
  <c r="L47" i="7"/>
  <c r="K47" i="7"/>
  <c r="J47" i="7"/>
  <c r="I47" i="7"/>
  <c r="H47" i="7"/>
  <c r="G47" i="7"/>
  <c r="F47" i="7"/>
  <c r="E47" i="7"/>
  <c r="D47" i="7"/>
  <c r="C47" i="7"/>
  <c r="B47" i="7"/>
  <c r="Q46" i="7"/>
  <c r="P46" i="7"/>
  <c r="O46" i="7"/>
  <c r="N46" i="7"/>
  <c r="M46" i="7"/>
  <c r="L46" i="7"/>
  <c r="K46" i="7"/>
  <c r="J46" i="7"/>
  <c r="I46" i="7"/>
  <c r="H46" i="7"/>
  <c r="G46" i="7"/>
  <c r="F46" i="7"/>
  <c r="E46" i="7"/>
  <c r="D46" i="7"/>
  <c r="C46" i="7"/>
  <c r="B46" i="7"/>
  <c r="Q45" i="7"/>
  <c r="P45" i="7"/>
  <c r="O45" i="7"/>
  <c r="N45" i="7"/>
  <c r="M45" i="7"/>
  <c r="L45" i="7"/>
  <c r="K45" i="7"/>
  <c r="J45" i="7"/>
  <c r="I45" i="7"/>
  <c r="H45" i="7"/>
  <c r="G45" i="7"/>
  <c r="F45" i="7"/>
  <c r="E45" i="7"/>
  <c r="D45" i="7"/>
  <c r="C45" i="7"/>
  <c r="B45" i="7"/>
  <c r="Q44" i="7"/>
  <c r="P44" i="7"/>
  <c r="O44" i="7"/>
  <c r="N44" i="7"/>
  <c r="M44" i="7"/>
  <c r="L44" i="7"/>
  <c r="K44" i="7"/>
  <c r="J44" i="7"/>
  <c r="I44" i="7"/>
  <c r="H44" i="7"/>
  <c r="G44" i="7"/>
  <c r="F44" i="7"/>
  <c r="E44" i="7"/>
  <c r="D44" i="7"/>
  <c r="C44" i="7"/>
  <c r="B44" i="7"/>
  <c r="Q23" i="7"/>
  <c r="P23" i="7"/>
  <c r="O23" i="7"/>
  <c r="N23" i="7"/>
  <c r="M23" i="7"/>
  <c r="L23" i="7"/>
  <c r="K23" i="7"/>
  <c r="J23" i="7"/>
  <c r="I23" i="7"/>
  <c r="H23" i="7"/>
  <c r="G23" i="7"/>
  <c r="F23" i="7"/>
  <c r="E23" i="7"/>
  <c r="D23" i="7"/>
  <c r="C23" i="7"/>
  <c r="B23" i="7"/>
  <c r="Q22" i="7"/>
  <c r="P22" i="7"/>
  <c r="O22" i="7"/>
  <c r="N22" i="7"/>
  <c r="M22" i="7"/>
  <c r="L22" i="7"/>
  <c r="K22" i="7"/>
  <c r="J22" i="7"/>
  <c r="I22" i="7"/>
  <c r="H22" i="7"/>
  <c r="G22" i="7"/>
  <c r="F22" i="7"/>
  <c r="E22" i="7"/>
  <c r="D22" i="7"/>
  <c r="C22" i="7"/>
  <c r="B22" i="7"/>
  <c r="Q21" i="7"/>
  <c r="P21" i="7"/>
  <c r="O21" i="7"/>
  <c r="N21" i="7"/>
  <c r="M21" i="7"/>
  <c r="L21" i="7"/>
  <c r="K21" i="7"/>
  <c r="J21" i="7"/>
  <c r="I21" i="7"/>
  <c r="H21" i="7"/>
  <c r="G21" i="7"/>
  <c r="F21" i="7"/>
  <c r="E21" i="7"/>
  <c r="D21" i="7"/>
  <c r="C21" i="7"/>
  <c r="B21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Q19" i="7"/>
  <c r="P19" i="7"/>
  <c r="O19" i="7"/>
  <c r="N19" i="7"/>
  <c r="M19" i="7"/>
  <c r="L19" i="7"/>
  <c r="K19" i="7"/>
  <c r="J19" i="7"/>
  <c r="I19" i="7"/>
  <c r="H19" i="7"/>
  <c r="G19" i="7"/>
  <c r="F19" i="7"/>
  <c r="E19" i="7"/>
  <c r="D19" i="7"/>
  <c r="C19" i="7"/>
  <c r="B19" i="7"/>
  <c r="Q18" i="7"/>
  <c r="P18" i="7"/>
  <c r="O18" i="7"/>
  <c r="N18" i="7"/>
  <c r="M18" i="7"/>
  <c r="L18" i="7"/>
  <c r="K18" i="7"/>
  <c r="J18" i="7"/>
  <c r="I18" i="7"/>
  <c r="H18" i="7"/>
  <c r="G18" i="7"/>
  <c r="F18" i="7"/>
  <c r="E18" i="7"/>
  <c r="D18" i="7"/>
  <c r="C18" i="7"/>
  <c r="B18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Q16" i="7"/>
  <c r="P16" i="7"/>
  <c r="O16" i="7"/>
  <c r="N16" i="7"/>
  <c r="M16" i="7"/>
  <c r="L16" i="7"/>
  <c r="K16" i="7"/>
  <c r="J16" i="7"/>
  <c r="I16" i="7"/>
  <c r="H16" i="7"/>
  <c r="G16" i="7"/>
  <c r="F16" i="7"/>
  <c r="E16" i="7"/>
  <c r="D16" i="7"/>
  <c r="C16" i="7"/>
  <c r="B16" i="7"/>
  <c r="Q15" i="7"/>
  <c r="P15" i="7"/>
  <c r="O15" i="7"/>
  <c r="N15" i="7"/>
  <c r="M15" i="7"/>
  <c r="L15" i="7"/>
  <c r="K15" i="7"/>
  <c r="J15" i="7"/>
  <c r="I15" i="7"/>
  <c r="H15" i="7"/>
  <c r="G15" i="7"/>
  <c r="F15" i="7"/>
  <c r="E15" i="7"/>
  <c r="D15" i="7"/>
  <c r="C15" i="7"/>
  <c r="B15" i="7"/>
  <c r="Q14" i="7"/>
  <c r="P14" i="7"/>
  <c r="O14" i="7"/>
  <c r="N14" i="7"/>
  <c r="M14" i="7"/>
  <c r="L14" i="7"/>
  <c r="K14" i="7"/>
  <c r="J14" i="7"/>
  <c r="I14" i="7"/>
  <c r="H14" i="7"/>
  <c r="G14" i="7"/>
  <c r="F14" i="7"/>
  <c r="E14" i="7"/>
  <c r="D14" i="7"/>
  <c r="C14" i="7"/>
  <c r="B14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C104" i="7"/>
  <c r="A77" i="7" s="1"/>
  <c r="A34" i="7" l="1"/>
  <c r="A1" i="7"/>
  <c r="A96" i="7"/>
</calcChain>
</file>

<file path=xl/sharedStrings.xml><?xml version="1.0" encoding="utf-8"?>
<sst xmlns="http://schemas.openxmlformats.org/spreadsheetml/2006/main" count="97" uniqueCount="81">
  <si>
    <t>Wyszczególnienie</t>
  </si>
  <si>
    <t>banku centralnego</t>
  </si>
  <si>
    <t>Poręczenia i gwarancje</t>
  </si>
  <si>
    <t>Liczba jednostek</t>
  </si>
  <si>
    <t>Wykonanie</t>
  </si>
  <si>
    <t>JST, których budżety zamknęły się nadwyżką</t>
  </si>
  <si>
    <t>JST, których budżety zamknęły się deficytem</t>
  </si>
  <si>
    <t>JST z budżetami zrównoważonymi</t>
  </si>
  <si>
    <t>kwartał</t>
  </si>
  <si>
    <t>rok</t>
  </si>
  <si>
    <t>stanNa</t>
  </si>
  <si>
    <t>A. Należności oraz wybrane aktywa finansowe</t>
  </si>
  <si>
    <t>kwota 
należności
ogółem
(kol. 3+15)</t>
  </si>
  <si>
    <t>ogółem 
(kol 4+9+10+11 +12+13+14)</t>
  </si>
  <si>
    <t>dłużnicy  krajowi</t>
  </si>
  <si>
    <t>sektor 
finansów 
publicznych 
ogółem 
(kol 5+6+7+8)</t>
  </si>
  <si>
    <t>banki</t>
  </si>
  <si>
    <t>pozostałe 
krajowe 
instytucje 
finansowe</t>
  </si>
  <si>
    <t>przedsiębiorstwa 
niefinansowe</t>
  </si>
  <si>
    <t>gospodarstwa 
domowe</t>
  </si>
  <si>
    <t>instytucje 
niekomercyjne 
działające
 na rzecz
gospodarstw
domowych</t>
  </si>
  <si>
    <t>ogółem
(kol. 16+17)</t>
  </si>
  <si>
    <t>podmioty 
należące 
do strefy 
euro</t>
  </si>
  <si>
    <t>pozostałe 
podmioty 
zagraniczne</t>
  </si>
  <si>
    <t xml:space="preserve">      dłużnicy zagraniczni</t>
  </si>
  <si>
    <t xml:space="preserve">grupa I </t>
  </si>
  <si>
    <t xml:space="preserve">grupa II </t>
  </si>
  <si>
    <t>grupa III</t>
  </si>
  <si>
    <t>grupa IV</t>
  </si>
  <si>
    <t>N1.1 krótkotermionowe</t>
  </si>
  <si>
    <t>N1.2  długoterminowe</t>
  </si>
  <si>
    <t>N2.1 krótkotermionowe</t>
  </si>
  <si>
    <t>N2.2 długoterminowe</t>
  </si>
  <si>
    <t>N3.1 gotówka</t>
  </si>
  <si>
    <t>N3.2 depozyty na żądanie</t>
  </si>
  <si>
    <t>N3.3 depozyty terminowe</t>
  </si>
  <si>
    <t>N4.1 z tytułu dostaw towarów i usług</t>
  </si>
  <si>
    <t>N4.2 pozostałe</t>
  </si>
  <si>
    <t>N5.1 z tytułu dostaw towarów i usług</t>
  </si>
  <si>
    <t>N5.2 z tytułu podatków i składek na 
ubezpieczenia społ.</t>
  </si>
  <si>
    <t>N5.3 z tytułu innych niż wymienione powyżej</t>
  </si>
  <si>
    <t>N1 papiery wartościowe (N1.1+N1.2)</t>
  </si>
  <si>
    <t>N2  pożyczki (N2.1+N2.2)</t>
  </si>
  <si>
    <t>N3 gotówka i depozyty (N3.1+N3.2+N3.3)</t>
  </si>
  <si>
    <t>N4 należności wymagalne (N4.1+N4.2)</t>
  </si>
  <si>
    <t>N5 pozostałe należności  (N5.1+N5.2+N5.3)</t>
  </si>
  <si>
    <t>E  ZOBOWIĄZANIA WG TYTUŁÓW 
    DŁUŻNYCH (E1+E2+E3+E4)</t>
  </si>
  <si>
    <t>E1 papiery wartościowe 
     (E1.1+E1.2)</t>
  </si>
  <si>
    <t>E1.1 krótkotermionowe</t>
  </si>
  <si>
    <t>E1.2 długoterminowe</t>
  </si>
  <si>
    <t>E2 kredyty i pożyczki 
     (E2.1+E2.2)</t>
  </si>
  <si>
    <t>E2.1 krótkotermionowe</t>
  </si>
  <si>
    <t>E2.2 długoterminowe</t>
  </si>
  <si>
    <t>E3 przyjęte depozyty</t>
  </si>
  <si>
    <t>E4  wymagalne zobowiązania 
     (E4.1+E4.2)</t>
  </si>
  <si>
    <t>E4.1 z tytułu dostaw towarów i usług</t>
  </si>
  <si>
    <t>E4.2 pozostałe</t>
  </si>
  <si>
    <t>F1 wartość nominalna niewymagalnych zobowiązań z tytułu udzielonych poręczeń i gwarancji na koniec okresu sprawozdawczego</t>
  </si>
  <si>
    <t>F2 wartość nominalna wymagalnych zobowiązań z tytułu udzielonych poręczeń i gwarancji na koniec okresu sprawozdawczego</t>
  </si>
  <si>
    <t>F3 wartość poręczeń i gwarancji udzielonych w okresie sprawozdawczym</t>
  </si>
  <si>
    <t>B1 należność główna z tytułu udzielonych gwarancji i poręczeń</t>
  </si>
  <si>
    <t>B2 odsetki ustawowe od nalezności głównej z tytułu udzielonych gwarancji i poręczeń</t>
  </si>
  <si>
    <t>B3 wartość spłat dokonanych w okresie sprawozdawczym za dłużników z tytułu udzielonych poręczeń i gwarancji (wydatki)</t>
  </si>
  <si>
    <t>B4 kwota odzyskanych wierzytelności w okresie sprawozdawczym od dłużników z tytułu poręczeń lub gwarancji (dochody)</t>
  </si>
  <si>
    <t>Zobowiązania według tytułów dłużnych (wg wartości nominalnej)</t>
  </si>
  <si>
    <t>kwota 
zadłużenia
ogółem
(kol. 3+15)</t>
  </si>
  <si>
    <t>ogółem 
(kol. 4+9+10+11 +12+13+14)</t>
  </si>
  <si>
    <t>bank 
centralny</t>
  </si>
  <si>
    <t xml:space="preserve">      wierzyciele zagraniczni</t>
  </si>
  <si>
    <t>wierzyciele krajowi</t>
  </si>
  <si>
    <t>grupa I</t>
  </si>
  <si>
    <t>grupa II</t>
  </si>
  <si>
    <t>kwota 
zadłużenia
ogółem
(kol. 3+8)</t>
  </si>
  <si>
    <t>podmioty 
sektora finansów 
publicznych 
(kol.4+5+6+7)</t>
  </si>
  <si>
    <t xml:space="preserve">grupa III </t>
  </si>
  <si>
    <t xml:space="preserve">grupa IV </t>
  </si>
  <si>
    <t>pozostałe
podmioty</t>
  </si>
  <si>
    <t>sektora finansów publicznych (kol.5+6+7+8)</t>
  </si>
  <si>
    <t>wierzyciele i dłużnicy</t>
  </si>
  <si>
    <t>tytul</t>
  </si>
  <si>
    <t>w złotych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</si>
</sst>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\ h:mm;@"/>
  </numFmts>
  <fonts count="35" x14ac:knownFonts="1">
    <font>
      <sz val="10"/>
      <name val="Arial CE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sz val="16"/>
      <name val="Arial"/>
      <family val="2"/>
      <charset val="238"/>
    </font>
    <font>
      <sz val="10"/>
      <name val="Arial"/>
      <charset val="238"/>
    </font>
    <font>
      <sz val="8"/>
      <name val="Arial"/>
      <charset val="238"/>
    </font>
    <font>
      <sz val="11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6"/>
      <name val="Arial"/>
      <family val="2"/>
      <charset val="238"/>
    </font>
    <font>
      <sz val="9"/>
      <name val="Arial"/>
      <family val="2"/>
      <charset val="238"/>
    </font>
    <font>
      <b/>
      <sz val="7"/>
      <name val="Arial"/>
      <family val="2"/>
      <charset val="238"/>
    </font>
    <font>
      <sz val="7"/>
      <name val="Arial"/>
      <charset val="238"/>
    </font>
    <font>
      <b/>
      <sz val="9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4"/>
      <name val="Arial"/>
      <family val="2"/>
      <charset val="238"/>
    </font>
  </fonts>
  <fills count="22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2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3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8" borderId="0" applyNumberFormat="0" applyBorder="0" applyAlignment="0" applyProtection="0"/>
    <xf numFmtId="0" fontId="11" fillId="7" borderId="0" applyNumberFormat="0" applyBorder="0" applyAlignment="0" applyProtection="0"/>
    <xf numFmtId="0" fontId="11" fillId="10" borderId="0" applyNumberFormat="0" applyBorder="0" applyAlignment="0" applyProtection="0"/>
    <xf numFmtId="0" fontId="11" fillId="6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1" applyNumberFormat="0" applyAlignment="0" applyProtection="0"/>
    <xf numFmtId="0" fontId="14" fillId="17" borderId="2" applyNumberFormat="0" applyAlignment="0" applyProtection="0"/>
    <xf numFmtId="0" fontId="15" fillId="0" borderId="0" applyNumberFormat="0" applyFill="0" applyBorder="0" applyAlignment="0" applyProtection="0"/>
    <xf numFmtId="0" fontId="16" fillId="18" borderId="0" applyNumberFormat="0" applyBorder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1" applyNumberFormat="0" applyAlignment="0" applyProtection="0"/>
    <xf numFmtId="0" fontId="21" fillId="0" borderId="7" applyNumberFormat="0" applyFill="0" applyAlignment="0" applyProtection="0"/>
    <xf numFmtId="0" fontId="22" fillId="8" borderId="0" applyNumberFormat="0" applyBorder="0" applyAlignment="0" applyProtection="0"/>
    <xf numFmtId="0" fontId="4" fillId="0" borderId="0"/>
    <xf numFmtId="0" fontId="1" fillId="4" borderId="8" applyNumberFormat="0" applyFont="0" applyAlignment="0" applyProtection="0"/>
    <xf numFmtId="0" fontId="23" fillId="16" borderId="3" applyNumberFormat="0" applyAlignment="0" applyProtection="0"/>
    <xf numFmtId="0" fontId="24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6" fillId="0" borderId="0" applyNumberFormat="0" applyFill="0" applyBorder="0" applyAlignment="0" applyProtection="0"/>
  </cellStyleXfs>
  <cellXfs count="101">
    <xf numFmtId="0" fontId="0" fillId="0" borderId="0" xfId="0"/>
    <xf numFmtId="0" fontId="3" fillId="0" borderId="0" xfId="37" applyFont="1" applyAlignment="1">
      <alignment horizontal="center" vertical="center" wrapText="1"/>
    </xf>
    <xf numFmtId="0" fontId="4" fillId="0" borderId="0" xfId="37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4" fillId="0" borderId="0" xfId="37" applyFill="1" applyBorder="1" applyAlignment="1">
      <alignment horizontal="center" vertical="center" wrapText="1"/>
    </xf>
    <xf numFmtId="0" fontId="5" fillId="0" borderId="0" xfId="37" applyFont="1" applyFill="1" applyBorder="1" applyAlignment="1">
      <alignment horizontal="center" vertical="center" wrapText="1"/>
    </xf>
    <xf numFmtId="0" fontId="2" fillId="0" borderId="0" xfId="37" applyFont="1" applyFill="1" applyBorder="1" applyAlignment="1">
      <alignment horizontal="left" vertical="center" wrapText="1"/>
    </xf>
    <xf numFmtId="0" fontId="2" fillId="0" borderId="0" xfId="37" applyFont="1" applyFill="1" applyBorder="1" applyAlignment="1">
      <alignment horizontal="center" vertical="center" wrapText="1"/>
    </xf>
    <xf numFmtId="0" fontId="9" fillId="0" borderId="10" xfId="0" applyFont="1" applyBorder="1"/>
    <xf numFmtId="0" fontId="9" fillId="0" borderId="0" xfId="0" applyFont="1"/>
    <xf numFmtId="164" fontId="9" fillId="0" borderId="10" xfId="0" applyNumberFormat="1" applyFont="1" applyBorder="1"/>
    <xf numFmtId="0" fontId="27" fillId="0" borderId="0" xfId="37" applyFont="1" applyAlignment="1">
      <alignment horizontal="center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4" fillId="19" borderId="10" xfId="37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4" fontId="7" fillId="20" borderId="10" xfId="37" applyNumberFormat="1" applyFont="1" applyFill="1" applyBorder="1" applyAlignment="1">
      <alignment vertical="center" wrapText="1"/>
    </xf>
    <xf numFmtId="0" fontId="4" fillId="0" borderId="10" xfId="37" applyFont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indent="1"/>
    </xf>
    <xf numFmtId="4" fontId="7" fillId="0" borderId="0" xfId="37" applyNumberFormat="1" applyFont="1" applyBorder="1" applyAlignment="1">
      <alignment horizontal="right" vertical="center" wrapText="1"/>
    </xf>
    <xf numFmtId="0" fontId="28" fillId="0" borderId="17" xfId="0" applyFont="1" applyFill="1" applyBorder="1" applyAlignment="1">
      <alignment horizontal="left" vertical="center" wrapText="1" indent="1"/>
    </xf>
    <xf numFmtId="0" fontId="28" fillId="0" borderId="18" xfId="0" applyFont="1" applyFill="1" applyBorder="1" applyAlignment="1">
      <alignment horizontal="left" vertical="center" wrapText="1" indent="1"/>
    </xf>
    <xf numFmtId="0" fontId="28" fillId="0" borderId="17" xfId="0" applyFont="1" applyFill="1" applyBorder="1" applyAlignment="1">
      <alignment horizontal="left" vertical="center" indent="1"/>
    </xf>
    <xf numFmtId="0" fontId="33" fillId="0" borderId="17" xfId="0" applyFont="1" applyFill="1" applyBorder="1" applyAlignment="1">
      <alignment vertical="center" wrapText="1"/>
    </xf>
    <xf numFmtId="0" fontId="33" fillId="0" borderId="17" xfId="0" applyFont="1" applyFill="1" applyBorder="1" applyAlignment="1">
      <alignment vertical="center"/>
    </xf>
    <xf numFmtId="0" fontId="32" fillId="0" borderId="17" xfId="0" applyFont="1" applyFill="1" applyBorder="1" applyAlignment="1">
      <alignment vertical="center"/>
    </xf>
    <xf numFmtId="0" fontId="28" fillId="0" borderId="10" xfId="0" applyFont="1" applyFill="1" applyBorder="1" applyAlignment="1">
      <alignment horizontal="left" vertical="center" indent="1"/>
    </xf>
    <xf numFmtId="4" fontId="7" fillId="0" borderId="10" xfId="37" applyNumberFormat="1" applyFont="1" applyFill="1" applyBorder="1" applyAlignment="1">
      <alignment vertical="center" wrapText="1"/>
    </xf>
    <xf numFmtId="0" fontId="31" fillId="21" borderId="10" xfId="37" applyFont="1" applyFill="1" applyBorder="1" applyAlignment="1">
      <alignment horizontal="left" vertical="center" wrapText="1"/>
    </xf>
    <xf numFmtId="4" fontId="7" fillId="21" borderId="10" xfId="37" applyNumberFormat="1" applyFont="1" applyFill="1" applyBorder="1" applyAlignment="1">
      <alignment horizontal="right" vertical="center" wrapText="1"/>
    </xf>
    <xf numFmtId="0" fontId="31" fillId="21" borderId="17" xfId="0" applyFont="1" applyFill="1" applyBorder="1" applyAlignment="1">
      <alignment wrapText="1"/>
    </xf>
    <xf numFmtId="0" fontId="31" fillId="21" borderId="18" xfId="0" applyFont="1" applyFill="1" applyBorder="1" applyAlignment="1">
      <alignment wrapText="1"/>
    </xf>
    <xf numFmtId="0" fontId="31" fillId="21" borderId="18" xfId="0" applyFont="1" applyFill="1" applyBorder="1" applyAlignment="1">
      <alignment vertical="center"/>
    </xf>
    <xf numFmtId="0" fontId="31" fillId="21" borderId="17" xfId="0" applyFont="1" applyFill="1" applyBorder="1" applyAlignment="1">
      <alignment horizontal="left" wrapText="1"/>
    </xf>
    <xf numFmtId="4" fontId="7" fillId="0" borderId="10" xfId="37" applyNumberFormat="1" applyFont="1" applyFill="1" applyBorder="1" applyAlignment="1">
      <alignment horizontal="right" vertical="center" wrapText="1"/>
    </xf>
    <xf numFmtId="0" fontId="32" fillId="21" borderId="17" xfId="0" applyFont="1" applyFill="1" applyBorder="1" applyAlignment="1">
      <alignment vertical="center" wrapText="1"/>
    </xf>
    <xf numFmtId="4" fontId="7" fillId="21" borderId="10" xfId="37" applyNumberFormat="1" applyFont="1" applyFill="1" applyBorder="1" applyAlignment="1">
      <alignment vertical="center" wrapText="1"/>
    </xf>
    <xf numFmtId="0" fontId="7" fillId="19" borderId="15" xfId="37" applyFont="1" applyFill="1" applyBorder="1" applyAlignment="1">
      <alignment horizontal="center" vertical="center" wrapText="1"/>
    </xf>
    <xf numFmtId="0" fontId="7" fillId="19" borderId="14" xfId="37" applyFont="1" applyFill="1" applyBorder="1" applyAlignment="1">
      <alignment horizontal="center" vertical="center" wrapText="1"/>
    </xf>
    <xf numFmtId="0" fontId="7" fillId="19" borderId="11" xfId="37" applyFont="1" applyFill="1" applyBorder="1" applyAlignment="1">
      <alignment horizontal="center" vertical="center" wrapText="1"/>
    </xf>
    <xf numFmtId="0" fontId="7" fillId="19" borderId="10" xfId="37" applyFont="1" applyFill="1" applyBorder="1" applyAlignment="1">
      <alignment horizontal="center" vertical="center" wrapText="1"/>
    </xf>
    <xf numFmtId="0" fontId="34" fillId="0" borderId="0" xfId="37" applyFont="1" applyAlignment="1">
      <alignment horizontal="center" vertical="center" wrapText="1"/>
    </xf>
    <xf numFmtId="0" fontId="2" fillId="19" borderId="10" xfId="37" applyFont="1" applyFill="1" applyBorder="1" applyAlignment="1">
      <alignment horizontal="center" vertical="center" wrapText="1"/>
    </xf>
    <xf numFmtId="0" fontId="7" fillId="19" borderId="20" xfId="37" applyFont="1" applyFill="1" applyBorder="1" applyAlignment="1">
      <alignment horizontal="center" vertical="center" wrapText="1"/>
    </xf>
    <xf numFmtId="0" fontId="7" fillId="19" borderId="21" xfId="37" applyFont="1" applyFill="1" applyBorder="1" applyAlignment="1">
      <alignment horizontal="center" vertical="center" wrapText="1"/>
    </xf>
    <xf numFmtId="0" fontId="7" fillId="19" borderId="12" xfId="37" applyFont="1" applyFill="1" applyBorder="1" applyAlignment="1">
      <alignment horizontal="center" vertical="center" wrapText="1"/>
    </xf>
    <xf numFmtId="0" fontId="5" fillId="19" borderId="10" xfId="37" applyFont="1" applyFill="1" applyBorder="1" applyAlignment="1">
      <alignment horizontal="center" vertical="center" wrapText="1"/>
    </xf>
    <xf numFmtId="0" fontId="8" fillId="19" borderId="23" xfId="37" applyFont="1" applyFill="1" applyBorder="1" applyAlignment="1">
      <alignment horizontal="center" vertical="center" wrapText="1"/>
    </xf>
    <xf numFmtId="0" fontId="8" fillId="19" borderId="19" xfId="37" applyFont="1" applyFill="1" applyBorder="1" applyAlignment="1">
      <alignment horizontal="center" vertical="center" wrapText="1"/>
    </xf>
    <xf numFmtId="0" fontId="8" fillId="19" borderId="24" xfId="37" applyFont="1" applyFill="1" applyBorder="1" applyAlignment="1">
      <alignment horizontal="center" vertical="center" wrapText="1"/>
    </xf>
    <xf numFmtId="0" fontId="8" fillId="19" borderId="22" xfId="37" applyFont="1" applyFill="1" applyBorder="1" applyAlignment="1">
      <alignment horizontal="center" vertical="center" wrapText="1"/>
    </xf>
    <xf numFmtId="0" fontId="8" fillId="19" borderId="0" xfId="37" applyFont="1" applyFill="1" applyBorder="1" applyAlignment="1">
      <alignment horizontal="center" vertical="center" wrapText="1"/>
    </xf>
    <xf numFmtId="0" fontId="8" fillId="19" borderId="25" xfId="37" applyFont="1" applyFill="1" applyBorder="1" applyAlignment="1">
      <alignment horizontal="center" vertical="center" wrapText="1"/>
    </xf>
    <xf numFmtId="0" fontId="8" fillId="19" borderId="13" xfId="37" applyFont="1" applyFill="1" applyBorder="1" applyAlignment="1">
      <alignment horizontal="center" vertical="center" wrapText="1"/>
    </xf>
    <xf numFmtId="0" fontId="8" fillId="19" borderId="26" xfId="37" applyFont="1" applyFill="1" applyBorder="1" applyAlignment="1">
      <alignment horizontal="center" vertical="center" wrapText="1"/>
    </xf>
    <xf numFmtId="0" fontId="8" fillId="19" borderId="16" xfId="37" applyFont="1" applyFill="1" applyBorder="1" applyAlignment="1">
      <alignment horizontal="center" vertical="center" wrapText="1"/>
    </xf>
    <xf numFmtId="0" fontId="2" fillId="0" borderId="15" xfId="37" applyFont="1" applyFill="1" applyBorder="1" applyAlignment="1">
      <alignment horizontal="left" vertical="center" wrapText="1"/>
    </xf>
    <xf numFmtId="0" fontId="2" fillId="0" borderId="14" xfId="37" applyFont="1" applyFill="1" applyBorder="1" applyAlignment="1">
      <alignment horizontal="left" vertical="center" wrapText="1"/>
    </xf>
    <xf numFmtId="0" fontId="2" fillId="0" borderId="11" xfId="37" applyFont="1" applyFill="1" applyBorder="1" applyAlignment="1">
      <alignment horizontal="left" vertical="center" wrapText="1"/>
    </xf>
    <xf numFmtId="0" fontId="5" fillId="19" borderId="23" xfId="37" applyFont="1" applyFill="1" applyBorder="1" applyAlignment="1">
      <alignment horizontal="center" vertical="center" wrapText="1"/>
    </xf>
    <xf numFmtId="0" fontId="5" fillId="19" borderId="22" xfId="37" applyFont="1" applyFill="1" applyBorder="1" applyAlignment="1">
      <alignment horizontal="center" vertical="center" wrapText="1"/>
    </xf>
    <xf numFmtId="0" fontId="5" fillId="19" borderId="13" xfId="37" applyFont="1" applyFill="1" applyBorder="1" applyAlignment="1">
      <alignment horizontal="center" vertical="center" wrapText="1"/>
    </xf>
    <xf numFmtId="0" fontId="30" fillId="19" borderId="10" xfId="37" applyFont="1" applyFill="1" applyBorder="1" applyAlignment="1">
      <alignment horizontal="center" vertical="center" wrapText="1"/>
    </xf>
    <xf numFmtId="0" fontId="5" fillId="19" borderId="15" xfId="37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19" borderId="10" xfId="37" applyNumberFormat="1" applyFont="1" applyFill="1" applyBorder="1" applyAlignment="1">
      <alignment horizontal="center" vertical="center" wrapText="1"/>
    </xf>
    <xf numFmtId="3" fontId="7" fillId="0" borderId="15" xfId="37" applyNumberFormat="1" applyFont="1" applyBorder="1" applyAlignment="1">
      <alignment horizontal="right" vertical="center" wrapText="1"/>
    </xf>
    <xf numFmtId="3" fontId="7" fillId="0" borderId="11" xfId="37" applyNumberFormat="1" applyFont="1" applyBorder="1" applyAlignment="1">
      <alignment horizontal="right" vertical="center" wrapText="1"/>
    </xf>
    <xf numFmtId="4" fontId="7" fillId="0" borderId="15" xfId="37" applyNumberFormat="1" applyFont="1" applyBorder="1" applyAlignment="1">
      <alignment horizontal="right" vertical="center" wrapText="1"/>
    </xf>
    <xf numFmtId="4" fontId="7" fillId="0" borderId="11" xfId="37" applyNumberFormat="1" applyFont="1" applyBorder="1" applyAlignment="1">
      <alignment horizontal="right" vertical="center" wrapText="1"/>
    </xf>
    <xf numFmtId="0" fontId="5" fillId="19" borderId="14" xfId="37" applyFont="1" applyFill="1" applyBorder="1" applyAlignment="1">
      <alignment horizontal="center" vertical="center" wrapText="1"/>
    </xf>
    <xf numFmtId="0" fontId="5" fillId="19" borderId="11" xfId="37" applyFont="1" applyFill="1" applyBorder="1" applyAlignment="1">
      <alignment horizontal="center" vertical="center" wrapText="1"/>
    </xf>
    <xf numFmtId="0" fontId="2" fillId="0" borderId="15" xfId="37" applyFont="1" applyBorder="1" applyAlignment="1">
      <alignment horizontal="left" vertical="center" wrapText="1"/>
    </xf>
    <xf numFmtId="0" fontId="2" fillId="0" borderId="14" xfId="37" applyFont="1" applyBorder="1" applyAlignment="1">
      <alignment horizontal="left" vertical="center" wrapText="1"/>
    </xf>
    <xf numFmtId="0" fontId="2" fillId="0" borderId="11" xfId="37" applyFont="1" applyBorder="1" applyAlignment="1">
      <alignment horizontal="left" vertical="center" wrapText="1"/>
    </xf>
    <xf numFmtId="3" fontId="7" fillId="0" borderId="15" xfId="37" applyNumberFormat="1" applyFont="1" applyFill="1" applyBorder="1" applyAlignment="1">
      <alignment horizontal="right" vertical="center" wrapText="1"/>
    </xf>
    <xf numFmtId="3" fontId="7" fillId="0" borderId="11" xfId="37" applyNumberFormat="1" applyFont="1" applyFill="1" applyBorder="1" applyAlignment="1">
      <alignment horizontal="right" vertical="center" wrapText="1"/>
    </xf>
    <xf numFmtId="4" fontId="7" fillId="0" borderId="15" xfId="37" applyNumberFormat="1" applyFont="1" applyFill="1" applyBorder="1" applyAlignment="1">
      <alignment horizontal="right" vertical="center" wrapText="1"/>
    </xf>
    <xf numFmtId="4" fontId="7" fillId="0" borderId="11" xfId="37" applyNumberFormat="1" applyFont="1" applyFill="1" applyBorder="1" applyAlignment="1">
      <alignment horizontal="right" vertical="center" wrapText="1"/>
    </xf>
    <xf numFmtId="0" fontId="27" fillId="0" borderId="0" xfId="37" applyFont="1" applyFill="1" applyBorder="1" applyAlignment="1">
      <alignment horizontal="center" vertical="center" wrapText="1"/>
    </xf>
    <xf numFmtId="0" fontId="6" fillId="0" borderId="0" xfId="37" applyFont="1" applyAlignment="1">
      <alignment horizontal="left" vertical="center" wrapText="1"/>
    </xf>
    <xf numFmtId="0" fontId="2" fillId="19" borderId="12" xfId="37" applyFont="1" applyFill="1" applyBorder="1" applyAlignment="1">
      <alignment horizontal="center" vertical="center" wrapText="1"/>
    </xf>
    <xf numFmtId="0" fontId="2" fillId="19" borderId="22" xfId="37" applyFont="1" applyFill="1" applyBorder="1" applyAlignment="1">
      <alignment horizontal="center" vertical="center" wrapText="1"/>
    </xf>
    <xf numFmtId="0" fontId="2" fillId="19" borderId="13" xfId="37" applyFont="1" applyFill="1" applyBorder="1" applyAlignment="1">
      <alignment horizontal="center" vertical="center" wrapText="1"/>
    </xf>
    <xf numFmtId="0" fontId="2" fillId="19" borderId="15" xfId="37" applyFont="1" applyFill="1" applyBorder="1" applyAlignment="1">
      <alignment horizontal="center" vertical="center" wrapText="1"/>
    </xf>
    <xf numFmtId="0" fontId="2" fillId="19" borderId="14" xfId="37" applyFont="1" applyFill="1" applyBorder="1" applyAlignment="1">
      <alignment horizontal="center" vertical="center" wrapText="1"/>
    </xf>
    <xf numFmtId="0" fontId="2" fillId="19" borderId="11" xfId="37" applyFont="1" applyFill="1" applyBorder="1" applyAlignment="1">
      <alignment horizontal="center" vertical="center" wrapText="1"/>
    </xf>
    <xf numFmtId="0" fontId="2" fillId="19" borderId="21" xfId="37" applyFont="1" applyFill="1" applyBorder="1" applyAlignment="1">
      <alignment horizontal="center" vertical="center" wrapText="1"/>
    </xf>
    <xf numFmtId="0" fontId="29" fillId="19" borderId="15" xfId="37" applyFont="1" applyFill="1" applyBorder="1" applyAlignment="1">
      <alignment horizontal="center" vertical="center" wrapText="1"/>
    </xf>
    <xf numFmtId="0" fontId="29" fillId="19" borderId="14" xfId="37" applyFont="1" applyFill="1" applyBorder="1" applyAlignment="1">
      <alignment horizontal="center" vertical="center" wrapText="1"/>
    </xf>
    <xf numFmtId="0" fontId="29" fillId="19" borderId="11" xfId="37" applyFont="1" applyFill="1" applyBorder="1" applyAlignment="1">
      <alignment horizontal="center" vertical="center" wrapText="1"/>
    </xf>
    <xf numFmtId="0" fontId="2" fillId="19" borderId="20" xfId="37" applyFont="1" applyFill="1" applyBorder="1" applyAlignment="1">
      <alignment horizontal="center" vertical="center" wrapText="1"/>
    </xf>
    <xf numFmtId="0" fontId="8" fillId="19" borderId="20" xfId="37" applyFont="1" applyFill="1" applyBorder="1" applyAlignment="1">
      <alignment horizontal="center" vertical="center" wrapText="1"/>
    </xf>
    <xf numFmtId="0" fontId="8" fillId="19" borderId="21" xfId="37" applyFont="1" applyFill="1" applyBorder="1" applyAlignment="1">
      <alignment horizontal="center" vertical="center" wrapText="1"/>
    </xf>
    <xf numFmtId="0" fontId="8" fillId="19" borderId="12" xfId="37" applyFont="1" applyFill="1" applyBorder="1" applyAlignment="1">
      <alignment horizontal="center" vertical="center" wrapText="1"/>
    </xf>
    <xf numFmtId="4" fontId="2" fillId="19" borderId="15" xfId="37" applyNumberFormat="1" applyFont="1" applyFill="1" applyBorder="1" applyAlignment="1">
      <alignment horizontal="center" vertical="center" wrapText="1"/>
    </xf>
    <xf numFmtId="4" fontId="2" fillId="19" borderId="14" xfId="37" applyNumberFormat="1" applyFont="1" applyFill="1" applyBorder="1" applyAlignment="1">
      <alignment horizontal="center" vertical="center" wrapText="1"/>
    </xf>
    <xf numFmtId="0" fontId="29" fillId="19" borderId="20" xfId="37" applyFont="1" applyFill="1" applyBorder="1" applyAlignment="1">
      <alignment horizontal="center" vertical="center" wrapText="1"/>
    </xf>
    <xf numFmtId="0" fontId="29" fillId="19" borderId="21" xfId="37" applyFont="1" applyFill="1" applyBorder="1" applyAlignment="1">
      <alignment horizontal="center" vertical="center" wrapText="1"/>
    </xf>
    <xf numFmtId="0" fontId="29" fillId="19" borderId="12" xfId="37" applyFont="1" applyFill="1" applyBorder="1" applyAlignment="1">
      <alignment horizontal="center" vertical="center" wrapText="1"/>
    </xf>
    <xf numFmtId="0" fontId="2" fillId="19" borderId="10" xfId="37" applyNumberFormat="1" applyFont="1" applyFill="1" applyBorder="1" applyAlignment="1">
      <alignment horizontal="center" vertical="center" wrapText="1"/>
    </xf>
  </cellXfs>
  <cellStyles count="4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ny" xfId="0" builtinId="0"/>
    <cellStyle name="Normalny_Zeszyt1" xfId="37"/>
    <cellStyle name="Note" xfId="38"/>
    <cellStyle name="Output" xfId="39"/>
    <cellStyle name="Title" xfId="40"/>
    <cellStyle name="Total" xfId="41"/>
    <cellStyle name="Warning Text" xfId="4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Q107"/>
  <sheetViews>
    <sheetView tabSelected="1" zoomScaleNormal="100" zoomScaleSheetLayoutView="50" workbookViewId="0">
      <selection activeCell="A6" sqref="A6:A10"/>
    </sheetView>
  </sheetViews>
  <sheetFormatPr defaultRowHeight="13.5" customHeight="1" x14ac:dyDescent="0.2"/>
  <cols>
    <col min="1" max="1" width="22.5703125" style="2" customWidth="1"/>
    <col min="2" max="3" width="14.7109375" style="2" customWidth="1"/>
    <col min="4" max="4" width="13.28515625" style="2" customWidth="1"/>
    <col min="5" max="5" width="12.28515625" style="2" customWidth="1"/>
    <col min="6" max="6" width="11.85546875" style="2" customWidth="1"/>
    <col min="7" max="7" width="11" style="2" customWidth="1"/>
    <col min="8" max="8" width="11.140625" style="2" customWidth="1"/>
    <col min="9" max="9" width="12.28515625" style="2" customWidth="1"/>
    <col min="10" max="10" width="13.5703125" style="2" customWidth="1"/>
    <col min="11" max="11" width="12.140625" style="2" customWidth="1"/>
    <col min="12" max="12" width="13.28515625" style="2" customWidth="1"/>
    <col min="13" max="13" width="11.140625" style="2" bestFit="1" customWidth="1"/>
    <col min="14" max="14" width="11.28515625" style="2" bestFit="1" customWidth="1"/>
    <col min="15" max="15" width="9.28515625" style="2" bestFit="1" customWidth="1"/>
    <col min="16" max="16" width="7.5703125" style="2" bestFit="1" customWidth="1"/>
    <col min="17" max="17" width="9.85546875" style="2" bestFit="1" customWidth="1"/>
    <col min="18" max="16384" width="9.140625" style="2"/>
  </cols>
  <sheetData>
    <row r="1" spans="1:17" ht="75" customHeight="1" x14ac:dyDescent="0.2">
      <c r="A1" s="40" t="str">
        <f>CONCATENATE("Informacja z wykonania budżetów gmin za ",$C$104," ",$B$105," roku   ",$B$107,"")</f>
        <v xml:space="preserve">Informacja z wykonania budżetów gmin za I Kwartał 2023 roku   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</row>
    <row r="2" spans="1:17" ht="13.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7" ht="13.5" customHeight="1" x14ac:dyDescent="0.2">
      <c r="A3" s="80" t="s">
        <v>64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</row>
    <row r="5" spans="1:17" ht="13.5" customHeight="1" x14ac:dyDescent="0.2">
      <c r="B5" s="12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11"/>
      <c r="O5" s="11"/>
      <c r="P5" s="11"/>
      <c r="Q5" s="11"/>
    </row>
    <row r="6" spans="1:17" ht="13.5" customHeight="1" x14ac:dyDescent="0.2">
      <c r="A6" s="92" t="s">
        <v>0</v>
      </c>
      <c r="B6" s="91" t="s">
        <v>65</v>
      </c>
      <c r="C6" s="84" t="s">
        <v>69</v>
      </c>
      <c r="D6" s="85"/>
      <c r="E6" s="85"/>
      <c r="F6" s="85"/>
      <c r="G6" s="85"/>
      <c r="H6" s="85"/>
      <c r="I6" s="85"/>
      <c r="J6" s="85"/>
      <c r="K6" s="85"/>
      <c r="L6" s="85"/>
      <c r="M6" s="85"/>
      <c r="N6" s="86"/>
      <c r="O6" s="36" t="s">
        <v>68</v>
      </c>
      <c r="P6" s="37"/>
      <c r="Q6" s="38"/>
    </row>
    <row r="7" spans="1:17" ht="13.5" customHeight="1" x14ac:dyDescent="0.2">
      <c r="A7" s="93"/>
      <c r="B7" s="87"/>
      <c r="C7" s="81" t="s">
        <v>66</v>
      </c>
      <c r="D7" s="81" t="s">
        <v>77</v>
      </c>
      <c r="E7" s="81" t="s">
        <v>70</v>
      </c>
      <c r="F7" s="81" t="s">
        <v>71</v>
      </c>
      <c r="G7" s="81" t="s">
        <v>27</v>
      </c>
      <c r="H7" s="81" t="s">
        <v>28</v>
      </c>
      <c r="I7" s="82" t="s">
        <v>67</v>
      </c>
      <c r="J7" s="81" t="s">
        <v>16</v>
      </c>
      <c r="K7" s="81" t="s">
        <v>17</v>
      </c>
      <c r="L7" s="81" t="s">
        <v>18</v>
      </c>
      <c r="M7" s="81" t="s">
        <v>19</v>
      </c>
      <c r="N7" s="87" t="s">
        <v>20</v>
      </c>
      <c r="O7" s="39" t="s">
        <v>21</v>
      </c>
      <c r="P7" s="39" t="s">
        <v>22</v>
      </c>
      <c r="Q7" s="39" t="s">
        <v>23</v>
      </c>
    </row>
    <row r="8" spans="1:17" ht="13.5" customHeight="1" x14ac:dyDescent="0.2">
      <c r="A8" s="93"/>
      <c r="B8" s="87"/>
      <c r="C8" s="41"/>
      <c r="D8" s="41"/>
      <c r="E8" s="41"/>
      <c r="F8" s="41"/>
      <c r="G8" s="41"/>
      <c r="H8" s="41"/>
      <c r="I8" s="82"/>
      <c r="J8" s="41"/>
      <c r="K8" s="41"/>
      <c r="L8" s="41"/>
      <c r="M8" s="41"/>
      <c r="N8" s="87"/>
      <c r="O8" s="39"/>
      <c r="P8" s="39"/>
      <c r="Q8" s="39"/>
    </row>
    <row r="9" spans="1:17" ht="11.25" customHeight="1" x14ac:dyDescent="0.2">
      <c r="A9" s="93"/>
      <c r="B9" s="87"/>
      <c r="C9" s="41"/>
      <c r="D9" s="41"/>
      <c r="E9" s="41"/>
      <c r="F9" s="41"/>
      <c r="G9" s="41"/>
      <c r="H9" s="41"/>
      <c r="I9" s="82"/>
      <c r="J9" s="41"/>
      <c r="K9" s="41"/>
      <c r="L9" s="41"/>
      <c r="M9" s="41"/>
      <c r="N9" s="87"/>
      <c r="O9" s="39"/>
      <c r="P9" s="39"/>
      <c r="Q9" s="39"/>
    </row>
    <row r="10" spans="1:17" ht="16.5" customHeight="1" x14ac:dyDescent="0.2">
      <c r="A10" s="94"/>
      <c r="B10" s="81"/>
      <c r="C10" s="41"/>
      <c r="D10" s="41"/>
      <c r="E10" s="41"/>
      <c r="F10" s="41"/>
      <c r="G10" s="41"/>
      <c r="H10" s="41"/>
      <c r="I10" s="83"/>
      <c r="J10" s="41"/>
      <c r="K10" s="41"/>
      <c r="L10" s="41"/>
      <c r="M10" s="41"/>
      <c r="N10" s="81"/>
      <c r="O10" s="39"/>
      <c r="P10" s="39"/>
      <c r="Q10" s="39"/>
    </row>
    <row r="11" spans="1:17" ht="16.5" customHeight="1" x14ac:dyDescent="0.2">
      <c r="A11" s="14">
        <v>1</v>
      </c>
      <c r="B11" s="14">
        <v>2</v>
      </c>
      <c r="C11" s="14">
        <v>3</v>
      </c>
      <c r="D11" s="14">
        <v>4</v>
      </c>
      <c r="E11" s="14">
        <v>5</v>
      </c>
      <c r="F11" s="14">
        <v>6</v>
      </c>
      <c r="G11" s="14">
        <v>7</v>
      </c>
      <c r="H11" s="14">
        <v>8</v>
      </c>
      <c r="I11" s="14">
        <v>9</v>
      </c>
      <c r="J11" s="14">
        <v>10</v>
      </c>
      <c r="K11" s="14">
        <v>11</v>
      </c>
      <c r="L11" s="14">
        <v>12</v>
      </c>
      <c r="M11" s="14">
        <v>13</v>
      </c>
      <c r="N11" s="14">
        <v>14</v>
      </c>
      <c r="O11" s="14">
        <v>15</v>
      </c>
      <c r="P11" s="14">
        <v>16</v>
      </c>
      <c r="Q11" s="14">
        <v>17</v>
      </c>
    </row>
    <row r="12" spans="1:17" ht="13.5" customHeight="1" x14ac:dyDescent="0.2">
      <c r="A12" s="14"/>
      <c r="B12" s="95" t="s">
        <v>80</v>
      </c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63"/>
      <c r="P12" s="63"/>
      <c r="Q12" s="64"/>
    </row>
    <row r="13" spans="1:17" ht="48" x14ac:dyDescent="0.2">
      <c r="A13" s="27" t="s">
        <v>46</v>
      </c>
      <c r="B13" s="28">
        <f>33375813898.06</f>
        <v>33375813898.060001</v>
      </c>
      <c r="C13" s="28">
        <f>33375810687.32</f>
        <v>33375810687.32</v>
      </c>
      <c r="D13" s="28">
        <f>2422644192.48</f>
        <v>2422644192.48</v>
      </c>
      <c r="E13" s="28">
        <f>216153257.79</f>
        <v>216153257.78999999</v>
      </c>
      <c r="F13" s="28">
        <f>447416183.52</f>
        <v>447416183.51999998</v>
      </c>
      <c r="G13" s="28">
        <f>1759039080.63</f>
        <v>1759039080.6300001</v>
      </c>
      <c r="H13" s="28">
        <f>35670.54</f>
        <v>35670.54</v>
      </c>
      <c r="I13" s="28">
        <f>0</f>
        <v>0</v>
      </c>
      <c r="J13" s="28">
        <f>28980675452.7</f>
        <v>28980675452.700001</v>
      </c>
      <c r="K13" s="28">
        <f>1705716413.85</f>
        <v>1705716413.8499999</v>
      </c>
      <c r="L13" s="28">
        <f>237108547.89</f>
        <v>237108547.88999999</v>
      </c>
      <c r="M13" s="28">
        <f>13143231.69</f>
        <v>13143231.689999999</v>
      </c>
      <c r="N13" s="28">
        <f>16522848.71</f>
        <v>16522848.710000001</v>
      </c>
      <c r="O13" s="28">
        <f>3210.74</f>
        <v>3210.74</v>
      </c>
      <c r="P13" s="28">
        <f>0</f>
        <v>0</v>
      </c>
      <c r="Q13" s="28">
        <f>3210.74</f>
        <v>3210.74</v>
      </c>
    </row>
    <row r="14" spans="1:17" ht="26.25" customHeight="1" x14ac:dyDescent="0.2">
      <c r="A14" s="29" t="s">
        <v>47</v>
      </c>
      <c r="B14" s="28">
        <f>894594199.02</f>
        <v>894594199.01999998</v>
      </c>
      <c r="C14" s="28">
        <f>894594199.02</f>
        <v>894594199.01999998</v>
      </c>
      <c r="D14" s="28">
        <f>0</f>
        <v>0</v>
      </c>
      <c r="E14" s="28">
        <f>0</f>
        <v>0</v>
      </c>
      <c r="F14" s="28">
        <f>0</f>
        <v>0</v>
      </c>
      <c r="G14" s="28">
        <f>0</f>
        <v>0</v>
      </c>
      <c r="H14" s="28">
        <f>0</f>
        <v>0</v>
      </c>
      <c r="I14" s="28">
        <f>0</f>
        <v>0</v>
      </c>
      <c r="J14" s="28">
        <f>842346293.65</f>
        <v>842346293.64999998</v>
      </c>
      <c r="K14" s="28">
        <f>52000000</f>
        <v>52000000</v>
      </c>
      <c r="L14" s="28">
        <f>247905.37</f>
        <v>247905.37</v>
      </c>
      <c r="M14" s="28">
        <f>0</f>
        <v>0</v>
      </c>
      <c r="N14" s="28">
        <f>0</f>
        <v>0</v>
      </c>
      <c r="O14" s="28">
        <f>0</f>
        <v>0</v>
      </c>
      <c r="P14" s="28">
        <f>0</f>
        <v>0</v>
      </c>
      <c r="Q14" s="28">
        <f>0</f>
        <v>0</v>
      </c>
    </row>
    <row r="15" spans="1:17" ht="27" customHeight="1" x14ac:dyDescent="0.2">
      <c r="A15" s="19" t="s">
        <v>48</v>
      </c>
      <c r="B15" s="33">
        <f>5568448.64</f>
        <v>5568448.6399999997</v>
      </c>
      <c r="C15" s="33">
        <f>5568448.64</f>
        <v>5568448.6399999997</v>
      </c>
      <c r="D15" s="33">
        <f>0</f>
        <v>0</v>
      </c>
      <c r="E15" s="33">
        <f>0</f>
        <v>0</v>
      </c>
      <c r="F15" s="33">
        <f>0</f>
        <v>0</v>
      </c>
      <c r="G15" s="33">
        <f>0</f>
        <v>0</v>
      </c>
      <c r="H15" s="33">
        <f>0</f>
        <v>0</v>
      </c>
      <c r="I15" s="33">
        <f>0</f>
        <v>0</v>
      </c>
      <c r="J15" s="33">
        <f>5220543.27</f>
        <v>5220543.2699999996</v>
      </c>
      <c r="K15" s="33">
        <f>100000</f>
        <v>100000</v>
      </c>
      <c r="L15" s="33">
        <f>247905.37</f>
        <v>247905.37</v>
      </c>
      <c r="M15" s="33">
        <f>0</f>
        <v>0</v>
      </c>
      <c r="N15" s="33">
        <f>0</f>
        <v>0</v>
      </c>
      <c r="O15" s="33">
        <f>0</f>
        <v>0</v>
      </c>
      <c r="P15" s="33">
        <f>0</f>
        <v>0</v>
      </c>
      <c r="Q15" s="33">
        <f>0</f>
        <v>0</v>
      </c>
    </row>
    <row r="16" spans="1:17" ht="24" customHeight="1" x14ac:dyDescent="0.2">
      <c r="A16" s="19" t="s">
        <v>49</v>
      </c>
      <c r="B16" s="33">
        <f>889025750.38</f>
        <v>889025750.38</v>
      </c>
      <c r="C16" s="33">
        <f>889025750.38</f>
        <v>889025750.38</v>
      </c>
      <c r="D16" s="33">
        <f>0</f>
        <v>0</v>
      </c>
      <c r="E16" s="33">
        <f>0</f>
        <v>0</v>
      </c>
      <c r="F16" s="33">
        <f>0</f>
        <v>0</v>
      </c>
      <c r="G16" s="33">
        <f>0</f>
        <v>0</v>
      </c>
      <c r="H16" s="33">
        <f>0</f>
        <v>0</v>
      </c>
      <c r="I16" s="33">
        <f>0</f>
        <v>0</v>
      </c>
      <c r="J16" s="33">
        <f>837125750.38</f>
        <v>837125750.38</v>
      </c>
      <c r="K16" s="33">
        <f>51900000</f>
        <v>51900000</v>
      </c>
      <c r="L16" s="33">
        <f>0</f>
        <v>0</v>
      </c>
      <c r="M16" s="33">
        <f>0</f>
        <v>0</v>
      </c>
      <c r="N16" s="33">
        <f>0</f>
        <v>0</v>
      </c>
      <c r="O16" s="33">
        <f>0</f>
        <v>0</v>
      </c>
      <c r="P16" s="33">
        <f>0</f>
        <v>0</v>
      </c>
      <c r="Q16" s="33">
        <f>0</f>
        <v>0</v>
      </c>
    </row>
    <row r="17" spans="1:17" ht="31.5" customHeight="1" x14ac:dyDescent="0.2">
      <c r="A17" s="30" t="s">
        <v>50</v>
      </c>
      <c r="B17" s="28">
        <f>32430678662.7</f>
        <v>32430678662.700001</v>
      </c>
      <c r="C17" s="28">
        <f>32430678662.7</f>
        <v>32430678662.700001</v>
      </c>
      <c r="D17" s="28">
        <f>2409613619.35</f>
        <v>2409613619.3499999</v>
      </c>
      <c r="E17" s="28">
        <f>214015099.95</f>
        <v>214015099.94999999</v>
      </c>
      <c r="F17" s="28">
        <f>447207803.57</f>
        <v>447207803.56999999</v>
      </c>
      <c r="G17" s="28">
        <f>1748365327.89</f>
        <v>1748365327.8900001</v>
      </c>
      <c r="H17" s="28">
        <f>25387.94</f>
        <v>25387.94</v>
      </c>
      <c r="I17" s="28">
        <f>0</f>
        <v>0</v>
      </c>
      <c r="J17" s="28">
        <f>28137480297.49</f>
        <v>28137480297.490002</v>
      </c>
      <c r="K17" s="28">
        <f>1653605557.02</f>
        <v>1653605557.02</v>
      </c>
      <c r="L17" s="28">
        <f>212478207.13</f>
        <v>212478207.13</v>
      </c>
      <c r="M17" s="28">
        <f>5030037.6</f>
        <v>5030037.5999999996</v>
      </c>
      <c r="N17" s="28">
        <f>12470944.11</f>
        <v>12470944.109999999</v>
      </c>
      <c r="O17" s="28">
        <f>0</f>
        <v>0</v>
      </c>
      <c r="P17" s="28">
        <f>0</f>
        <v>0</v>
      </c>
      <c r="Q17" s="28">
        <f>0</f>
        <v>0</v>
      </c>
    </row>
    <row r="18" spans="1:17" ht="33" customHeight="1" x14ac:dyDescent="0.2">
      <c r="A18" s="20" t="s">
        <v>51</v>
      </c>
      <c r="B18" s="33">
        <f>360317859.54</f>
        <v>360317859.54000002</v>
      </c>
      <c r="C18" s="33">
        <f>360317859.54</f>
        <v>360317859.54000002</v>
      </c>
      <c r="D18" s="33">
        <f>15323929.96</f>
        <v>15323929.960000001</v>
      </c>
      <c r="E18" s="33">
        <f>8258052.82</f>
        <v>8258052.8200000003</v>
      </c>
      <c r="F18" s="33">
        <f>2369356.45</f>
        <v>2369356.4500000002</v>
      </c>
      <c r="G18" s="33">
        <f>4696520.69</f>
        <v>4696520.6900000004</v>
      </c>
      <c r="H18" s="33">
        <f>0</f>
        <v>0</v>
      </c>
      <c r="I18" s="33">
        <f>0</f>
        <v>0</v>
      </c>
      <c r="J18" s="33">
        <f>307299830.43</f>
        <v>307299830.43000001</v>
      </c>
      <c r="K18" s="33">
        <f>36863275.24</f>
        <v>36863275.240000002</v>
      </c>
      <c r="L18" s="33">
        <f>812823.91</f>
        <v>812823.91</v>
      </c>
      <c r="M18" s="33">
        <f>18000</f>
        <v>18000</v>
      </c>
      <c r="N18" s="33">
        <f>0</f>
        <v>0</v>
      </c>
      <c r="O18" s="33">
        <f>0</f>
        <v>0</v>
      </c>
      <c r="P18" s="33">
        <f>0</f>
        <v>0</v>
      </c>
      <c r="Q18" s="33">
        <f>0</f>
        <v>0</v>
      </c>
    </row>
    <row r="19" spans="1:17" ht="25.5" customHeight="1" x14ac:dyDescent="0.2">
      <c r="A19" s="21" t="s">
        <v>52</v>
      </c>
      <c r="B19" s="33">
        <f>32070360803.16</f>
        <v>32070360803.16</v>
      </c>
      <c r="C19" s="33">
        <f>32070360803.16</f>
        <v>32070360803.16</v>
      </c>
      <c r="D19" s="33">
        <f>2394289689.39</f>
        <v>2394289689.3899999</v>
      </c>
      <c r="E19" s="33">
        <f>205757047.13</f>
        <v>205757047.13</v>
      </c>
      <c r="F19" s="33">
        <f>444838447.12</f>
        <v>444838447.12</v>
      </c>
      <c r="G19" s="33">
        <f>1743668807.2</f>
        <v>1743668807.2</v>
      </c>
      <c r="H19" s="33">
        <f>25387.94</f>
        <v>25387.94</v>
      </c>
      <c r="I19" s="33">
        <f>0</f>
        <v>0</v>
      </c>
      <c r="J19" s="33">
        <f>27830180467.06</f>
        <v>27830180467.060001</v>
      </c>
      <c r="K19" s="33">
        <f>1616742281.78</f>
        <v>1616742281.78</v>
      </c>
      <c r="L19" s="33">
        <f>211665383.22</f>
        <v>211665383.22</v>
      </c>
      <c r="M19" s="33">
        <f>5012037.6</f>
        <v>5012037.5999999996</v>
      </c>
      <c r="N19" s="33">
        <f>12470944.11</f>
        <v>12470944.109999999</v>
      </c>
      <c r="O19" s="33">
        <f>0</f>
        <v>0</v>
      </c>
      <c r="P19" s="33">
        <f>0</f>
        <v>0</v>
      </c>
      <c r="Q19" s="33">
        <f>0</f>
        <v>0</v>
      </c>
    </row>
    <row r="20" spans="1:17" ht="27.75" customHeight="1" x14ac:dyDescent="0.2">
      <c r="A20" s="31" t="s">
        <v>53</v>
      </c>
      <c r="B20" s="28">
        <f>0</f>
        <v>0</v>
      </c>
      <c r="C20" s="28">
        <f>0</f>
        <v>0</v>
      </c>
      <c r="D20" s="28">
        <f>0</f>
        <v>0</v>
      </c>
      <c r="E20" s="28">
        <f>0</f>
        <v>0</v>
      </c>
      <c r="F20" s="28">
        <f>0</f>
        <v>0</v>
      </c>
      <c r="G20" s="28">
        <f>0</f>
        <v>0</v>
      </c>
      <c r="H20" s="28">
        <f>0</f>
        <v>0</v>
      </c>
      <c r="I20" s="28">
        <f>0</f>
        <v>0</v>
      </c>
      <c r="J20" s="28">
        <f>0</f>
        <v>0</v>
      </c>
      <c r="K20" s="28">
        <f>0</f>
        <v>0</v>
      </c>
      <c r="L20" s="28">
        <f>0</f>
        <v>0</v>
      </c>
      <c r="M20" s="28">
        <f>0</f>
        <v>0</v>
      </c>
      <c r="N20" s="28">
        <f>0</f>
        <v>0</v>
      </c>
      <c r="O20" s="28">
        <f>0</f>
        <v>0</v>
      </c>
      <c r="P20" s="28">
        <f>0</f>
        <v>0</v>
      </c>
      <c r="Q20" s="28">
        <f>0</f>
        <v>0</v>
      </c>
    </row>
    <row r="21" spans="1:17" ht="36" x14ac:dyDescent="0.2">
      <c r="A21" s="32" t="s">
        <v>54</v>
      </c>
      <c r="B21" s="28">
        <f>50541036.34</f>
        <v>50541036.340000004</v>
      </c>
      <c r="C21" s="28">
        <f>50537825.6</f>
        <v>50537825.600000001</v>
      </c>
      <c r="D21" s="28">
        <f>13030573.13</f>
        <v>13030573.130000001</v>
      </c>
      <c r="E21" s="28">
        <f>2138157.84</f>
        <v>2138157.84</v>
      </c>
      <c r="F21" s="28">
        <f>208379.95</f>
        <v>208379.95</v>
      </c>
      <c r="G21" s="28">
        <f>10673752.74</f>
        <v>10673752.74</v>
      </c>
      <c r="H21" s="28">
        <f>10282.6</f>
        <v>10282.6</v>
      </c>
      <c r="I21" s="28">
        <f>0</f>
        <v>0</v>
      </c>
      <c r="J21" s="28">
        <f>848861.56</f>
        <v>848861.56</v>
      </c>
      <c r="K21" s="28">
        <f>110856.83</f>
        <v>110856.83</v>
      </c>
      <c r="L21" s="28">
        <f>24382435.39</f>
        <v>24382435.390000001</v>
      </c>
      <c r="M21" s="28">
        <f>8113194.09</f>
        <v>8113194.0899999999</v>
      </c>
      <c r="N21" s="28">
        <f>4051904.6</f>
        <v>4051904.6</v>
      </c>
      <c r="O21" s="28">
        <f>3210.74</f>
        <v>3210.74</v>
      </c>
      <c r="P21" s="28">
        <f>0</f>
        <v>0</v>
      </c>
      <c r="Q21" s="28">
        <f>3210.74</f>
        <v>3210.74</v>
      </c>
    </row>
    <row r="22" spans="1:17" ht="27" customHeight="1" x14ac:dyDescent="0.2">
      <c r="A22" s="19" t="s">
        <v>55</v>
      </c>
      <c r="B22" s="33">
        <f>26933857.63</f>
        <v>26933857.629999999</v>
      </c>
      <c r="C22" s="33">
        <f>26933857.63</f>
        <v>26933857.629999999</v>
      </c>
      <c r="D22" s="33">
        <f>1247344.45</f>
        <v>1247344.45</v>
      </c>
      <c r="E22" s="33">
        <f>0</f>
        <v>0</v>
      </c>
      <c r="F22" s="33">
        <f>250</f>
        <v>250</v>
      </c>
      <c r="G22" s="33">
        <f>1247094.45</f>
        <v>1247094.45</v>
      </c>
      <c r="H22" s="33">
        <f>0</f>
        <v>0</v>
      </c>
      <c r="I22" s="33">
        <f>0</f>
        <v>0</v>
      </c>
      <c r="J22" s="33">
        <f>455268</f>
        <v>455268</v>
      </c>
      <c r="K22" s="33">
        <f>759.76</f>
        <v>759.76</v>
      </c>
      <c r="L22" s="33">
        <f>16555588.94</f>
        <v>16555588.939999999</v>
      </c>
      <c r="M22" s="33">
        <f>5232796.87</f>
        <v>5232796.87</v>
      </c>
      <c r="N22" s="33">
        <f>3442099.61</f>
        <v>3442099.61</v>
      </c>
      <c r="O22" s="33">
        <f>0</f>
        <v>0</v>
      </c>
      <c r="P22" s="33">
        <f>0</f>
        <v>0</v>
      </c>
      <c r="Q22" s="33">
        <f>0</f>
        <v>0</v>
      </c>
    </row>
    <row r="23" spans="1:17" ht="31.5" customHeight="1" x14ac:dyDescent="0.2">
      <c r="A23" s="25" t="s">
        <v>56</v>
      </c>
      <c r="B23" s="33">
        <f>23607178.71</f>
        <v>23607178.710000001</v>
      </c>
      <c r="C23" s="33">
        <f>23603967.97</f>
        <v>23603967.969999999</v>
      </c>
      <c r="D23" s="33">
        <f>11783228.68</f>
        <v>11783228.68</v>
      </c>
      <c r="E23" s="33">
        <f>2138157.84</f>
        <v>2138157.84</v>
      </c>
      <c r="F23" s="33">
        <f>208129.95</f>
        <v>208129.95</v>
      </c>
      <c r="G23" s="33">
        <f>9426658.29</f>
        <v>9426658.2899999991</v>
      </c>
      <c r="H23" s="33">
        <f>10282.6</f>
        <v>10282.6</v>
      </c>
      <c r="I23" s="33">
        <f>0</f>
        <v>0</v>
      </c>
      <c r="J23" s="33">
        <f>393593.56</f>
        <v>393593.56</v>
      </c>
      <c r="K23" s="33">
        <f>110097.07</f>
        <v>110097.07</v>
      </c>
      <c r="L23" s="33">
        <f>7826846.45</f>
        <v>7826846.4500000002</v>
      </c>
      <c r="M23" s="33">
        <f>2880397.22</f>
        <v>2880397.22</v>
      </c>
      <c r="N23" s="33">
        <f>609804.99</f>
        <v>609804.99</v>
      </c>
      <c r="O23" s="33">
        <f>3210.74</f>
        <v>3210.74</v>
      </c>
      <c r="P23" s="33">
        <f>0</f>
        <v>0</v>
      </c>
      <c r="Q23" s="33">
        <f>3210.74</f>
        <v>3210.74</v>
      </c>
    </row>
    <row r="24" spans="1:17" ht="19.5" customHeight="1" x14ac:dyDescent="0.2">
      <c r="A24" s="17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</row>
    <row r="25" spans="1:17" ht="19.5" customHeight="1" x14ac:dyDescent="0.2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</row>
    <row r="26" spans="1:17" ht="19.5" customHeight="1" x14ac:dyDescent="0.2">
      <c r="A26" s="1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</row>
    <row r="27" spans="1:17" ht="19.5" customHeight="1" x14ac:dyDescent="0.2">
      <c r="A27" s="17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</row>
    <row r="28" spans="1:17" ht="19.5" customHeight="1" x14ac:dyDescent="0.2">
      <c r="A28" s="17"/>
      <c r="B28" s="18"/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</row>
    <row r="29" spans="1:17" ht="19.5" customHeight="1" x14ac:dyDescent="0.2">
      <c r="A29" s="1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</row>
    <row r="30" spans="1:17" ht="19.5" customHeight="1" x14ac:dyDescent="0.2">
      <c r="A30" s="17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</row>
    <row r="31" spans="1:17" ht="19.5" customHeight="1" x14ac:dyDescent="0.2">
      <c r="A31" s="17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</row>
    <row r="32" spans="1:17" ht="19.5" customHeight="1" x14ac:dyDescent="0.2">
      <c r="A32" s="1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</row>
    <row r="33" spans="1:17" ht="19.5" customHeight="1" x14ac:dyDescent="0.2">
      <c r="A33" s="17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</row>
    <row r="34" spans="1:17" ht="45.75" customHeight="1" x14ac:dyDescent="0.2">
      <c r="A34" s="40" t="str">
        <f>CONCATENATE("Informacja z wykonania budżetów gmin za ",$C$104," ",$B$105," roku   ",$B$107,"")</f>
        <v xml:space="preserve">Informacja z wykonania budżetów gmin za I Kwartał 2023 roku   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</row>
    <row r="36" spans="1:17" ht="13.5" customHeight="1" x14ac:dyDescent="0.2">
      <c r="A36" s="80" t="s">
        <v>11</v>
      </c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</row>
    <row r="38" spans="1:17" ht="13.5" customHeight="1" x14ac:dyDescent="0.2">
      <c r="A38" s="97" t="s">
        <v>0</v>
      </c>
      <c r="B38" s="91" t="s">
        <v>12</v>
      </c>
      <c r="C38" s="84" t="s">
        <v>14</v>
      </c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6"/>
      <c r="O38" s="88" t="s">
        <v>24</v>
      </c>
      <c r="P38" s="89"/>
      <c r="Q38" s="90"/>
    </row>
    <row r="39" spans="1:17" ht="13.5" customHeight="1" x14ac:dyDescent="0.2">
      <c r="A39" s="98"/>
      <c r="B39" s="87"/>
      <c r="C39" s="87" t="s">
        <v>13</v>
      </c>
      <c r="D39" s="41" t="s">
        <v>15</v>
      </c>
      <c r="E39" s="41" t="s">
        <v>25</v>
      </c>
      <c r="F39" s="41" t="s">
        <v>26</v>
      </c>
      <c r="G39" s="41" t="s">
        <v>74</v>
      </c>
      <c r="H39" s="41" t="s">
        <v>28</v>
      </c>
      <c r="I39" s="41" t="s">
        <v>1</v>
      </c>
      <c r="J39" s="41" t="s">
        <v>16</v>
      </c>
      <c r="K39" s="41" t="s">
        <v>17</v>
      </c>
      <c r="L39" s="41" t="s">
        <v>18</v>
      </c>
      <c r="M39" s="41" t="s">
        <v>19</v>
      </c>
      <c r="N39" s="100" t="s">
        <v>20</v>
      </c>
      <c r="O39" s="39" t="s">
        <v>21</v>
      </c>
      <c r="P39" s="39" t="s">
        <v>22</v>
      </c>
      <c r="Q39" s="42" t="s">
        <v>23</v>
      </c>
    </row>
    <row r="40" spans="1:17" ht="11.25" customHeight="1" x14ac:dyDescent="0.2">
      <c r="A40" s="98"/>
      <c r="B40" s="87"/>
      <c r="C40" s="87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100"/>
      <c r="O40" s="39"/>
      <c r="P40" s="39"/>
      <c r="Q40" s="43"/>
    </row>
    <row r="41" spans="1:17" ht="32.25" customHeight="1" x14ac:dyDescent="0.2">
      <c r="A41" s="99"/>
      <c r="B41" s="81"/>
      <c r="C41" s="8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100"/>
      <c r="O41" s="39"/>
      <c r="P41" s="39"/>
      <c r="Q41" s="44"/>
    </row>
    <row r="42" spans="1:17" ht="12.75" customHeight="1" x14ac:dyDescent="0.2">
      <c r="A42" s="14">
        <v>1</v>
      </c>
      <c r="B42" s="14">
        <v>2</v>
      </c>
      <c r="C42" s="14">
        <v>3</v>
      </c>
      <c r="D42" s="14">
        <v>4</v>
      </c>
      <c r="E42" s="14">
        <v>5</v>
      </c>
      <c r="F42" s="14">
        <v>6</v>
      </c>
      <c r="G42" s="14">
        <v>7</v>
      </c>
      <c r="H42" s="14">
        <v>8</v>
      </c>
      <c r="I42" s="14">
        <v>9</v>
      </c>
      <c r="J42" s="14">
        <v>10</v>
      </c>
      <c r="K42" s="14">
        <v>11</v>
      </c>
      <c r="L42" s="14">
        <v>12</v>
      </c>
      <c r="M42" s="14">
        <v>13</v>
      </c>
      <c r="N42" s="14">
        <v>14</v>
      </c>
      <c r="O42" s="14">
        <v>15</v>
      </c>
      <c r="P42" s="14">
        <v>16</v>
      </c>
      <c r="Q42" s="14">
        <v>17</v>
      </c>
    </row>
    <row r="43" spans="1:17" ht="13.5" customHeight="1" x14ac:dyDescent="0.2">
      <c r="A43" s="14"/>
      <c r="B43" s="84" t="s">
        <v>80</v>
      </c>
      <c r="C43" s="85"/>
      <c r="D43" s="85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</row>
    <row r="44" spans="1:17" ht="24.75" customHeight="1" x14ac:dyDescent="0.2">
      <c r="A44" s="34" t="s">
        <v>41</v>
      </c>
      <c r="B44" s="35">
        <f>11837739.91</f>
        <v>11837739.91</v>
      </c>
      <c r="C44" s="35">
        <f>11837739.91</f>
        <v>11837739.91</v>
      </c>
      <c r="D44" s="35">
        <f>344245.17</f>
        <v>344245.17</v>
      </c>
      <c r="E44" s="35">
        <f>0</f>
        <v>0</v>
      </c>
      <c r="F44" s="35">
        <f>0</f>
        <v>0</v>
      </c>
      <c r="G44" s="35">
        <f>344245.17</f>
        <v>344245.17</v>
      </c>
      <c r="H44" s="35">
        <f>0</f>
        <v>0</v>
      </c>
      <c r="I44" s="35">
        <f>0</f>
        <v>0</v>
      </c>
      <c r="J44" s="35">
        <f>128844.4</f>
        <v>128844.4</v>
      </c>
      <c r="K44" s="35">
        <f>25555</f>
        <v>25555</v>
      </c>
      <c r="L44" s="35">
        <f>10188048.93</f>
        <v>10188048.93</v>
      </c>
      <c r="M44" s="35">
        <f>1151046.41</f>
        <v>1151046.4099999999</v>
      </c>
      <c r="N44" s="35">
        <f>0</f>
        <v>0</v>
      </c>
      <c r="O44" s="35">
        <f>0</f>
        <v>0</v>
      </c>
      <c r="P44" s="35">
        <f>0</f>
        <v>0</v>
      </c>
      <c r="Q44" s="35">
        <f>0</f>
        <v>0</v>
      </c>
    </row>
    <row r="45" spans="1:17" ht="24.75" customHeight="1" x14ac:dyDescent="0.2">
      <c r="A45" s="23" t="s">
        <v>29</v>
      </c>
      <c r="B45" s="26">
        <f>1007047.15</f>
        <v>1007047.15</v>
      </c>
      <c r="C45" s="26">
        <f>1007047.15</f>
        <v>1007047.15</v>
      </c>
      <c r="D45" s="26">
        <f>0</f>
        <v>0</v>
      </c>
      <c r="E45" s="26">
        <f>0</f>
        <v>0</v>
      </c>
      <c r="F45" s="26">
        <f>0</f>
        <v>0</v>
      </c>
      <c r="G45" s="26">
        <f>0</f>
        <v>0</v>
      </c>
      <c r="H45" s="26">
        <f>0</f>
        <v>0</v>
      </c>
      <c r="I45" s="26">
        <f>0</f>
        <v>0</v>
      </c>
      <c r="J45" s="26">
        <f>6000</f>
        <v>6000</v>
      </c>
      <c r="K45" s="26">
        <f>0</f>
        <v>0</v>
      </c>
      <c r="L45" s="26">
        <f>1000000</f>
        <v>1000000</v>
      </c>
      <c r="M45" s="26">
        <f>1047.15</f>
        <v>1047.1500000000001</v>
      </c>
      <c r="N45" s="26">
        <f>0</f>
        <v>0</v>
      </c>
      <c r="O45" s="15">
        <f>0</f>
        <v>0</v>
      </c>
      <c r="P45" s="15">
        <f>0</f>
        <v>0</v>
      </c>
      <c r="Q45" s="15">
        <f>0</f>
        <v>0</v>
      </c>
    </row>
    <row r="46" spans="1:17" ht="24.75" customHeight="1" x14ac:dyDescent="0.2">
      <c r="A46" s="23" t="s">
        <v>30</v>
      </c>
      <c r="B46" s="26">
        <f>10830692.76</f>
        <v>10830692.76</v>
      </c>
      <c r="C46" s="26">
        <f>10830692.76</f>
        <v>10830692.76</v>
      </c>
      <c r="D46" s="26">
        <f>344245.17</f>
        <v>344245.17</v>
      </c>
      <c r="E46" s="26">
        <f>0</f>
        <v>0</v>
      </c>
      <c r="F46" s="26">
        <f>0</f>
        <v>0</v>
      </c>
      <c r="G46" s="26">
        <f>344245.17</f>
        <v>344245.17</v>
      </c>
      <c r="H46" s="26">
        <f>0</f>
        <v>0</v>
      </c>
      <c r="I46" s="26">
        <f>0</f>
        <v>0</v>
      </c>
      <c r="J46" s="26">
        <f>122844.4</f>
        <v>122844.4</v>
      </c>
      <c r="K46" s="26">
        <f>25555</f>
        <v>25555</v>
      </c>
      <c r="L46" s="26">
        <f>9188048.93</f>
        <v>9188048.9299999997</v>
      </c>
      <c r="M46" s="26">
        <f>1149999.26</f>
        <v>1149999.26</v>
      </c>
      <c r="N46" s="26">
        <f>0</f>
        <v>0</v>
      </c>
      <c r="O46" s="15">
        <f>0</f>
        <v>0</v>
      </c>
      <c r="P46" s="15">
        <f>0</f>
        <v>0</v>
      </c>
      <c r="Q46" s="15">
        <f>0</f>
        <v>0</v>
      </c>
    </row>
    <row r="47" spans="1:17" ht="24.75" customHeight="1" x14ac:dyDescent="0.2">
      <c r="A47" s="24" t="s">
        <v>42</v>
      </c>
      <c r="B47" s="26">
        <f>431048812.29</f>
        <v>431048812.29000002</v>
      </c>
      <c r="C47" s="26">
        <f>431048812.29</f>
        <v>431048812.29000002</v>
      </c>
      <c r="D47" s="26">
        <f>33272908.93</f>
        <v>33272908.93</v>
      </c>
      <c r="E47" s="26">
        <f>20472.21</f>
        <v>20472.21</v>
      </c>
      <c r="F47" s="26">
        <f>104232</f>
        <v>104232</v>
      </c>
      <c r="G47" s="26">
        <f>27645316.72</f>
        <v>27645316.719999999</v>
      </c>
      <c r="H47" s="26">
        <f>5502888</f>
        <v>5502888</v>
      </c>
      <c r="I47" s="26">
        <f>0</f>
        <v>0</v>
      </c>
      <c r="J47" s="26">
        <f>52844.07</f>
        <v>52844.07</v>
      </c>
      <c r="K47" s="26">
        <f>200000</f>
        <v>200000</v>
      </c>
      <c r="L47" s="26">
        <f>178509479.07</f>
        <v>178509479.06999999</v>
      </c>
      <c r="M47" s="26">
        <f>187743570.39</f>
        <v>187743570.38999999</v>
      </c>
      <c r="N47" s="26">
        <f>31270009.83</f>
        <v>31270009.829999998</v>
      </c>
      <c r="O47" s="15">
        <f>0</f>
        <v>0</v>
      </c>
      <c r="P47" s="15">
        <f>0</f>
        <v>0</v>
      </c>
      <c r="Q47" s="15">
        <f>0</f>
        <v>0</v>
      </c>
    </row>
    <row r="48" spans="1:17" ht="24.75" customHeight="1" x14ac:dyDescent="0.2">
      <c r="A48" s="23" t="s">
        <v>31</v>
      </c>
      <c r="B48" s="26">
        <f>54053577.75</f>
        <v>54053577.75</v>
      </c>
      <c r="C48" s="26">
        <f>54053577.75</f>
        <v>54053577.75</v>
      </c>
      <c r="D48" s="26">
        <f>16620627.11</f>
        <v>16620627.109999999</v>
      </c>
      <c r="E48" s="26">
        <f>925.94</f>
        <v>925.94</v>
      </c>
      <c r="F48" s="26">
        <f>100000</f>
        <v>100000</v>
      </c>
      <c r="G48" s="26">
        <f>11219701.17</f>
        <v>11219701.17</v>
      </c>
      <c r="H48" s="26">
        <f>5300000</f>
        <v>5300000</v>
      </c>
      <c r="I48" s="26">
        <f>0</f>
        <v>0</v>
      </c>
      <c r="J48" s="26">
        <f>0</f>
        <v>0</v>
      </c>
      <c r="K48" s="26">
        <f>200000</f>
        <v>200000</v>
      </c>
      <c r="L48" s="26">
        <f>24248035.98</f>
        <v>24248035.98</v>
      </c>
      <c r="M48" s="26">
        <f>3444747.61</f>
        <v>3444747.61</v>
      </c>
      <c r="N48" s="26">
        <f>9540167.05</f>
        <v>9540167.0500000007</v>
      </c>
      <c r="O48" s="15">
        <f>0</f>
        <v>0</v>
      </c>
      <c r="P48" s="15">
        <f>0</f>
        <v>0</v>
      </c>
      <c r="Q48" s="15">
        <f>0</f>
        <v>0</v>
      </c>
    </row>
    <row r="49" spans="1:17" ht="24.75" customHeight="1" x14ac:dyDescent="0.2">
      <c r="A49" s="23" t="s">
        <v>32</v>
      </c>
      <c r="B49" s="26">
        <f>376995234.54</f>
        <v>376995234.54000002</v>
      </c>
      <c r="C49" s="26">
        <f>376995234.54</f>
        <v>376995234.54000002</v>
      </c>
      <c r="D49" s="26">
        <f>16652281.82</f>
        <v>16652281.82</v>
      </c>
      <c r="E49" s="26">
        <f>19546.27</f>
        <v>19546.27</v>
      </c>
      <c r="F49" s="26">
        <f>4232</f>
        <v>4232</v>
      </c>
      <c r="G49" s="26">
        <f>16425615.55</f>
        <v>16425615.550000001</v>
      </c>
      <c r="H49" s="26">
        <f>202888</f>
        <v>202888</v>
      </c>
      <c r="I49" s="26">
        <f>0</f>
        <v>0</v>
      </c>
      <c r="J49" s="26">
        <f>52844.07</f>
        <v>52844.07</v>
      </c>
      <c r="K49" s="26">
        <f>0</f>
        <v>0</v>
      </c>
      <c r="L49" s="26">
        <f>154261443.09</f>
        <v>154261443.09</v>
      </c>
      <c r="M49" s="26">
        <f>184298822.78</f>
        <v>184298822.78</v>
      </c>
      <c r="N49" s="26">
        <f>21729842.78</f>
        <v>21729842.780000001</v>
      </c>
      <c r="O49" s="15">
        <f>0</f>
        <v>0</v>
      </c>
      <c r="P49" s="15">
        <f>0</f>
        <v>0</v>
      </c>
      <c r="Q49" s="15">
        <f>0</f>
        <v>0</v>
      </c>
    </row>
    <row r="50" spans="1:17" ht="24.75" customHeight="1" x14ac:dyDescent="0.2">
      <c r="A50" s="34" t="s">
        <v>43</v>
      </c>
      <c r="B50" s="35">
        <f>28462088182.99</f>
        <v>28462088182.990002</v>
      </c>
      <c r="C50" s="35">
        <f>28462088182.99</f>
        <v>28462088182.990002</v>
      </c>
      <c r="D50" s="35">
        <f>9562559.27</f>
        <v>9562559.2699999996</v>
      </c>
      <c r="E50" s="35">
        <f>880655.69</f>
        <v>880655.69</v>
      </c>
      <c r="F50" s="35">
        <f>7974.58</f>
        <v>7974.58</v>
      </c>
      <c r="G50" s="35">
        <f>8671707</f>
        <v>8671707</v>
      </c>
      <c r="H50" s="35">
        <f>2222</f>
        <v>2222</v>
      </c>
      <c r="I50" s="35">
        <f>0</f>
        <v>0</v>
      </c>
      <c r="J50" s="35">
        <f>28441423568.47</f>
        <v>28441423568.470001</v>
      </c>
      <c r="K50" s="35">
        <f>155834.04</f>
        <v>155834.04</v>
      </c>
      <c r="L50" s="35">
        <f>10729827.97</f>
        <v>10729827.970000001</v>
      </c>
      <c r="M50" s="35">
        <f>216393.24</f>
        <v>216393.24</v>
      </c>
      <c r="N50" s="35">
        <f>0</f>
        <v>0</v>
      </c>
      <c r="O50" s="35">
        <f>0</f>
        <v>0</v>
      </c>
      <c r="P50" s="35">
        <f>0</f>
        <v>0</v>
      </c>
      <c r="Q50" s="35">
        <f>0</f>
        <v>0</v>
      </c>
    </row>
    <row r="51" spans="1:17" ht="24.75" customHeight="1" x14ac:dyDescent="0.2">
      <c r="A51" s="23" t="s">
        <v>33</v>
      </c>
      <c r="B51" s="26">
        <f>8596360.94</f>
        <v>8596360.9399999995</v>
      </c>
      <c r="C51" s="26">
        <f>8596360.94</f>
        <v>8596360.9399999995</v>
      </c>
      <c r="D51" s="26">
        <f>8596360.94</f>
        <v>8596360.9399999995</v>
      </c>
      <c r="E51" s="26">
        <f>0</f>
        <v>0</v>
      </c>
      <c r="F51" s="26">
        <f>0</f>
        <v>0</v>
      </c>
      <c r="G51" s="26">
        <f>8596360.94</f>
        <v>8596360.9399999995</v>
      </c>
      <c r="H51" s="26">
        <f>0</f>
        <v>0</v>
      </c>
      <c r="I51" s="26">
        <f>0</f>
        <v>0</v>
      </c>
      <c r="J51" s="26">
        <f>0</f>
        <v>0</v>
      </c>
      <c r="K51" s="26">
        <f>0</f>
        <v>0</v>
      </c>
      <c r="L51" s="26">
        <f>0</f>
        <v>0</v>
      </c>
      <c r="M51" s="26">
        <f>0</f>
        <v>0</v>
      </c>
      <c r="N51" s="26">
        <f>0</f>
        <v>0</v>
      </c>
      <c r="O51" s="15">
        <f>0</f>
        <v>0</v>
      </c>
      <c r="P51" s="15">
        <f>0</f>
        <v>0</v>
      </c>
      <c r="Q51" s="15">
        <f>0</f>
        <v>0</v>
      </c>
    </row>
    <row r="52" spans="1:17" ht="24.75" customHeight="1" x14ac:dyDescent="0.2">
      <c r="A52" s="23" t="s">
        <v>34</v>
      </c>
      <c r="B52" s="26">
        <f>20665688629.43</f>
        <v>20665688629.43</v>
      </c>
      <c r="C52" s="26">
        <f>20665688629.43</f>
        <v>20665688629.43</v>
      </c>
      <c r="D52" s="26">
        <f>319796.46</f>
        <v>319796.46000000002</v>
      </c>
      <c r="E52" s="26">
        <f>297198.6</f>
        <v>297198.59999999998</v>
      </c>
      <c r="F52" s="26">
        <f>6480</f>
        <v>6480</v>
      </c>
      <c r="G52" s="26">
        <f>13895.86</f>
        <v>13895.86</v>
      </c>
      <c r="H52" s="26">
        <f>2222</f>
        <v>2222</v>
      </c>
      <c r="I52" s="26">
        <f>0</f>
        <v>0</v>
      </c>
      <c r="J52" s="26">
        <f>20654684721.75</f>
        <v>20654684721.75</v>
      </c>
      <c r="K52" s="26">
        <f>153327.72</f>
        <v>153327.72</v>
      </c>
      <c r="L52" s="26">
        <f>10432241.62</f>
        <v>10432241.619999999</v>
      </c>
      <c r="M52" s="26">
        <f>98541.88</f>
        <v>98541.88</v>
      </c>
      <c r="N52" s="26">
        <f>0</f>
        <v>0</v>
      </c>
      <c r="O52" s="15">
        <f>0</f>
        <v>0</v>
      </c>
      <c r="P52" s="15">
        <f>0</f>
        <v>0</v>
      </c>
      <c r="Q52" s="15">
        <f>0</f>
        <v>0</v>
      </c>
    </row>
    <row r="53" spans="1:17" ht="24.75" customHeight="1" x14ac:dyDescent="0.2">
      <c r="A53" s="23" t="s">
        <v>35</v>
      </c>
      <c r="B53" s="26">
        <f>7787803192.62</f>
        <v>7787803192.6199999</v>
      </c>
      <c r="C53" s="26">
        <f>7787803192.62</f>
        <v>7787803192.6199999</v>
      </c>
      <c r="D53" s="26">
        <f>646401.87</f>
        <v>646401.87</v>
      </c>
      <c r="E53" s="26">
        <f>583457.09</f>
        <v>583457.09</v>
      </c>
      <c r="F53" s="26">
        <f>1494.58</f>
        <v>1494.58</v>
      </c>
      <c r="G53" s="26">
        <f>61450.2</f>
        <v>61450.2</v>
      </c>
      <c r="H53" s="26">
        <f>0</f>
        <v>0</v>
      </c>
      <c r="I53" s="26">
        <f>0</f>
        <v>0</v>
      </c>
      <c r="J53" s="26">
        <f>7786738846.72</f>
        <v>7786738846.7200003</v>
      </c>
      <c r="K53" s="26">
        <f>2506.32</f>
        <v>2506.3200000000002</v>
      </c>
      <c r="L53" s="26">
        <f>297586.35</f>
        <v>297586.34999999998</v>
      </c>
      <c r="M53" s="26">
        <f>117851.36</f>
        <v>117851.36</v>
      </c>
      <c r="N53" s="26">
        <f>0</f>
        <v>0</v>
      </c>
      <c r="O53" s="15">
        <f>0</f>
        <v>0</v>
      </c>
      <c r="P53" s="15">
        <f>0</f>
        <v>0</v>
      </c>
      <c r="Q53" s="15">
        <f>0</f>
        <v>0</v>
      </c>
    </row>
    <row r="54" spans="1:17" ht="24.75" customHeight="1" x14ac:dyDescent="0.2">
      <c r="A54" s="34" t="s">
        <v>44</v>
      </c>
      <c r="B54" s="35">
        <f>10090257672.3</f>
        <v>10090257672.299999</v>
      </c>
      <c r="C54" s="35">
        <f>10063887936.17</f>
        <v>10063887936.17</v>
      </c>
      <c r="D54" s="35">
        <f>84671655.64</f>
        <v>84671655.640000001</v>
      </c>
      <c r="E54" s="35">
        <f>50924091.16</f>
        <v>50924091.159999996</v>
      </c>
      <c r="F54" s="35">
        <f>2017102.29</f>
        <v>2017102.29</v>
      </c>
      <c r="G54" s="35">
        <f>31212357.94</f>
        <v>31212357.940000001</v>
      </c>
      <c r="H54" s="35">
        <f>518104.25</f>
        <v>518104.25</v>
      </c>
      <c r="I54" s="35">
        <f>0</f>
        <v>0</v>
      </c>
      <c r="J54" s="35">
        <f>12684281.77</f>
        <v>12684281.77</v>
      </c>
      <c r="K54" s="35">
        <f>10332054.6</f>
        <v>10332054.6</v>
      </c>
      <c r="L54" s="35">
        <f>2186640520.15</f>
        <v>2186640520.1500001</v>
      </c>
      <c r="M54" s="35">
        <f>7669444192.83</f>
        <v>7669444192.8299999</v>
      </c>
      <c r="N54" s="35">
        <f>100115231.18</f>
        <v>100115231.18000001</v>
      </c>
      <c r="O54" s="35">
        <f>26369736.13</f>
        <v>26369736.129999999</v>
      </c>
      <c r="P54" s="35">
        <f>18211394.76</f>
        <v>18211394.760000002</v>
      </c>
      <c r="Q54" s="35">
        <f>8158341.37</f>
        <v>8158341.3700000001</v>
      </c>
    </row>
    <row r="55" spans="1:17" ht="24.75" customHeight="1" x14ac:dyDescent="0.2">
      <c r="A55" s="22" t="s">
        <v>36</v>
      </c>
      <c r="B55" s="26">
        <f>1315607135.7</f>
        <v>1315607135.7</v>
      </c>
      <c r="C55" s="26">
        <f>1315296387.57</f>
        <v>1315296387.5699999</v>
      </c>
      <c r="D55" s="26">
        <f>4635594.71</f>
        <v>4635594.71</v>
      </c>
      <c r="E55" s="26">
        <f>1420532.58</f>
        <v>1420532.58</v>
      </c>
      <c r="F55" s="26">
        <f>102588.02</f>
        <v>102588.02</v>
      </c>
      <c r="G55" s="26">
        <f>2815301.96</f>
        <v>2815301.96</v>
      </c>
      <c r="H55" s="26">
        <f>297172.15</f>
        <v>297172.15000000002</v>
      </c>
      <c r="I55" s="26">
        <f>0</f>
        <v>0</v>
      </c>
      <c r="J55" s="26">
        <f>31048.37</f>
        <v>31048.37</v>
      </c>
      <c r="K55" s="26">
        <f>952454.93</f>
        <v>952454.93</v>
      </c>
      <c r="L55" s="26">
        <f>222780798.24</f>
        <v>222780798.24000001</v>
      </c>
      <c r="M55" s="26">
        <f>1056873658.15</f>
        <v>1056873658.15</v>
      </c>
      <c r="N55" s="26">
        <f>30022833.17</f>
        <v>30022833.170000002</v>
      </c>
      <c r="O55" s="15">
        <f>310748.13</f>
        <v>310748.13</v>
      </c>
      <c r="P55" s="15">
        <f>236243.86</f>
        <v>236243.86</v>
      </c>
      <c r="Q55" s="15">
        <f>74504.27</f>
        <v>74504.27</v>
      </c>
    </row>
    <row r="56" spans="1:17" ht="24.75" customHeight="1" x14ac:dyDescent="0.2">
      <c r="A56" s="23" t="s">
        <v>37</v>
      </c>
      <c r="B56" s="26">
        <f>8774650536.6</f>
        <v>8774650536.6000004</v>
      </c>
      <c r="C56" s="26">
        <f>8748591548.6</f>
        <v>8748591548.6000004</v>
      </c>
      <c r="D56" s="26">
        <f>80036060.93</f>
        <v>80036060.930000007</v>
      </c>
      <c r="E56" s="26">
        <f>49503558.58</f>
        <v>49503558.579999998</v>
      </c>
      <c r="F56" s="26">
        <f>1914514.27</f>
        <v>1914514.27</v>
      </c>
      <c r="G56" s="26">
        <f>28397055.98</f>
        <v>28397055.98</v>
      </c>
      <c r="H56" s="26">
        <f>220932.1</f>
        <v>220932.1</v>
      </c>
      <c r="I56" s="26">
        <f>0</f>
        <v>0</v>
      </c>
      <c r="J56" s="26">
        <f>12653233.4</f>
        <v>12653233.4</v>
      </c>
      <c r="K56" s="26">
        <f>9379599.67</f>
        <v>9379599.6699999999</v>
      </c>
      <c r="L56" s="26">
        <f>1963859721.91</f>
        <v>1963859721.9100001</v>
      </c>
      <c r="M56" s="26">
        <f>6612570534.68</f>
        <v>6612570534.6800003</v>
      </c>
      <c r="N56" s="26">
        <f>70092398.01</f>
        <v>70092398.010000005</v>
      </c>
      <c r="O56" s="15">
        <f>26058988</f>
        <v>26058988</v>
      </c>
      <c r="P56" s="15">
        <f>17975150.9</f>
        <v>17975150.899999999</v>
      </c>
      <c r="Q56" s="15">
        <f>8083837.1</f>
        <v>8083837.0999999996</v>
      </c>
    </row>
    <row r="57" spans="1:17" ht="24.75" customHeight="1" x14ac:dyDescent="0.2">
      <c r="A57" s="34" t="s">
        <v>45</v>
      </c>
      <c r="B57" s="35">
        <f>21371316509.78</f>
        <v>21371316509.779999</v>
      </c>
      <c r="C57" s="35">
        <f>21369408072.18</f>
        <v>21369408072.18</v>
      </c>
      <c r="D57" s="35">
        <f>854373369.9</f>
        <v>854373369.89999998</v>
      </c>
      <c r="E57" s="35">
        <f>400963718.16</f>
        <v>400963718.16000003</v>
      </c>
      <c r="F57" s="35">
        <f>69316123.14</f>
        <v>69316123.140000001</v>
      </c>
      <c r="G57" s="35">
        <f>373521332.96</f>
        <v>373521332.95999998</v>
      </c>
      <c r="H57" s="35">
        <f>10572195.64</f>
        <v>10572195.640000001</v>
      </c>
      <c r="I57" s="35">
        <f>361306</f>
        <v>361306</v>
      </c>
      <c r="J57" s="35">
        <f>18703410.48</f>
        <v>18703410.48</v>
      </c>
      <c r="K57" s="35">
        <f>67106861.31</f>
        <v>67106861.310000002</v>
      </c>
      <c r="L57" s="35">
        <f>11289591459.64</f>
        <v>11289591459.639999</v>
      </c>
      <c r="M57" s="35">
        <f>8954773887.59</f>
        <v>8954773887.5900002</v>
      </c>
      <c r="N57" s="35">
        <f>184497777.26</f>
        <v>184497777.25999999</v>
      </c>
      <c r="O57" s="35">
        <f>1908437.6</f>
        <v>1908437.6</v>
      </c>
      <c r="P57" s="35">
        <f>1540239.67</f>
        <v>1540239.67</v>
      </c>
      <c r="Q57" s="35">
        <f>368197.93</f>
        <v>368197.93</v>
      </c>
    </row>
    <row r="58" spans="1:17" ht="30" customHeight="1" x14ac:dyDescent="0.2">
      <c r="A58" s="22" t="s">
        <v>38</v>
      </c>
      <c r="B58" s="26">
        <f>1126023055.73</f>
        <v>1126023055.73</v>
      </c>
      <c r="C58" s="26">
        <f>1125839846.77</f>
        <v>1125839846.77</v>
      </c>
      <c r="D58" s="26">
        <f>55169418.67</f>
        <v>55169418.670000002</v>
      </c>
      <c r="E58" s="26">
        <f>5456716.58</f>
        <v>5456716.5800000001</v>
      </c>
      <c r="F58" s="26">
        <f>1428952.51</f>
        <v>1428952.51</v>
      </c>
      <c r="G58" s="26">
        <f>47304688.31</f>
        <v>47304688.310000002</v>
      </c>
      <c r="H58" s="26">
        <f>979061.27</f>
        <v>979061.27</v>
      </c>
      <c r="I58" s="26">
        <f>0</f>
        <v>0</v>
      </c>
      <c r="J58" s="26">
        <f>698468.78</f>
        <v>698468.78</v>
      </c>
      <c r="K58" s="26">
        <f>2610455.06</f>
        <v>2610455.06</v>
      </c>
      <c r="L58" s="26">
        <f>411950024.43</f>
        <v>411950024.43000001</v>
      </c>
      <c r="M58" s="26">
        <f>642928684.74</f>
        <v>642928684.74000001</v>
      </c>
      <c r="N58" s="26">
        <f>12482795.09</f>
        <v>12482795.09</v>
      </c>
      <c r="O58" s="15">
        <f>183208.96</f>
        <v>183208.95999999999</v>
      </c>
      <c r="P58" s="15">
        <f>117910.95</f>
        <v>117910.95</v>
      </c>
      <c r="Q58" s="15">
        <f>65298.01</f>
        <v>65298.01</v>
      </c>
    </row>
    <row r="59" spans="1:17" ht="36" x14ac:dyDescent="0.2">
      <c r="A59" s="22" t="s">
        <v>39</v>
      </c>
      <c r="B59" s="26">
        <f>13659748508.7</f>
        <v>13659748508.700001</v>
      </c>
      <c r="C59" s="26">
        <f>13658157846.59</f>
        <v>13658157846.59</v>
      </c>
      <c r="D59" s="26">
        <f>404686031.06</f>
        <v>404686031.06</v>
      </c>
      <c r="E59" s="26">
        <f>173857072.3</f>
        <v>173857072.30000001</v>
      </c>
      <c r="F59" s="26">
        <f>49841939.61</f>
        <v>49841939.609999999</v>
      </c>
      <c r="G59" s="26">
        <f>173490636.35</f>
        <v>173490636.34999999</v>
      </c>
      <c r="H59" s="26">
        <f>7496382.8</f>
        <v>7496382.7999999998</v>
      </c>
      <c r="I59" s="26">
        <f>361306</f>
        <v>361306</v>
      </c>
      <c r="J59" s="26">
        <f>15829709.77</f>
        <v>15829709.77</v>
      </c>
      <c r="K59" s="26">
        <f>47745014.27</f>
        <v>47745014.270000003</v>
      </c>
      <c r="L59" s="26">
        <f>8541031195.99</f>
        <v>8541031195.9899998</v>
      </c>
      <c r="M59" s="26">
        <f>4578228131.13</f>
        <v>4578228131.1300001</v>
      </c>
      <c r="N59" s="26">
        <f>70276458.37</f>
        <v>70276458.370000005</v>
      </c>
      <c r="O59" s="15">
        <f>1590662.11</f>
        <v>1590662.11</v>
      </c>
      <c r="P59" s="15">
        <f>1321825.12</f>
        <v>1321825.1200000001</v>
      </c>
      <c r="Q59" s="15">
        <f>268836.99</f>
        <v>268836.99</v>
      </c>
    </row>
    <row r="60" spans="1:17" ht="30.75" customHeight="1" x14ac:dyDescent="0.2">
      <c r="A60" s="22" t="s">
        <v>40</v>
      </c>
      <c r="B60" s="26">
        <f>6585544945.35</f>
        <v>6585544945.3500004</v>
      </c>
      <c r="C60" s="26">
        <f>6585410378.82</f>
        <v>6585410378.8199997</v>
      </c>
      <c r="D60" s="26">
        <f>394517920.17</f>
        <v>394517920.17000002</v>
      </c>
      <c r="E60" s="26">
        <f>221649929.28</f>
        <v>221649929.28</v>
      </c>
      <c r="F60" s="26">
        <f>18045231.02</f>
        <v>18045231.02</v>
      </c>
      <c r="G60" s="26">
        <f>152726008.3</f>
        <v>152726008.30000001</v>
      </c>
      <c r="H60" s="26">
        <f>2096751.57</f>
        <v>2096751.57</v>
      </c>
      <c r="I60" s="26">
        <f>0</f>
        <v>0</v>
      </c>
      <c r="J60" s="26">
        <f>2175231.93</f>
        <v>2175231.9300000002</v>
      </c>
      <c r="K60" s="26">
        <f>16751391.98</f>
        <v>16751391.98</v>
      </c>
      <c r="L60" s="26">
        <f>2336610239.22</f>
        <v>2336610239.2199998</v>
      </c>
      <c r="M60" s="26">
        <f>3733617071.72</f>
        <v>3733617071.7199998</v>
      </c>
      <c r="N60" s="26">
        <f>101738523.8</f>
        <v>101738523.8</v>
      </c>
      <c r="O60" s="15">
        <f>134566.53</f>
        <v>134566.53</v>
      </c>
      <c r="P60" s="15">
        <f>100503.6</f>
        <v>100503.6</v>
      </c>
      <c r="Q60" s="15">
        <f>34062.93</f>
        <v>34062.93</v>
      </c>
    </row>
    <row r="77" spans="1:13" ht="75" customHeight="1" x14ac:dyDescent="0.2">
      <c r="A77" s="40" t="str">
        <f>CONCATENATE("Informacja z wykonania budżetów gmin za ",$C$104," ",$B$105," roku   ",$B$107,"")</f>
        <v xml:space="preserve">Informacja z wykonania budżetów gmin za I Kwartał 2023 roku   </v>
      </c>
      <c r="B77" s="40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</row>
    <row r="78" spans="1:13" ht="13.5" customHeight="1" x14ac:dyDescent="0.2">
      <c r="B78" s="80" t="s">
        <v>2</v>
      </c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</row>
    <row r="80" spans="1:13" ht="13.5" customHeight="1" x14ac:dyDescent="0.2">
      <c r="B80" s="46" t="s">
        <v>0</v>
      </c>
      <c r="C80" s="47"/>
      <c r="D80" s="47"/>
      <c r="E80" s="48"/>
      <c r="F80" s="58" t="s">
        <v>72</v>
      </c>
      <c r="G80" s="62" t="s">
        <v>78</v>
      </c>
      <c r="H80" s="70"/>
      <c r="I80" s="70"/>
      <c r="J80" s="70"/>
      <c r="K80" s="70"/>
      <c r="L80" s="71"/>
    </row>
    <row r="81" spans="1:13" ht="13.5" customHeight="1" x14ac:dyDescent="0.2">
      <c r="B81" s="49"/>
      <c r="C81" s="50"/>
      <c r="D81" s="50"/>
      <c r="E81" s="51"/>
      <c r="F81" s="59"/>
      <c r="G81" s="61" t="s">
        <v>73</v>
      </c>
      <c r="H81" s="45" t="s">
        <v>70</v>
      </c>
      <c r="I81" s="45" t="s">
        <v>71</v>
      </c>
      <c r="J81" s="45" t="s">
        <v>74</v>
      </c>
      <c r="K81" s="45" t="s">
        <v>75</v>
      </c>
      <c r="L81" s="65" t="s">
        <v>76</v>
      </c>
    </row>
    <row r="82" spans="1:13" ht="13.5" customHeight="1" x14ac:dyDescent="0.2">
      <c r="B82" s="49"/>
      <c r="C82" s="50"/>
      <c r="D82" s="50"/>
      <c r="E82" s="51"/>
      <c r="F82" s="59"/>
      <c r="G82" s="61"/>
      <c r="H82" s="45"/>
      <c r="I82" s="45"/>
      <c r="J82" s="45"/>
      <c r="K82" s="45"/>
      <c r="L82" s="65"/>
    </row>
    <row r="83" spans="1:13" ht="11.25" customHeight="1" x14ac:dyDescent="0.2">
      <c r="B83" s="49"/>
      <c r="C83" s="50"/>
      <c r="D83" s="50"/>
      <c r="E83" s="51"/>
      <c r="F83" s="59"/>
      <c r="G83" s="61"/>
      <c r="H83" s="45"/>
      <c r="I83" s="45"/>
      <c r="J83" s="45"/>
      <c r="K83" s="45"/>
      <c r="L83" s="65"/>
    </row>
    <row r="84" spans="1:13" ht="11.25" customHeight="1" x14ac:dyDescent="0.2">
      <c r="B84" s="52"/>
      <c r="C84" s="53"/>
      <c r="D84" s="53"/>
      <c r="E84" s="54"/>
      <c r="F84" s="60"/>
      <c r="G84" s="61"/>
      <c r="H84" s="45"/>
      <c r="I84" s="45"/>
      <c r="J84" s="45"/>
      <c r="K84" s="45"/>
      <c r="L84" s="65"/>
    </row>
    <row r="85" spans="1:13" ht="11.25" customHeight="1" x14ac:dyDescent="0.2">
      <c r="B85" s="45">
        <v>1</v>
      </c>
      <c r="C85" s="45"/>
      <c r="D85" s="45"/>
      <c r="E85" s="45"/>
      <c r="F85" s="3">
        <v>2</v>
      </c>
      <c r="G85" s="3">
        <v>3</v>
      </c>
      <c r="H85" s="3">
        <v>4</v>
      </c>
      <c r="I85" s="3">
        <v>5</v>
      </c>
      <c r="J85" s="3">
        <v>6</v>
      </c>
      <c r="K85" s="3">
        <v>7</v>
      </c>
      <c r="L85" s="13">
        <v>8</v>
      </c>
    </row>
    <row r="86" spans="1:13" ht="13.5" customHeight="1" x14ac:dyDescent="0.2">
      <c r="B86" s="45"/>
      <c r="C86" s="45"/>
      <c r="D86" s="45"/>
      <c r="E86" s="45"/>
      <c r="F86" s="62" t="s">
        <v>80</v>
      </c>
      <c r="G86" s="63"/>
      <c r="H86" s="63"/>
      <c r="I86" s="63"/>
      <c r="J86" s="63"/>
      <c r="K86" s="63"/>
      <c r="L86" s="64"/>
    </row>
    <row r="87" spans="1:13" ht="33.75" customHeight="1" x14ac:dyDescent="0.2">
      <c r="B87" s="55" t="s">
        <v>57</v>
      </c>
      <c r="C87" s="56"/>
      <c r="D87" s="56"/>
      <c r="E87" s="57"/>
      <c r="F87" s="33">
        <f>1062317128.24</f>
        <v>1062317128.24</v>
      </c>
      <c r="G87" s="33">
        <f>365657588.35</f>
        <v>365657588.35000002</v>
      </c>
      <c r="H87" s="33">
        <f>17839294.72</f>
        <v>17839294.719999999</v>
      </c>
      <c r="I87" s="33">
        <f>136031880.93</f>
        <v>136031880.93000001</v>
      </c>
      <c r="J87" s="33">
        <f>209311740.31</f>
        <v>209311740.31</v>
      </c>
      <c r="K87" s="33">
        <f>2474672.39</f>
        <v>2474672.39</v>
      </c>
      <c r="L87" s="33">
        <f>696659539.89</f>
        <v>696659539.88999999</v>
      </c>
    </row>
    <row r="88" spans="1:13" ht="33.75" customHeight="1" x14ac:dyDescent="0.2">
      <c r="B88" s="55" t="s">
        <v>58</v>
      </c>
      <c r="C88" s="56"/>
      <c r="D88" s="56"/>
      <c r="E88" s="57"/>
      <c r="F88" s="33">
        <f>6106894.41</f>
        <v>6106894.4100000001</v>
      </c>
      <c r="G88" s="33">
        <f>821594</f>
        <v>821594</v>
      </c>
      <c r="H88" s="33">
        <f>0</f>
        <v>0</v>
      </c>
      <c r="I88" s="33">
        <f>0</f>
        <v>0</v>
      </c>
      <c r="J88" s="33">
        <f>821594</f>
        <v>821594</v>
      </c>
      <c r="K88" s="33">
        <f>0</f>
        <v>0</v>
      </c>
      <c r="L88" s="33">
        <f>5285300.41</f>
        <v>5285300.41</v>
      </c>
    </row>
    <row r="89" spans="1:13" ht="33.75" customHeight="1" x14ac:dyDescent="0.2">
      <c r="B89" s="55" t="s">
        <v>59</v>
      </c>
      <c r="C89" s="56"/>
      <c r="D89" s="56"/>
      <c r="E89" s="57"/>
      <c r="F89" s="33">
        <f>39335391.92</f>
        <v>39335391.920000002</v>
      </c>
      <c r="G89" s="33">
        <f>1874030.37</f>
        <v>1874030.37</v>
      </c>
      <c r="H89" s="33">
        <f>0</f>
        <v>0</v>
      </c>
      <c r="I89" s="33">
        <f>0</f>
        <v>0</v>
      </c>
      <c r="J89" s="33">
        <f>1764444.33</f>
        <v>1764444.33</v>
      </c>
      <c r="K89" s="33">
        <f>109586.04</f>
        <v>109586.04</v>
      </c>
      <c r="L89" s="33">
        <f>37461361.55</f>
        <v>37461361.549999997</v>
      </c>
    </row>
    <row r="90" spans="1:13" ht="22.5" customHeight="1" x14ac:dyDescent="0.2">
      <c r="B90" s="55" t="s">
        <v>60</v>
      </c>
      <c r="C90" s="56"/>
      <c r="D90" s="56"/>
      <c r="E90" s="57"/>
      <c r="F90" s="33">
        <f>11992956.16</f>
        <v>11992956.16</v>
      </c>
      <c r="G90" s="33">
        <f>0</f>
        <v>0</v>
      </c>
      <c r="H90" s="33">
        <f>0</f>
        <v>0</v>
      </c>
      <c r="I90" s="33">
        <f>0</f>
        <v>0</v>
      </c>
      <c r="J90" s="33">
        <f>0</f>
        <v>0</v>
      </c>
      <c r="K90" s="33">
        <f>0</f>
        <v>0</v>
      </c>
      <c r="L90" s="33">
        <f>11992956.16</f>
        <v>11992956.16</v>
      </c>
    </row>
    <row r="91" spans="1:13" ht="33.75" customHeight="1" x14ac:dyDescent="0.2">
      <c r="B91" s="55" t="s">
        <v>61</v>
      </c>
      <c r="C91" s="56"/>
      <c r="D91" s="56"/>
      <c r="E91" s="57"/>
      <c r="F91" s="33">
        <f>23645.93</f>
        <v>23645.93</v>
      </c>
      <c r="G91" s="33">
        <f>0</f>
        <v>0</v>
      </c>
      <c r="H91" s="33">
        <f>0</f>
        <v>0</v>
      </c>
      <c r="I91" s="33">
        <f>0</f>
        <v>0</v>
      </c>
      <c r="J91" s="33">
        <f>0</f>
        <v>0</v>
      </c>
      <c r="K91" s="33">
        <f>0</f>
        <v>0</v>
      </c>
      <c r="L91" s="33">
        <f>23645.93</f>
        <v>23645.93</v>
      </c>
    </row>
    <row r="92" spans="1:13" ht="33.75" customHeight="1" x14ac:dyDescent="0.2">
      <c r="B92" s="55" t="s">
        <v>62</v>
      </c>
      <c r="C92" s="56"/>
      <c r="D92" s="56"/>
      <c r="E92" s="57"/>
      <c r="F92" s="33">
        <f>305125.5</f>
        <v>305125.5</v>
      </c>
      <c r="G92" s="33">
        <f>0</f>
        <v>0</v>
      </c>
      <c r="H92" s="33">
        <f>0</f>
        <v>0</v>
      </c>
      <c r="I92" s="33">
        <f>0</f>
        <v>0</v>
      </c>
      <c r="J92" s="33">
        <f>0</f>
        <v>0</v>
      </c>
      <c r="K92" s="33">
        <f>0</f>
        <v>0</v>
      </c>
      <c r="L92" s="33">
        <f>305125.5</f>
        <v>305125.5</v>
      </c>
    </row>
    <row r="93" spans="1:13" ht="22.5" customHeight="1" x14ac:dyDescent="0.2">
      <c r="B93" s="55" t="s">
        <v>63</v>
      </c>
      <c r="C93" s="56"/>
      <c r="D93" s="56"/>
      <c r="E93" s="57"/>
      <c r="F93" s="33">
        <f>45000</f>
        <v>45000</v>
      </c>
      <c r="G93" s="33">
        <f>0</f>
        <v>0</v>
      </c>
      <c r="H93" s="33">
        <f>0</f>
        <v>0</v>
      </c>
      <c r="I93" s="33">
        <f>0</f>
        <v>0</v>
      </c>
      <c r="J93" s="33">
        <f>0</f>
        <v>0</v>
      </c>
      <c r="K93" s="33">
        <f>0</f>
        <v>0</v>
      </c>
      <c r="L93" s="33">
        <f>45000</f>
        <v>45000</v>
      </c>
    </row>
    <row r="96" spans="1:13" ht="75" customHeight="1" x14ac:dyDescent="0.2">
      <c r="A96" s="40" t="str">
        <f>CONCATENATE("Informacja z wykonania budżetów gmin za ",$C$104," ",$B$105," roku   ",$B$107,"")</f>
        <v xml:space="preserve">Informacja z wykonania budżetów gmin za I Kwartał 2023 roku   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</row>
    <row r="97" spans="1:11" ht="13.5" customHeight="1" x14ac:dyDescent="0.2">
      <c r="B97" s="4"/>
    </row>
    <row r="98" spans="1:11" ht="13.5" customHeight="1" x14ac:dyDescent="0.2">
      <c r="B98" s="5"/>
      <c r="C98" s="62"/>
      <c r="D98" s="70"/>
      <c r="E98" s="70"/>
      <c r="F98" s="71"/>
      <c r="G98" s="62" t="s">
        <v>3</v>
      </c>
      <c r="H98" s="71"/>
      <c r="I98" s="62" t="s">
        <v>4</v>
      </c>
      <c r="J98" s="71"/>
      <c r="K98" s="5"/>
    </row>
    <row r="99" spans="1:11" ht="13.5" customHeight="1" x14ac:dyDescent="0.2">
      <c r="B99" s="6"/>
      <c r="C99" s="72" t="s">
        <v>5</v>
      </c>
      <c r="D99" s="73"/>
      <c r="E99" s="73"/>
      <c r="F99" s="74"/>
      <c r="G99" s="66">
        <f>1884</f>
        <v>1884</v>
      </c>
      <c r="H99" s="67"/>
      <c r="I99" s="68">
        <f>4856949513.38</f>
        <v>4856949513.3800001</v>
      </c>
      <c r="J99" s="69"/>
      <c r="K99" s="7"/>
    </row>
    <row r="100" spans="1:11" ht="13.5" customHeight="1" x14ac:dyDescent="0.2">
      <c r="B100" s="6"/>
      <c r="C100" s="55" t="s">
        <v>6</v>
      </c>
      <c r="D100" s="56"/>
      <c r="E100" s="56"/>
      <c r="F100" s="57"/>
      <c r="G100" s="75">
        <f>527</f>
        <v>527</v>
      </c>
      <c r="H100" s="76"/>
      <c r="I100" s="77">
        <f>-659949931.710001</f>
        <v>-659949931.71000099</v>
      </c>
      <c r="J100" s="78"/>
      <c r="K100" s="7"/>
    </row>
    <row r="101" spans="1:11" ht="13.5" customHeight="1" x14ac:dyDescent="0.2">
      <c r="B101" s="6"/>
      <c r="C101" s="72" t="s">
        <v>7</v>
      </c>
      <c r="D101" s="73"/>
      <c r="E101" s="73"/>
      <c r="F101" s="74"/>
      <c r="G101" s="66">
        <f>0</f>
        <v>0</v>
      </c>
      <c r="H101" s="67"/>
      <c r="I101" s="68">
        <f>0</f>
        <v>0</v>
      </c>
      <c r="J101" s="69"/>
      <c r="K101" s="7"/>
    </row>
    <row r="104" spans="1:11" ht="13.5" customHeight="1" x14ac:dyDescent="0.2">
      <c r="A104" s="8" t="s">
        <v>8</v>
      </c>
      <c r="B104" s="8">
        <f>1</f>
        <v>1</v>
      </c>
      <c r="C104" s="8" t="str">
        <f>IF(B104=1,"I Kwartał",IF(B104=2,"II Kwartały",IF(B104=3,"III Kwartały",IF(B104=4,"IV Kwartały","-"))))</f>
        <v>I Kwartał</v>
      </c>
    </row>
    <row r="105" spans="1:11" ht="13.5" customHeight="1" x14ac:dyDescent="0.2">
      <c r="A105" s="8" t="s">
        <v>9</v>
      </c>
      <c r="B105" s="8">
        <f>2023</f>
        <v>2023</v>
      </c>
      <c r="C105" s="9"/>
    </row>
    <row r="106" spans="1:11" ht="13.5" customHeight="1" x14ac:dyDescent="0.2">
      <c r="A106" s="8" t="s">
        <v>10</v>
      </c>
      <c r="B106" s="10" t="str">
        <f>"May 26 2023 12:00AM"</f>
        <v>May 26 2023 12:00AM</v>
      </c>
      <c r="C106" s="9"/>
    </row>
    <row r="107" spans="1:11" ht="13.5" customHeight="1" x14ac:dyDescent="0.2">
      <c r="A107" s="16" t="s">
        <v>79</v>
      </c>
      <c r="B107" s="10" t="str">
        <f>""</f>
        <v/>
      </c>
    </row>
  </sheetData>
  <mergeCells count="79">
    <mergeCell ref="B38:B41"/>
    <mergeCell ref="N39:N41"/>
    <mergeCell ref="O39:O41"/>
    <mergeCell ref="H81:H84"/>
    <mergeCell ref="I81:I84"/>
    <mergeCell ref="J81:J84"/>
    <mergeCell ref="B78:M78"/>
    <mergeCell ref="D39:D41"/>
    <mergeCell ref="M39:M41"/>
    <mergeCell ref="B43:Q43"/>
    <mergeCell ref="C39:C41"/>
    <mergeCell ref="E39:E41"/>
    <mergeCell ref="K81:K84"/>
    <mergeCell ref="F39:F41"/>
    <mergeCell ref="G39:G41"/>
    <mergeCell ref="H39:H41"/>
    <mergeCell ref="K39:K41"/>
    <mergeCell ref="I39:I41"/>
    <mergeCell ref="J39:J41"/>
    <mergeCell ref="A1:M1"/>
    <mergeCell ref="C5:M5"/>
    <mergeCell ref="A3:M3"/>
    <mergeCell ref="K7:K10"/>
    <mergeCell ref="C7:C10"/>
    <mergeCell ref="H7:H10"/>
    <mergeCell ref="I7:I10"/>
    <mergeCell ref="J7:J10"/>
    <mergeCell ref="L7:L10"/>
    <mergeCell ref="M7:M10"/>
    <mergeCell ref="B6:B10"/>
    <mergeCell ref="A6:A10"/>
    <mergeCell ref="C6:N6"/>
    <mergeCell ref="D7:D10"/>
    <mergeCell ref="E7:E10"/>
    <mergeCell ref="G7:G10"/>
    <mergeCell ref="G101:H101"/>
    <mergeCell ref="I101:J101"/>
    <mergeCell ref="C98:F98"/>
    <mergeCell ref="C99:F99"/>
    <mergeCell ref="C100:F100"/>
    <mergeCell ref="C101:F101"/>
    <mergeCell ref="G99:H99"/>
    <mergeCell ref="G98:H98"/>
    <mergeCell ref="G100:H100"/>
    <mergeCell ref="I100:J100"/>
    <mergeCell ref="I99:J99"/>
    <mergeCell ref="I98:J98"/>
    <mergeCell ref="B86:E86"/>
    <mergeCell ref="B80:E84"/>
    <mergeCell ref="B93:E93"/>
    <mergeCell ref="A96:M96"/>
    <mergeCell ref="B89:E89"/>
    <mergeCell ref="B90:E90"/>
    <mergeCell ref="B91:E91"/>
    <mergeCell ref="B92:E92"/>
    <mergeCell ref="B88:E88"/>
    <mergeCell ref="B87:E87"/>
    <mergeCell ref="F80:F84"/>
    <mergeCell ref="G81:G84"/>
    <mergeCell ref="B85:E85"/>
    <mergeCell ref="F86:L86"/>
    <mergeCell ref="L81:L84"/>
    <mergeCell ref="G80:L80"/>
    <mergeCell ref="O6:Q6"/>
    <mergeCell ref="O7:O10"/>
    <mergeCell ref="A77:M77"/>
    <mergeCell ref="L39:L41"/>
    <mergeCell ref="P39:P41"/>
    <mergeCell ref="Q39:Q41"/>
    <mergeCell ref="Q7:Q10"/>
    <mergeCell ref="C38:N38"/>
    <mergeCell ref="N7:N10"/>
    <mergeCell ref="P7:P10"/>
    <mergeCell ref="A34:M34"/>
    <mergeCell ref="O38:Q38"/>
    <mergeCell ref="A36:M36"/>
    <mergeCell ref="F7:F10"/>
    <mergeCell ref="B12:Q12"/>
    <mergeCell ref="A38:A41"/>
  </mergeCells>
  <phoneticPr fontId="4" type="noConversion"/>
  <pageMargins left="0.19685039370078741" right="0.19685039370078741" top="0.19685039370078741" bottom="0.19685039370078741" header="0" footer="0"/>
  <pageSetup paperSize="9" scale="69" orientation="landscape" useFirstPageNumber="1" horizontalDpi="300" verticalDpi="300" r:id="rId1"/>
  <headerFooter alignWithMargins="0">
    <oddFooter>&amp;L&amp;D&amp;Rstrona &amp;P z 3</oddFooter>
  </headerFooter>
  <rowBreaks count="2" manualBreakCount="2">
    <brk id="33" max="16383" man="1"/>
    <brk id="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zob_nal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2016-08-26T11:23:29Z</cp:lastPrinted>
  <dcterms:created xsi:type="dcterms:W3CDTF">2001-05-17T08:58:03Z</dcterms:created>
  <dcterms:modified xsi:type="dcterms:W3CDTF">2023-06-01T13:57:08Z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UxC4dwLulzfINJ8nQH+xvX5LNGipWa4BRSZhPgxsCvkoSyW6oxOIkannjhetQWewJxpKYDbHrFlkYqkjpcojww==</vt:lpwstr>
  </property>
  <property fmtid="{D5CDD505-2E9C-101B-9397-08002B2CF9AE}" pid="4" name="MFClassificationDate">
    <vt:lpwstr>2023-06-01T15:42:45.0545428+02:00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GRN-f5e74314-00a8-47a9-b8c6-83c78f618687</vt:lpwstr>
  </property>
  <property fmtid="{D5CDD505-2E9C-101B-9397-08002B2CF9AE}" pid="7" name="MFHash">
    <vt:lpwstr>GTFkJQgyt6PBpQoeO5ggYSbIRwO70mu8CeHuETLuB9k=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