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II kwartał\2025.11.14 Dane ostateczne\Zbiorówki_2025_k3_2025.11.14\Publikacja\"/>
    </mc:Choice>
  </mc:AlternateContent>
  <xr:revisionPtr revIDLastSave="0" documentId="13_ncr:1_{DCA2D92A-A04E-4BAA-BD5A-BAA06E1ED2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7" i="7" l="1"/>
  <c r="B96" i="7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 l="1"/>
  <c r="A29" i="7" l="1"/>
  <c r="A66" i="7"/>
  <c r="A86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<sst xmlns="http://schemas.openxmlformats.org/spreadsheetml/2006/main" count="97" uniqueCount="81">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</sst>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8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0" fontId="31" fillId="20" borderId="17" xfId="0" applyFont="1" applyFill="1" applyBorder="1" applyAlignment="1">
      <alignment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" fillId="0" borderId="0" xfId="37" applyFont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5" fillId="19" borderId="14" xfId="37" applyFont="1" applyFill="1" applyBorder="1" applyAlignment="1">
      <alignment horizontal="center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7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384" width="9.140625" style="2"/>
  </cols>
  <sheetData>
    <row r="1" spans="1:17" ht="61.5" customHeight="1" x14ac:dyDescent="0.2">
      <c r="A1" s="36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III Kwartały 2025 roku                 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5" t="s">
        <v>61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5" spans="1:17" ht="13.5" customHeight="1" x14ac:dyDescent="0.2">
      <c r="B5" s="12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11"/>
      <c r="O5" s="11"/>
      <c r="P5" s="11"/>
      <c r="Q5" s="11"/>
    </row>
    <row r="6" spans="1:17" ht="13.5" customHeight="1" x14ac:dyDescent="0.2">
      <c r="A6" s="62" t="s">
        <v>0</v>
      </c>
      <c r="B6" s="37" t="s">
        <v>62</v>
      </c>
      <c r="C6" s="32" t="s">
        <v>66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4"/>
      <c r="O6" s="32" t="s">
        <v>65</v>
      </c>
      <c r="P6" s="33"/>
      <c r="Q6" s="34"/>
    </row>
    <row r="7" spans="1:17" ht="13.5" customHeight="1" x14ac:dyDescent="0.2">
      <c r="A7" s="63"/>
      <c r="B7" s="38"/>
      <c r="C7" s="39" t="s">
        <v>63</v>
      </c>
      <c r="D7" s="39" t="s">
        <v>74</v>
      </c>
      <c r="E7" s="39" t="s">
        <v>67</v>
      </c>
      <c r="F7" s="39" t="s">
        <v>68</v>
      </c>
      <c r="G7" s="39" t="s">
        <v>27</v>
      </c>
      <c r="H7" s="39" t="s">
        <v>28</v>
      </c>
      <c r="I7" s="80" t="s">
        <v>64</v>
      </c>
      <c r="J7" s="39" t="s">
        <v>16</v>
      </c>
      <c r="K7" s="39" t="s">
        <v>17</v>
      </c>
      <c r="L7" s="39" t="s">
        <v>18</v>
      </c>
      <c r="M7" s="39" t="s">
        <v>19</v>
      </c>
      <c r="N7" s="38" t="s">
        <v>20</v>
      </c>
      <c r="O7" s="35" t="s">
        <v>21</v>
      </c>
      <c r="P7" s="35" t="s">
        <v>22</v>
      </c>
      <c r="Q7" s="35" t="s">
        <v>23</v>
      </c>
    </row>
    <row r="8" spans="1:17" ht="13.5" customHeight="1" x14ac:dyDescent="0.2">
      <c r="A8" s="63"/>
      <c r="B8" s="38"/>
      <c r="C8" s="35"/>
      <c r="D8" s="35"/>
      <c r="E8" s="35"/>
      <c r="F8" s="35"/>
      <c r="G8" s="35"/>
      <c r="H8" s="35"/>
      <c r="I8" s="80"/>
      <c r="J8" s="35"/>
      <c r="K8" s="35"/>
      <c r="L8" s="35"/>
      <c r="M8" s="35"/>
      <c r="N8" s="38"/>
      <c r="O8" s="35"/>
      <c r="P8" s="35"/>
      <c r="Q8" s="35"/>
    </row>
    <row r="9" spans="1:17" ht="11.25" customHeight="1" x14ac:dyDescent="0.2">
      <c r="A9" s="63"/>
      <c r="B9" s="38"/>
      <c r="C9" s="35"/>
      <c r="D9" s="35"/>
      <c r="E9" s="35"/>
      <c r="F9" s="35"/>
      <c r="G9" s="35"/>
      <c r="H9" s="35"/>
      <c r="I9" s="80"/>
      <c r="J9" s="35"/>
      <c r="K9" s="35"/>
      <c r="L9" s="35"/>
      <c r="M9" s="35"/>
      <c r="N9" s="38"/>
      <c r="O9" s="35"/>
      <c r="P9" s="35"/>
      <c r="Q9" s="35"/>
    </row>
    <row r="10" spans="1:17" ht="11.25" customHeight="1" x14ac:dyDescent="0.2">
      <c r="A10" s="64"/>
      <c r="B10" s="39"/>
      <c r="C10" s="35"/>
      <c r="D10" s="35"/>
      <c r="E10" s="35"/>
      <c r="F10" s="35"/>
      <c r="G10" s="35"/>
      <c r="H10" s="35"/>
      <c r="I10" s="81"/>
      <c r="J10" s="35"/>
      <c r="K10" s="35"/>
      <c r="L10" s="35"/>
      <c r="M10" s="35"/>
      <c r="N10" s="39"/>
      <c r="O10" s="35"/>
      <c r="P10" s="35"/>
      <c r="Q10" s="35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3"/>
      <c r="B12" s="28" t="s">
        <v>77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46"/>
    </row>
    <row r="13" spans="1:17" ht="45.75" customHeight="1" x14ac:dyDescent="0.2">
      <c r="A13" s="20" t="s">
        <v>78</v>
      </c>
      <c r="B13" s="22">
        <f>315897895.43</f>
        <v>315897895.43000001</v>
      </c>
      <c r="C13" s="22">
        <f>315897895.43</f>
        <v>315897895.43000001</v>
      </c>
      <c r="D13" s="22">
        <f>137056069.07</f>
        <v>137056069.06999999</v>
      </c>
      <c r="E13" s="22">
        <f>0</f>
        <v>0</v>
      </c>
      <c r="F13" s="22">
        <f>99958108.82</f>
        <v>99958108.819999993</v>
      </c>
      <c r="G13" s="22">
        <f>37097960.25</f>
        <v>37097960.25</v>
      </c>
      <c r="H13" s="22">
        <f>0</f>
        <v>0</v>
      </c>
      <c r="I13" s="22">
        <f>0</f>
        <v>0</v>
      </c>
      <c r="J13" s="22">
        <f>152083360.11</f>
        <v>152083360.11000001</v>
      </c>
      <c r="K13" s="22">
        <f>5443500</f>
        <v>5443500</v>
      </c>
      <c r="L13" s="22">
        <f>21314802.37</f>
        <v>21314802.370000001</v>
      </c>
      <c r="M13" s="22">
        <f>163.88</f>
        <v>163.88</v>
      </c>
      <c r="N13" s="22">
        <f>0</f>
        <v>0</v>
      </c>
      <c r="O13" s="22">
        <f>0</f>
        <v>0</v>
      </c>
      <c r="P13" s="22">
        <f>0</f>
        <v>0</v>
      </c>
      <c r="Q13" s="22">
        <f>0</f>
        <v>0</v>
      </c>
    </row>
    <row r="14" spans="1:17" ht="30.75" customHeight="1" x14ac:dyDescent="0.2">
      <c r="A14" s="20" t="s">
        <v>45</v>
      </c>
      <c r="B14" s="22">
        <f>0</f>
        <v>0</v>
      </c>
      <c r="C14" s="22">
        <f>0</f>
        <v>0</v>
      </c>
      <c r="D14" s="22">
        <f>0</f>
        <v>0</v>
      </c>
      <c r="E14" s="22">
        <f>0</f>
        <v>0</v>
      </c>
      <c r="F14" s="22">
        <f>0</f>
        <v>0</v>
      </c>
      <c r="G14" s="22">
        <f>0</f>
        <v>0</v>
      </c>
      <c r="H14" s="22">
        <f>0</f>
        <v>0</v>
      </c>
      <c r="I14" s="22">
        <f>0</f>
        <v>0</v>
      </c>
      <c r="J14" s="22">
        <f>0</f>
        <v>0</v>
      </c>
      <c r="K14" s="22">
        <f>0</f>
        <v>0</v>
      </c>
      <c r="L14" s="22">
        <f>0</f>
        <v>0</v>
      </c>
      <c r="M14" s="22">
        <f>0</f>
        <v>0</v>
      </c>
      <c r="N14" s="22">
        <f>0</f>
        <v>0</v>
      </c>
      <c r="O14" s="22">
        <f>0</f>
        <v>0</v>
      </c>
      <c r="P14" s="22">
        <f>0</f>
        <v>0</v>
      </c>
      <c r="Q14" s="22">
        <f>0</f>
        <v>0</v>
      </c>
    </row>
    <row r="15" spans="1:17" ht="24.75" customHeight="1" x14ac:dyDescent="0.2">
      <c r="A15" s="18" t="s">
        <v>46</v>
      </c>
      <c r="B15" s="23">
        <f>0</f>
        <v>0</v>
      </c>
      <c r="C15" s="23">
        <f>0</f>
        <v>0</v>
      </c>
      <c r="D15" s="23">
        <f>0</f>
        <v>0</v>
      </c>
      <c r="E15" s="23">
        <f>0</f>
        <v>0</v>
      </c>
      <c r="F15" s="23">
        <f>0</f>
        <v>0</v>
      </c>
      <c r="G15" s="23">
        <f>0</f>
        <v>0</v>
      </c>
      <c r="H15" s="23">
        <f>0</f>
        <v>0</v>
      </c>
      <c r="I15" s="23">
        <f>0</f>
        <v>0</v>
      </c>
      <c r="J15" s="23">
        <f>0</f>
        <v>0</v>
      </c>
      <c r="K15" s="23">
        <f>0</f>
        <v>0</v>
      </c>
      <c r="L15" s="23">
        <f>0</f>
        <v>0</v>
      </c>
      <c r="M15" s="23">
        <f>0</f>
        <v>0</v>
      </c>
      <c r="N15" s="23">
        <f>0</f>
        <v>0</v>
      </c>
      <c r="O15" s="23">
        <f>0</f>
        <v>0</v>
      </c>
      <c r="P15" s="23">
        <f>0</f>
        <v>0</v>
      </c>
      <c r="Q15" s="23">
        <f>0</f>
        <v>0</v>
      </c>
    </row>
    <row r="16" spans="1:17" ht="24.75" customHeight="1" x14ac:dyDescent="0.2">
      <c r="A16" s="18" t="s">
        <v>47</v>
      </c>
      <c r="B16" s="23">
        <f>0</f>
        <v>0</v>
      </c>
      <c r="C16" s="23">
        <f>0</f>
        <v>0</v>
      </c>
      <c r="D16" s="23">
        <f>0</f>
        <v>0</v>
      </c>
      <c r="E16" s="23">
        <f>0</f>
        <v>0</v>
      </c>
      <c r="F16" s="23">
        <f>0</f>
        <v>0</v>
      </c>
      <c r="G16" s="23">
        <f>0</f>
        <v>0</v>
      </c>
      <c r="H16" s="23">
        <f>0</f>
        <v>0</v>
      </c>
      <c r="I16" s="23">
        <f>0</f>
        <v>0</v>
      </c>
      <c r="J16" s="23">
        <f>0</f>
        <v>0</v>
      </c>
      <c r="K16" s="23">
        <f>0</f>
        <v>0</v>
      </c>
      <c r="L16" s="23">
        <f>0</f>
        <v>0</v>
      </c>
      <c r="M16" s="23">
        <f>0</f>
        <v>0</v>
      </c>
      <c r="N16" s="23">
        <f>0</f>
        <v>0</v>
      </c>
      <c r="O16" s="23">
        <f>0</f>
        <v>0</v>
      </c>
      <c r="P16" s="23">
        <f>0</f>
        <v>0</v>
      </c>
      <c r="Q16" s="23">
        <f>0</f>
        <v>0</v>
      </c>
    </row>
    <row r="17" spans="1:17" ht="32.25" customHeight="1" x14ac:dyDescent="0.2">
      <c r="A17" s="20" t="s">
        <v>48</v>
      </c>
      <c r="B17" s="22">
        <f>295122929.18</f>
        <v>295122929.18000001</v>
      </c>
      <c r="C17" s="22">
        <f>295122929.18</f>
        <v>295122929.18000001</v>
      </c>
      <c r="D17" s="22">
        <f>137056069.07</f>
        <v>137056069.06999999</v>
      </c>
      <c r="E17" s="22">
        <f>0</f>
        <v>0</v>
      </c>
      <c r="F17" s="22">
        <f>99958108.82</f>
        <v>99958108.819999993</v>
      </c>
      <c r="G17" s="22">
        <f>37097960.25</f>
        <v>37097960.25</v>
      </c>
      <c r="H17" s="22">
        <f>0</f>
        <v>0</v>
      </c>
      <c r="I17" s="22">
        <f>0</f>
        <v>0</v>
      </c>
      <c r="J17" s="22">
        <f>152083360.11</f>
        <v>152083360.11000001</v>
      </c>
      <c r="K17" s="22">
        <f>5443500</f>
        <v>5443500</v>
      </c>
      <c r="L17" s="22">
        <f>540000</f>
        <v>540000</v>
      </c>
      <c r="M17" s="22">
        <f>0</f>
        <v>0</v>
      </c>
      <c r="N17" s="22">
        <f>0</f>
        <v>0</v>
      </c>
      <c r="O17" s="22">
        <f>0</f>
        <v>0</v>
      </c>
      <c r="P17" s="22">
        <f>0</f>
        <v>0</v>
      </c>
      <c r="Q17" s="22">
        <f>0</f>
        <v>0</v>
      </c>
    </row>
    <row r="18" spans="1:17" ht="24.75" customHeight="1" x14ac:dyDescent="0.2">
      <c r="A18" s="18" t="s">
        <v>49</v>
      </c>
      <c r="B18" s="23">
        <f>33577521.61</f>
        <v>33577521.609999999</v>
      </c>
      <c r="C18" s="23">
        <f>33577521.61</f>
        <v>33577521.609999999</v>
      </c>
      <c r="D18" s="23">
        <f>16500</f>
        <v>16500</v>
      </c>
      <c r="E18" s="23">
        <f>0</f>
        <v>0</v>
      </c>
      <c r="F18" s="23">
        <f>16500</f>
        <v>16500</v>
      </c>
      <c r="G18" s="23">
        <f>0</f>
        <v>0</v>
      </c>
      <c r="H18" s="23">
        <f>0</f>
        <v>0</v>
      </c>
      <c r="I18" s="23">
        <f>0</f>
        <v>0</v>
      </c>
      <c r="J18" s="23">
        <f>33021021.61</f>
        <v>33021021.609999999</v>
      </c>
      <c r="K18" s="23">
        <f>0</f>
        <v>0</v>
      </c>
      <c r="L18" s="23">
        <f>540000</f>
        <v>540000</v>
      </c>
      <c r="M18" s="23">
        <f>0</f>
        <v>0</v>
      </c>
      <c r="N18" s="23">
        <f>0</f>
        <v>0</v>
      </c>
      <c r="O18" s="23">
        <f>0</f>
        <v>0</v>
      </c>
      <c r="P18" s="23">
        <f>0</f>
        <v>0</v>
      </c>
      <c r="Q18" s="23">
        <f>0</f>
        <v>0</v>
      </c>
    </row>
    <row r="19" spans="1:17" ht="24.75" customHeight="1" x14ac:dyDescent="0.2">
      <c r="A19" s="18" t="s">
        <v>50</v>
      </c>
      <c r="B19" s="23">
        <f>261545407.57</f>
        <v>261545407.56999999</v>
      </c>
      <c r="C19" s="23">
        <f>261545407.57</f>
        <v>261545407.56999999</v>
      </c>
      <c r="D19" s="23">
        <f>137039569.07</f>
        <v>137039569.06999999</v>
      </c>
      <c r="E19" s="23">
        <f>0</f>
        <v>0</v>
      </c>
      <c r="F19" s="23">
        <f>99941608.82</f>
        <v>99941608.819999993</v>
      </c>
      <c r="G19" s="23">
        <f>37097960.25</f>
        <v>37097960.25</v>
      </c>
      <c r="H19" s="23">
        <f>0</f>
        <v>0</v>
      </c>
      <c r="I19" s="23">
        <f>0</f>
        <v>0</v>
      </c>
      <c r="J19" s="23">
        <f>119062338.5</f>
        <v>119062338.5</v>
      </c>
      <c r="K19" s="23">
        <f>5443500</f>
        <v>5443500</v>
      </c>
      <c r="L19" s="23">
        <f>0</f>
        <v>0</v>
      </c>
      <c r="M19" s="23">
        <f>0</f>
        <v>0</v>
      </c>
      <c r="N19" s="23">
        <f>0</f>
        <v>0</v>
      </c>
      <c r="O19" s="23">
        <f>0</f>
        <v>0</v>
      </c>
      <c r="P19" s="23">
        <f>0</f>
        <v>0</v>
      </c>
      <c r="Q19" s="23">
        <f>0</f>
        <v>0</v>
      </c>
    </row>
    <row r="20" spans="1:17" ht="24.75" customHeight="1" x14ac:dyDescent="0.2">
      <c r="A20" s="20" t="s">
        <v>51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9.25" customHeight="1" x14ac:dyDescent="0.2">
      <c r="A21" s="20" t="s">
        <v>79</v>
      </c>
      <c r="B21" s="22">
        <f>20774966.25</f>
        <v>20774966.25</v>
      </c>
      <c r="C21" s="22">
        <f>20774966.25</f>
        <v>20774966.25</v>
      </c>
      <c r="D21" s="22">
        <f>0</f>
        <v>0</v>
      </c>
      <c r="E21" s="22">
        <f>0</f>
        <v>0</v>
      </c>
      <c r="F21" s="22">
        <f>0</f>
        <v>0</v>
      </c>
      <c r="G21" s="22">
        <f>0</f>
        <v>0</v>
      </c>
      <c r="H21" s="22">
        <f>0</f>
        <v>0</v>
      </c>
      <c r="I21" s="22">
        <f>0</f>
        <v>0</v>
      </c>
      <c r="J21" s="22">
        <f>0</f>
        <v>0</v>
      </c>
      <c r="K21" s="22">
        <f>0</f>
        <v>0</v>
      </c>
      <c r="L21" s="22">
        <f>20774802.37</f>
        <v>20774802.370000001</v>
      </c>
      <c r="M21" s="22">
        <f>163.88</f>
        <v>163.88</v>
      </c>
      <c r="N21" s="22">
        <f>0</f>
        <v>0</v>
      </c>
      <c r="O21" s="22">
        <f>0</f>
        <v>0</v>
      </c>
      <c r="P21" s="22">
        <f>0</f>
        <v>0</v>
      </c>
      <c r="Q21" s="22">
        <f>0</f>
        <v>0</v>
      </c>
    </row>
    <row r="22" spans="1:17" ht="24.75" customHeight="1" x14ac:dyDescent="0.2">
      <c r="A22" s="18" t="s">
        <v>52</v>
      </c>
      <c r="B22" s="23">
        <f>20774966.25</f>
        <v>20774966.25</v>
      </c>
      <c r="C22" s="23">
        <f>20774966.25</f>
        <v>20774966.25</v>
      </c>
      <c r="D22" s="23">
        <f>0</f>
        <v>0</v>
      </c>
      <c r="E22" s="23">
        <f>0</f>
        <v>0</v>
      </c>
      <c r="F22" s="23">
        <f>0</f>
        <v>0</v>
      </c>
      <c r="G22" s="23">
        <f>0</f>
        <v>0</v>
      </c>
      <c r="H22" s="23">
        <f>0</f>
        <v>0</v>
      </c>
      <c r="I22" s="23">
        <f>0</f>
        <v>0</v>
      </c>
      <c r="J22" s="23">
        <f>0</f>
        <v>0</v>
      </c>
      <c r="K22" s="23">
        <f>0</f>
        <v>0</v>
      </c>
      <c r="L22" s="23">
        <f>20774802.37</f>
        <v>20774802.370000001</v>
      </c>
      <c r="M22" s="23">
        <f>163.88</f>
        <v>163.88</v>
      </c>
      <c r="N22" s="23">
        <f>0</f>
        <v>0</v>
      </c>
      <c r="O22" s="23">
        <f>0</f>
        <v>0</v>
      </c>
      <c r="P22" s="23">
        <f>0</f>
        <v>0</v>
      </c>
      <c r="Q22" s="23">
        <f>0</f>
        <v>0</v>
      </c>
    </row>
    <row r="23" spans="1:17" ht="24.75" customHeight="1" x14ac:dyDescent="0.2">
      <c r="A23" s="18" t="s">
        <v>53</v>
      </c>
      <c r="B23" s="23">
        <f>0</f>
        <v>0</v>
      </c>
      <c r="C23" s="23">
        <f>0</f>
        <v>0</v>
      </c>
      <c r="D23" s="23">
        <f>0</f>
        <v>0</v>
      </c>
      <c r="E23" s="23">
        <f>0</f>
        <v>0</v>
      </c>
      <c r="F23" s="23">
        <f>0</f>
        <v>0</v>
      </c>
      <c r="G23" s="23">
        <f>0</f>
        <v>0</v>
      </c>
      <c r="H23" s="23">
        <f>0</f>
        <v>0</v>
      </c>
      <c r="I23" s="23">
        <f>0</f>
        <v>0</v>
      </c>
      <c r="J23" s="23">
        <f>0</f>
        <v>0</v>
      </c>
      <c r="K23" s="23">
        <f>0</f>
        <v>0</v>
      </c>
      <c r="L23" s="23">
        <f>0</f>
        <v>0</v>
      </c>
      <c r="M23" s="23">
        <f>0</f>
        <v>0</v>
      </c>
      <c r="N23" s="23">
        <f>0</f>
        <v>0</v>
      </c>
      <c r="O23" s="23">
        <f>0</f>
        <v>0</v>
      </c>
      <c r="P23" s="23">
        <f>0</f>
        <v>0</v>
      </c>
      <c r="Q23" s="23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45.75" customHeight="1" x14ac:dyDescent="0.2">
      <c r="A29" s="36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III Kwartały 2025 roku                 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1" spans="1:17" ht="13.5" customHeight="1" x14ac:dyDescent="0.2">
      <c r="A31" s="45" t="s">
        <v>11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</row>
    <row r="33" spans="1:17" ht="13.5" customHeight="1" x14ac:dyDescent="0.2">
      <c r="A33" s="62" t="s">
        <v>0</v>
      </c>
      <c r="B33" s="37" t="s">
        <v>12</v>
      </c>
      <c r="C33" s="76" t="s">
        <v>14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8"/>
      <c r="O33" s="76" t="s">
        <v>24</v>
      </c>
      <c r="P33" s="77"/>
      <c r="Q33" s="78"/>
    </row>
    <row r="34" spans="1:17" ht="13.5" customHeight="1" x14ac:dyDescent="0.2">
      <c r="A34" s="63"/>
      <c r="B34" s="38"/>
      <c r="C34" s="38" t="s">
        <v>13</v>
      </c>
      <c r="D34" s="35" t="s">
        <v>15</v>
      </c>
      <c r="E34" s="35" t="s">
        <v>25</v>
      </c>
      <c r="F34" s="35" t="s">
        <v>26</v>
      </c>
      <c r="G34" s="35" t="s">
        <v>71</v>
      </c>
      <c r="H34" s="35" t="s">
        <v>28</v>
      </c>
      <c r="I34" s="35" t="s">
        <v>1</v>
      </c>
      <c r="J34" s="35" t="s">
        <v>16</v>
      </c>
      <c r="K34" s="35" t="s">
        <v>17</v>
      </c>
      <c r="L34" s="35" t="s">
        <v>18</v>
      </c>
      <c r="M34" s="35" t="s">
        <v>19</v>
      </c>
      <c r="N34" s="40" t="s">
        <v>20</v>
      </c>
      <c r="O34" s="35" t="s">
        <v>21</v>
      </c>
      <c r="P34" s="35" t="s">
        <v>22</v>
      </c>
      <c r="Q34" s="37" t="s">
        <v>23</v>
      </c>
    </row>
    <row r="35" spans="1:17" ht="13.5" customHeight="1" x14ac:dyDescent="0.2">
      <c r="A35" s="63"/>
      <c r="B35" s="38"/>
      <c r="C35" s="38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40"/>
      <c r="O35" s="35"/>
      <c r="P35" s="35"/>
      <c r="Q35" s="38"/>
    </row>
    <row r="36" spans="1:17" ht="11.25" customHeight="1" x14ac:dyDescent="0.2">
      <c r="A36" s="63"/>
      <c r="B36" s="38"/>
      <c r="C36" s="38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40"/>
      <c r="O36" s="35"/>
      <c r="P36" s="35"/>
      <c r="Q36" s="38"/>
    </row>
    <row r="37" spans="1:17" ht="11.25" customHeight="1" x14ac:dyDescent="0.2">
      <c r="A37" s="64"/>
      <c r="B37" s="39"/>
      <c r="C37" s="39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40"/>
      <c r="O37" s="35"/>
      <c r="P37" s="35"/>
      <c r="Q37" s="39"/>
    </row>
    <row r="38" spans="1:17" ht="11.2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3.5" customHeight="1" x14ac:dyDescent="0.2">
      <c r="A39" s="14"/>
      <c r="B39" s="73" t="s">
        <v>77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5"/>
    </row>
    <row r="40" spans="1:17" ht="33.75" customHeight="1" x14ac:dyDescent="0.2">
      <c r="A40" s="21" t="s">
        <v>40</v>
      </c>
      <c r="B40" s="24">
        <f>0</f>
        <v>0</v>
      </c>
      <c r="C40" s="24">
        <f>0</f>
        <v>0</v>
      </c>
      <c r="D40" s="24">
        <f>0</f>
        <v>0</v>
      </c>
      <c r="E40" s="24">
        <f>0</f>
        <v>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21.75" customHeight="1" x14ac:dyDescent="0.2">
      <c r="A41" s="19" t="s">
        <v>29</v>
      </c>
      <c r="B41" s="25">
        <f>0</f>
        <v>0</v>
      </c>
      <c r="C41" s="25">
        <f>0</f>
        <v>0</v>
      </c>
      <c r="D41" s="25">
        <f>0</f>
        <v>0</v>
      </c>
      <c r="E41" s="25">
        <f>0</f>
        <v>0</v>
      </c>
      <c r="F41" s="25">
        <f>0</f>
        <v>0</v>
      </c>
      <c r="G41" s="25">
        <f>0</f>
        <v>0</v>
      </c>
      <c r="H41" s="25">
        <f>0</f>
        <v>0</v>
      </c>
      <c r="I41" s="25">
        <f>0</f>
        <v>0</v>
      </c>
      <c r="J41" s="25">
        <f>0</f>
        <v>0</v>
      </c>
      <c r="K41" s="25">
        <f>0</f>
        <v>0</v>
      </c>
      <c r="L41" s="25">
        <f>0</f>
        <v>0</v>
      </c>
      <c r="M41" s="25">
        <f>0</f>
        <v>0</v>
      </c>
      <c r="N41" s="25">
        <f>0</f>
        <v>0</v>
      </c>
      <c r="O41" s="25">
        <f>0</f>
        <v>0</v>
      </c>
      <c r="P41" s="25">
        <f>0</f>
        <v>0</v>
      </c>
      <c r="Q41" s="25">
        <f>0</f>
        <v>0</v>
      </c>
    </row>
    <row r="42" spans="1:17" ht="21.75" customHeight="1" x14ac:dyDescent="0.2">
      <c r="A42" s="19" t="s">
        <v>30</v>
      </c>
      <c r="B42" s="25">
        <f>0</f>
        <v>0</v>
      </c>
      <c r="C42" s="25">
        <f>0</f>
        <v>0</v>
      </c>
      <c r="D42" s="25">
        <f>0</f>
        <v>0</v>
      </c>
      <c r="E42" s="25">
        <f>0</f>
        <v>0</v>
      </c>
      <c r="F42" s="25">
        <f>0</f>
        <v>0</v>
      </c>
      <c r="G42" s="25">
        <f>0</f>
        <v>0</v>
      </c>
      <c r="H42" s="25">
        <f>0</f>
        <v>0</v>
      </c>
      <c r="I42" s="25">
        <f>0</f>
        <v>0</v>
      </c>
      <c r="J42" s="25">
        <f>0</f>
        <v>0</v>
      </c>
      <c r="K42" s="25">
        <f>0</f>
        <v>0</v>
      </c>
      <c r="L42" s="25">
        <f>0</f>
        <v>0</v>
      </c>
      <c r="M42" s="25">
        <f>0</f>
        <v>0</v>
      </c>
      <c r="N42" s="25">
        <f>0</f>
        <v>0</v>
      </c>
      <c r="O42" s="25">
        <f>0</f>
        <v>0</v>
      </c>
      <c r="P42" s="25">
        <f>0</f>
        <v>0</v>
      </c>
      <c r="Q42" s="25">
        <f>0</f>
        <v>0</v>
      </c>
    </row>
    <row r="43" spans="1:17" ht="33.75" customHeight="1" x14ac:dyDescent="0.2">
      <c r="A43" s="21" t="s">
        <v>41</v>
      </c>
      <c r="B43" s="24">
        <f>1532809.99</f>
        <v>1532809.99</v>
      </c>
      <c r="C43" s="24">
        <f>1532809.99</f>
        <v>1532809.99</v>
      </c>
      <c r="D43" s="24">
        <f>1532809.99</f>
        <v>1532809.99</v>
      </c>
      <c r="E43" s="24">
        <f>0</f>
        <v>0</v>
      </c>
      <c r="F43" s="24">
        <f>0</f>
        <v>0</v>
      </c>
      <c r="G43" s="24">
        <f>1532809.99</f>
        <v>1532809.99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0</f>
        <v>0</v>
      </c>
      <c r="M43" s="24">
        <f>0</f>
        <v>0</v>
      </c>
      <c r="N43" s="24">
        <f>0</f>
        <v>0</v>
      </c>
      <c r="O43" s="24">
        <f>0</f>
        <v>0</v>
      </c>
      <c r="P43" s="24">
        <f>0</f>
        <v>0</v>
      </c>
      <c r="Q43" s="24">
        <f>0</f>
        <v>0</v>
      </c>
    </row>
    <row r="44" spans="1:17" ht="21.75" customHeight="1" x14ac:dyDescent="0.2">
      <c r="A44" s="19" t="s">
        <v>31</v>
      </c>
      <c r="B44" s="25">
        <f>0</f>
        <v>0</v>
      </c>
      <c r="C44" s="25">
        <f>0</f>
        <v>0</v>
      </c>
      <c r="D44" s="25">
        <f>0</f>
        <v>0</v>
      </c>
      <c r="E44" s="25">
        <f>0</f>
        <v>0</v>
      </c>
      <c r="F44" s="25">
        <f>0</f>
        <v>0</v>
      </c>
      <c r="G44" s="25">
        <f>0</f>
        <v>0</v>
      </c>
      <c r="H44" s="25">
        <f>0</f>
        <v>0</v>
      </c>
      <c r="I44" s="25">
        <f>0</f>
        <v>0</v>
      </c>
      <c r="J44" s="25">
        <f>0</f>
        <v>0</v>
      </c>
      <c r="K44" s="25">
        <f>0</f>
        <v>0</v>
      </c>
      <c r="L44" s="25">
        <f>0</f>
        <v>0</v>
      </c>
      <c r="M44" s="25">
        <f>0</f>
        <v>0</v>
      </c>
      <c r="N44" s="25">
        <f>0</f>
        <v>0</v>
      </c>
      <c r="O44" s="25">
        <f>0</f>
        <v>0</v>
      </c>
      <c r="P44" s="25">
        <f>0</f>
        <v>0</v>
      </c>
      <c r="Q44" s="25">
        <f>0</f>
        <v>0</v>
      </c>
    </row>
    <row r="45" spans="1:17" ht="21.75" customHeight="1" x14ac:dyDescent="0.2">
      <c r="A45" s="19" t="s">
        <v>32</v>
      </c>
      <c r="B45" s="25">
        <f>1532809.99</f>
        <v>1532809.99</v>
      </c>
      <c r="C45" s="25">
        <f>1532809.99</f>
        <v>1532809.99</v>
      </c>
      <c r="D45" s="25">
        <f>1532809.99</f>
        <v>1532809.99</v>
      </c>
      <c r="E45" s="25">
        <f>0</f>
        <v>0</v>
      </c>
      <c r="F45" s="25">
        <f>0</f>
        <v>0</v>
      </c>
      <c r="G45" s="25">
        <f>1532809.99</f>
        <v>1532809.99</v>
      </c>
      <c r="H45" s="25">
        <f>0</f>
        <v>0</v>
      </c>
      <c r="I45" s="25">
        <f>0</f>
        <v>0</v>
      </c>
      <c r="J45" s="25">
        <f>0</f>
        <v>0</v>
      </c>
      <c r="K45" s="25">
        <f>0</f>
        <v>0</v>
      </c>
      <c r="L45" s="25">
        <f>0</f>
        <v>0</v>
      </c>
      <c r="M45" s="25">
        <f>0</f>
        <v>0</v>
      </c>
      <c r="N45" s="25">
        <f>0</f>
        <v>0</v>
      </c>
      <c r="O45" s="25">
        <f>0</f>
        <v>0</v>
      </c>
      <c r="P45" s="25">
        <f>0</f>
        <v>0</v>
      </c>
      <c r="Q45" s="25">
        <f>0</f>
        <v>0</v>
      </c>
    </row>
    <row r="46" spans="1:17" ht="38.25" customHeight="1" x14ac:dyDescent="0.2">
      <c r="A46" s="21" t="s">
        <v>42</v>
      </c>
      <c r="B46" s="24">
        <f>1451895834.4</f>
        <v>1451895834.4000001</v>
      </c>
      <c r="C46" s="24">
        <f>1451895834.4</f>
        <v>1451895834.4000001</v>
      </c>
      <c r="D46" s="24">
        <f>892801.48</f>
        <v>892801.48</v>
      </c>
      <c r="E46" s="24">
        <f>0</f>
        <v>0</v>
      </c>
      <c r="F46" s="24">
        <f>0</f>
        <v>0</v>
      </c>
      <c r="G46" s="24">
        <f>892801.48</f>
        <v>892801.48</v>
      </c>
      <c r="H46" s="24">
        <f>0</f>
        <v>0</v>
      </c>
      <c r="I46" s="24">
        <f>0</f>
        <v>0</v>
      </c>
      <c r="J46" s="24">
        <f>1450894855.23</f>
        <v>1450894855.23</v>
      </c>
      <c r="K46" s="24">
        <f>0</f>
        <v>0</v>
      </c>
      <c r="L46" s="24">
        <f>108177.69</f>
        <v>108177.69</v>
      </c>
      <c r="M46" s="24">
        <f>0</f>
        <v>0</v>
      </c>
      <c r="N46" s="24">
        <f>0</f>
        <v>0</v>
      </c>
      <c r="O46" s="24">
        <f>0</f>
        <v>0</v>
      </c>
      <c r="P46" s="24">
        <f>0</f>
        <v>0</v>
      </c>
      <c r="Q46" s="24">
        <f>0</f>
        <v>0</v>
      </c>
    </row>
    <row r="47" spans="1:17" ht="21.75" customHeight="1" x14ac:dyDescent="0.2">
      <c r="A47" s="19" t="s">
        <v>33</v>
      </c>
      <c r="B47" s="25">
        <f>743193.98</f>
        <v>743193.98</v>
      </c>
      <c r="C47" s="25">
        <f>743193.98</f>
        <v>743193.98</v>
      </c>
      <c r="D47" s="25">
        <f>743193.98</f>
        <v>743193.98</v>
      </c>
      <c r="E47" s="25">
        <f>0</f>
        <v>0</v>
      </c>
      <c r="F47" s="25">
        <f>0</f>
        <v>0</v>
      </c>
      <c r="G47" s="25">
        <f>743193.98</f>
        <v>743193.98</v>
      </c>
      <c r="H47" s="25">
        <f>0</f>
        <v>0</v>
      </c>
      <c r="I47" s="25">
        <f>0</f>
        <v>0</v>
      </c>
      <c r="J47" s="25">
        <f>0</f>
        <v>0</v>
      </c>
      <c r="K47" s="25">
        <f>0</f>
        <v>0</v>
      </c>
      <c r="L47" s="25">
        <f>0</f>
        <v>0</v>
      </c>
      <c r="M47" s="25">
        <f>0</f>
        <v>0</v>
      </c>
      <c r="N47" s="25">
        <f>0</f>
        <v>0</v>
      </c>
      <c r="O47" s="25">
        <f>0</f>
        <v>0</v>
      </c>
      <c r="P47" s="25">
        <f>0</f>
        <v>0</v>
      </c>
      <c r="Q47" s="25">
        <f>0</f>
        <v>0</v>
      </c>
    </row>
    <row r="48" spans="1:17" ht="21.75" customHeight="1" x14ac:dyDescent="0.2">
      <c r="A48" s="19" t="s">
        <v>34</v>
      </c>
      <c r="B48" s="25">
        <f>1140951919.28</f>
        <v>1140951919.28</v>
      </c>
      <c r="C48" s="25">
        <f>1140951919.28</f>
        <v>1140951919.28</v>
      </c>
      <c r="D48" s="25">
        <f>104125</f>
        <v>104125</v>
      </c>
      <c r="E48" s="25">
        <f>0</f>
        <v>0</v>
      </c>
      <c r="F48" s="25">
        <f>0</f>
        <v>0</v>
      </c>
      <c r="G48" s="25">
        <f>104125</f>
        <v>104125</v>
      </c>
      <c r="H48" s="25">
        <f>0</f>
        <v>0</v>
      </c>
      <c r="I48" s="25">
        <f>0</f>
        <v>0</v>
      </c>
      <c r="J48" s="25">
        <f>1140847794.28</f>
        <v>1140847794.28</v>
      </c>
      <c r="K48" s="25">
        <f>0</f>
        <v>0</v>
      </c>
      <c r="L48" s="25">
        <f>0</f>
        <v>0</v>
      </c>
      <c r="M48" s="25">
        <f>0</f>
        <v>0</v>
      </c>
      <c r="N48" s="25">
        <f>0</f>
        <v>0</v>
      </c>
      <c r="O48" s="25">
        <f>0</f>
        <v>0</v>
      </c>
      <c r="P48" s="25">
        <f>0</f>
        <v>0</v>
      </c>
      <c r="Q48" s="25">
        <f>0</f>
        <v>0</v>
      </c>
    </row>
    <row r="49" spans="1:17" ht="21.75" customHeight="1" x14ac:dyDescent="0.2">
      <c r="A49" s="19" t="s">
        <v>35</v>
      </c>
      <c r="B49" s="25">
        <f>310200721.14</f>
        <v>310200721.13999999</v>
      </c>
      <c r="C49" s="25">
        <f>310200721.14</f>
        <v>310200721.13999999</v>
      </c>
      <c r="D49" s="25">
        <f>45482.5</f>
        <v>45482.5</v>
      </c>
      <c r="E49" s="25">
        <f>0</f>
        <v>0</v>
      </c>
      <c r="F49" s="25">
        <f>0</f>
        <v>0</v>
      </c>
      <c r="G49" s="25">
        <f>45482.5</f>
        <v>45482.5</v>
      </c>
      <c r="H49" s="25">
        <f>0</f>
        <v>0</v>
      </c>
      <c r="I49" s="25">
        <f>0</f>
        <v>0</v>
      </c>
      <c r="J49" s="25">
        <f>310047060.95</f>
        <v>310047060.94999999</v>
      </c>
      <c r="K49" s="25">
        <f>0</f>
        <v>0</v>
      </c>
      <c r="L49" s="25">
        <f>108177.69</f>
        <v>108177.69</v>
      </c>
      <c r="M49" s="25">
        <f>0</f>
        <v>0</v>
      </c>
      <c r="N49" s="25">
        <f>0</f>
        <v>0</v>
      </c>
      <c r="O49" s="25">
        <f>0</f>
        <v>0</v>
      </c>
      <c r="P49" s="25">
        <f>0</f>
        <v>0</v>
      </c>
      <c r="Q49" s="25">
        <f>0</f>
        <v>0</v>
      </c>
    </row>
    <row r="50" spans="1:17" ht="38.25" customHeight="1" x14ac:dyDescent="0.2">
      <c r="A50" s="21" t="s">
        <v>43</v>
      </c>
      <c r="B50" s="24">
        <f>522946115.89</f>
        <v>522946115.88999999</v>
      </c>
      <c r="C50" s="24">
        <f>522946115.89</f>
        <v>522946115.88999999</v>
      </c>
      <c r="D50" s="24">
        <f>3930392.98</f>
        <v>3930392.98</v>
      </c>
      <c r="E50" s="24">
        <f>145830.8</f>
        <v>145830.79999999999</v>
      </c>
      <c r="F50" s="24">
        <f>107649.37</f>
        <v>107649.37</v>
      </c>
      <c r="G50" s="24">
        <f>3671785.62</f>
        <v>3671785.62</v>
      </c>
      <c r="H50" s="24">
        <f>5127.19</f>
        <v>5127.1899999999996</v>
      </c>
      <c r="I50" s="24">
        <f>0</f>
        <v>0</v>
      </c>
      <c r="J50" s="24">
        <f>1883</f>
        <v>1883</v>
      </c>
      <c r="K50" s="24">
        <f>38475.75</f>
        <v>38475.75</v>
      </c>
      <c r="L50" s="24">
        <f>28184985.82</f>
        <v>28184985.82</v>
      </c>
      <c r="M50" s="24">
        <f>490155762.17</f>
        <v>490155762.17000002</v>
      </c>
      <c r="N50" s="24">
        <f>634616.17</f>
        <v>634616.17000000004</v>
      </c>
      <c r="O50" s="24">
        <f>0</f>
        <v>0</v>
      </c>
      <c r="P50" s="24">
        <f>0</f>
        <v>0</v>
      </c>
      <c r="Q50" s="24">
        <f>0</f>
        <v>0</v>
      </c>
    </row>
    <row r="51" spans="1:17" ht="32.25" customHeight="1" x14ac:dyDescent="0.2">
      <c r="A51" s="19" t="s">
        <v>36</v>
      </c>
      <c r="B51" s="25">
        <f>15329959.82</f>
        <v>15329959.82</v>
      </c>
      <c r="C51" s="25">
        <f>15329959.82</f>
        <v>15329959.82</v>
      </c>
      <c r="D51" s="25">
        <f>1974668.98</f>
        <v>1974668.98</v>
      </c>
      <c r="E51" s="25">
        <f>0</f>
        <v>0</v>
      </c>
      <c r="F51" s="25">
        <f>0</f>
        <v>0</v>
      </c>
      <c r="G51" s="25">
        <f>1974668.98</f>
        <v>1974668.98</v>
      </c>
      <c r="H51" s="25">
        <f>0</f>
        <v>0</v>
      </c>
      <c r="I51" s="25">
        <f>0</f>
        <v>0</v>
      </c>
      <c r="J51" s="25">
        <f>0</f>
        <v>0</v>
      </c>
      <c r="K51" s="25">
        <f>0</f>
        <v>0</v>
      </c>
      <c r="L51" s="25">
        <f>7912806.83</f>
        <v>7912806.8300000001</v>
      </c>
      <c r="M51" s="25">
        <f>5379412.88</f>
        <v>5379412.8799999999</v>
      </c>
      <c r="N51" s="25">
        <f>63071.13</f>
        <v>63071.13</v>
      </c>
      <c r="O51" s="25">
        <f>0</f>
        <v>0</v>
      </c>
      <c r="P51" s="25">
        <f>0</f>
        <v>0</v>
      </c>
      <c r="Q51" s="25">
        <f>0</f>
        <v>0</v>
      </c>
    </row>
    <row r="52" spans="1:17" ht="21.75" customHeight="1" x14ac:dyDescent="0.2">
      <c r="A52" s="19" t="s">
        <v>37</v>
      </c>
      <c r="B52" s="25">
        <f>507616156.07</f>
        <v>507616156.06999999</v>
      </c>
      <c r="C52" s="25">
        <f>507616156.07</f>
        <v>507616156.06999999</v>
      </c>
      <c r="D52" s="25">
        <f>1955724</f>
        <v>1955724</v>
      </c>
      <c r="E52" s="25">
        <f>145830.8</f>
        <v>145830.79999999999</v>
      </c>
      <c r="F52" s="25">
        <f>107649.37</f>
        <v>107649.37</v>
      </c>
      <c r="G52" s="25">
        <f>1697116.64</f>
        <v>1697116.64</v>
      </c>
      <c r="H52" s="25">
        <f>5127.19</f>
        <v>5127.1899999999996</v>
      </c>
      <c r="I52" s="25">
        <f>0</f>
        <v>0</v>
      </c>
      <c r="J52" s="25">
        <f>1883</f>
        <v>1883</v>
      </c>
      <c r="K52" s="25">
        <f>38475.75</f>
        <v>38475.75</v>
      </c>
      <c r="L52" s="25">
        <f>20272178.99</f>
        <v>20272178.989999998</v>
      </c>
      <c r="M52" s="25">
        <f>484776349.29</f>
        <v>484776349.29000002</v>
      </c>
      <c r="N52" s="25">
        <f>571545.04</f>
        <v>571545.04</v>
      </c>
      <c r="O52" s="25">
        <f>0</f>
        <v>0</v>
      </c>
      <c r="P52" s="25">
        <f>0</f>
        <v>0</v>
      </c>
      <c r="Q52" s="25">
        <f>0</f>
        <v>0</v>
      </c>
    </row>
    <row r="53" spans="1:17" ht="38.25" customHeight="1" x14ac:dyDescent="0.2">
      <c r="A53" s="21" t="s">
        <v>44</v>
      </c>
      <c r="B53" s="24">
        <f>793131660.17</f>
        <v>793131660.16999996</v>
      </c>
      <c r="C53" s="24">
        <f>793130059.17</f>
        <v>793130059.16999996</v>
      </c>
      <c r="D53" s="24">
        <f>582421400.41</f>
        <v>582421400.40999997</v>
      </c>
      <c r="E53" s="24">
        <f>62731974.11</f>
        <v>62731974.109999999</v>
      </c>
      <c r="F53" s="24">
        <f>3716775.4</f>
        <v>3716775.4</v>
      </c>
      <c r="G53" s="24">
        <f>515956867.74</f>
        <v>515956867.74000001</v>
      </c>
      <c r="H53" s="24">
        <f>15783.16</f>
        <v>15783.16</v>
      </c>
      <c r="I53" s="24">
        <f>0</f>
        <v>0</v>
      </c>
      <c r="J53" s="24">
        <f>38546.47</f>
        <v>38546.47</v>
      </c>
      <c r="K53" s="24">
        <f>5895.83</f>
        <v>5895.83</v>
      </c>
      <c r="L53" s="24">
        <f>66510287.87</f>
        <v>66510287.869999997</v>
      </c>
      <c r="M53" s="24">
        <f>137490233.35</f>
        <v>137490233.34999999</v>
      </c>
      <c r="N53" s="24">
        <f>6663695.24</f>
        <v>6663695.2400000002</v>
      </c>
      <c r="O53" s="24">
        <f>1601</f>
        <v>1601</v>
      </c>
      <c r="P53" s="24">
        <f>0</f>
        <v>0</v>
      </c>
      <c r="Q53" s="24">
        <f>1601</f>
        <v>1601</v>
      </c>
    </row>
    <row r="54" spans="1:17" ht="26.25" customHeight="1" x14ac:dyDescent="0.2">
      <c r="A54" s="19" t="s">
        <v>38</v>
      </c>
      <c r="B54" s="25">
        <f>60742339.46</f>
        <v>60742339.460000001</v>
      </c>
      <c r="C54" s="25">
        <f>60740738.46</f>
        <v>60740738.460000001</v>
      </c>
      <c r="D54" s="25">
        <f>30943571.14</f>
        <v>30943571.140000001</v>
      </c>
      <c r="E54" s="25">
        <f>4550106.91</f>
        <v>4550106.91</v>
      </c>
      <c r="F54" s="25">
        <f>2898279.17</f>
        <v>2898279.17</v>
      </c>
      <c r="G54" s="25">
        <f>23494754.84</f>
        <v>23494754.84</v>
      </c>
      <c r="H54" s="25">
        <f>430.22</f>
        <v>430.22</v>
      </c>
      <c r="I54" s="25">
        <f>0</f>
        <v>0</v>
      </c>
      <c r="J54" s="25">
        <f>175.31</f>
        <v>175.31</v>
      </c>
      <c r="K54" s="25">
        <f>0</f>
        <v>0</v>
      </c>
      <c r="L54" s="25">
        <f>26838438.48</f>
        <v>26838438.48</v>
      </c>
      <c r="M54" s="25">
        <f>2780718.62</f>
        <v>2780718.62</v>
      </c>
      <c r="N54" s="25">
        <f>177834.91</f>
        <v>177834.91</v>
      </c>
      <c r="O54" s="25">
        <f>1601</f>
        <v>1601</v>
      </c>
      <c r="P54" s="25">
        <f>0</f>
        <v>0</v>
      </c>
      <c r="Q54" s="25">
        <f>1601</f>
        <v>1601</v>
      </c>
    </row>
    <row r="55" spans="1:17" ht="29.25" customHeight="1" x14ac:dyDescent="0.2">
      <c r="A55" s="19" t="s">
        <v>80</v>
      </c>
      <c r="B55" s="25">
        <f>14662013.69</f>
        <v>14662013.689999999</v>
      </c>
      <c r="C55" s="25">
        <f>14662013.69</f>
        <v>14662013.689999999</v>
      </c>
      <c r="D55" s="25">
        <f>3656817.32</f>
        <v>3656817.32</v>
      </c>
      <c r="E55" s="25">
        <f>3502425.81</f>
        <v>3502425.81</v>
      </c>
      <c r="F55" s="25">
        <f>38724.15</f>
        <v>38724.15</v>
      </c>
      <c r="G55" s="25">
        <f>109862.25</f>
        <v>109862.25</v>
      </c>
      <c r="H55" s="25">
        <f>5805.11</f>
        <v>5805.11</v>
      </c>
      <c r="I55" s="25">
        <f>0</f>
        <v>0</v>
      </c>
      <c r="J55" s="25">
        <f>2782.5</f>
        <v>2782.5</v>
      </c>
      <c r="K55" s="25">
        <f>4139.45</f>
        <v>4139.45</v>
      </c>
      <c r="L55" s="25">
        <f>1424298.16</f>
        <v>1424298.16</v>
      </c>
      <c r="M55" s="25">
        <f>9172038.69</f>
        <v>9172038.6899999995</v>
      </c>
      <c r="N55" s="25">
        <f>401937.57</f>
        <v>401937.57</v>
      </c>
      <c r="O55" s="25">
        <f>0</f>
        <v>0</v>
      </c>
      <c r="P55" s="25">
        <f>0</f>
        <v>0</v>
      </c>
      <c r="Q55" s="25">
        <f>0</f>
        <v>0</v>
      </c>
    </row>
    <row r="56" spans="1:17" ht="33.75" customHeight="1" x14ac:dyDescent="0.2">
      <c r="A56" s="19" t="s">
        <v>39</v>
      </c>
      <c r="B56" s="25">
        <f>717727307.02</f>
        <v>717727307.01999998</v>
      </c>
      <c r="C56" s="25">
        <f>717727307.02</f>
        <v>717727307.01999998</v>
      </c>
      <c r="D56" s="25">
        <f>547821011.95</f>
        <v>547821011.95000005</v>
      </c>
      <c r="E56" s="25">
        <f>54679441.39</f>
        <v>54679441.390000001</v>
      </c>
      <c r="F56" s="25">
        <f>779772.08</f>
        <v>779772.08</v>
      </c>
      <c r="G56" s="25">
        <f>492352250.65</f>
        <v>492352250.64999998</v>
      </c>
      <c r="H56" s="25">
        <f>9547.83</f>
        <v>9547.83</v>
      </c>
      <c r="I56" s="25">
        <f>0</f>
        <v>0</v>
      </c>
      <c r="J56" s="25">
        <f>35588.66</f>
        <v>35588.660000000003</v>
      </c>
      <c r="K56" s="25">
        <f>1756.38</f>
        <v>1756.38</v>
      </c>
      <c r="L56" s="25">
        <f>38247551.23</f>
        <v>38247551.229999997</v>
      </c>
      <c r="M56" s="25">
        <f>125537476.04</f>
        <v>125537476.04000001</v>
      </c>
      <c r="N56" s="25">
        <f>6083922.76</f>
        <v>6083922.7599999998</v>
      </c>
      <c r="O56" s="25">
        <f>0</f>
        <v>0</v>
      </c>
      <c r="P56" s="25">
        <f>0</f>
        <v>0</v>
      </c>
      <c r="Q56" s="25">
        <f>0</f>
        <v>0</v>
      </c>
    </row>
    <row r="66" spans="1:13" ht="64.5" customHeight="1" x14ac:dyDescent="0.2">
      <c r="A66" s="36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III Kwartały 2025 roku                 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3.5" customHeight="1" x14ac:dyDescent="0.2">
      <c r="B68" s="45" t="s">
        <v>2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</row>
    <row r="70" spans="1:13" ht="16.5" customHeight="1" x14ac:dyDescent="0.2">
      <c r="B70" s="47" t="s">
        <v>0</v>
      </c>
      <c r="C70" s="48"/>
      <c r="D70" s="48"/>
      <c r="E70" s="49"/>
      <c r="F70" s="82" t="s">
        <v>69</v>
      </c>
      <c r="G70" s="28" t="s">
        <v>75</v>
      </c>
      <c r="H70" s="59"/>
      <c r="I70" s="59"/>
      <c r="J70" s="59"/>
      <c r="K70" s="59"/>
      <c r="L70" s="46"/>
    </row>
    <row r="71" spans="1:13" ht="13.5" customHeight="1" x14ac:dyDescent="0.2">
      <c r="B71" s="50"/>
      <c r="C71" s="51"/>
      <c r="D71" s="51"/>
      <c r="E71" s="52"/>
      <c r="F71" s="83"/>
      <c r="G71" s="85" t="s">
        <v>70</v>
      </c>
      <c r="H71" s="27" t="s">
        <v>67</v>
      </c>
      <c r="I71" s="27" t="s">
        <v>68</v>
      </c>
      <c r="J71" s="27" t="s">
        <v>71</v>
      </c>
      <c r="K71" s="27" t="s">
        <v>72</v>
      </c>
      <c r="L71" s="31" t="s">
        <v>73</v>
      </c>
    </row>
    <row r="72" spans="1:13" ht="13.5" customHeight="1" x14ac:dyDescent="0.2">
      <c r="B72" s="50"/>
      <c r="C72" s="51"/>
      <c r="D72" s="51"/>
      <c r="E72" s="52"/>
      <c r="F72" s="83"/>
      <c r="G72" s="85"/>
      <c r="H72" s="27"/>
      <c r="I72" s="27"/>
      <c r="J72" s="27"/>
      <c r="K72" s="27"/>
      <c r="L72" s="31"/>
    </row>
    <row r="73" spans="1:13" ht="11.25" customHeight="1" x14ac:dyDescent="0.2">
      <c r="B73" s="50"/>
      <c r="C73" s="51"/>
      <c r="D73" s="51"/>
      <c r="E73" s="52"/>
      <c r="F73" s="83"/>
      <c r="G73" s="85"/>
      <c r="H73" s="27"/>
      <c r="I73" s="27"/>
      <c r="J73" s="27"/>
      <c r="K73" s="27"/>
      <c r="L73" s="31"/>
    </row>
    <row r="74" spans="1:13" ht="11.25" customHeight="1" x14ac:dyDescent="0.2">
      <c r="B74" s="53"/>
      <c r="C74" s="54"/>
      <c r="D74" s="54"/>
      <c r="E74" s="55"/>
      <c r="F74" s="84"/>
      <c r="G74" s="85"/>
      <c r="H74" s="27"/>
      <c r="I74" s="27"/>
      <c r="J74" s="27"/>
      <c r="K74" s="27"/>
      <c r="L74" s="31"/>
    </row>
    <row r="75" spans="1:13" ht="11.25" customHeight="1" x14ac:dyDescent="0.2">
      <c r="B75" s="27">
        <v>1</v>
      </c>
      <c r="C75" s="27"/>
      <c r="D75" s="27"/>
      <c r="E75" s="27"/>
      <c r="F75" s="3">
        <v>2</v>
      </c>
      <c r="G75" s="3">
        <v>3</v>
      </c>
      <c r="H75" s="3">
        <v>4</v>
      </c>
      <c r="I75" s="3">
        <v>5</v>
      </c>
      <c r="J75" s="3">
        <v>6</v>
      </c>
      <c r="K75" s="3">
        <v>7</v>
      </c>
      <c r="L75" s="3">
        <v>8</v>
      </c>
    </row>
    <row r="76" spans="1:13" ht="13.5" customHeight="1" x14ac:dyDescent="0.2">
      <c r="B76" s="27"/>
      <c r="C76" s="27"/>
      <c r="D76" s="27"/>
      <c r="E76" s="27"/>
      <c r="F76" s="28" t="s">
        <v>77</v>
      </c>
      <c r="G76" s="29"/>
      <c r="H76" s="29"/>
      <c r="I76" s="29"/>
      <c r="J76" s="29"/>
      <c r="K76" s="29"/>
      <c r="L76" s="30"/>
    </row>
    <row r="77" spans="1:13" ht="33.75" customHeight="1" x14ac:dyDescent="0.2">
      <c r="B77" s="56" t="s">
        <v>54</v>
      </c>
      <c r="C77" s="57"/>
      <c r="D77" s="57"/>
      <c r="E77" s="58"/>
      <c r="F77" s="26">
        <f>750000</f>
        <v>750000</v>
      </c>
      <c r="G77" s="26">
        <f>0</f>
        <v>0</v>
      </c>
      <c r="H77" s="26">
        <f>0</f>
        <v>0</v>
      </c>
      <c r="I77" s="26">
        <f>0</f>
        <v>0</v>
      </c>
      <c r="J77" s="26">
        <f>0</f>
        <v>0</v>
      </c>
      <c r="K77" s="26">
        <f>0</f>
        <v>0</v>
      </c>
      <c r="L77" s="26">
        <f>750000</f>
        <v>750000</v>
      </c>
    </row>
    <row r="78" spans="1:13" ht="33.75" customHeight="1" x14ac:dyDescent="0.2">
      <c r="B78" s="56" t="s">
        <v>55</v>
      </c>
      <c r="C78" s="57"/>
      <c r="D78" s="57"/>
      <c r="E78" s="58"/>
      <c r="F78" s="26">
        <f>0</f>
        <v>0</v>
      </c>
      <c r="G78" s="26">
        <f>0</f>
        <v>0</v>
      </c>
      <c r="H78" s="26">
        <f>0</f>
        <v>0</v>
      </c>
      <c r="I78" s="26">
        <f>0</f>
        <v>0</v>
      </c>
      <c r="J78" s="26">
        <f>0</f>
        <v>0</v>
      </c>
      <c r="K78" s="26">
        <f>0</f>
        <v>0</v>
      </c>
      <c r="L78" s="26">
        <f>0</f>
        <v>0</v>
      </c>
    </row>
    <row r="79" spans="1:13" ht="33.75" customHeight="1" x14ac:dyDescent="0.2">
      <c r="B79" s="56" t="s">
        <v>56</v>
      </c>
      <c r="C79" s="57"/>
      <c r="D79" s="57"/>
      <c r="E79" s="58"/>
      <c r="F79" s="26">
        <f>0</f>
        <v>0</v>
      </c>
      <c r="G79" s="26">
        <f>0</f>
        <v>0</v>
      </c>
      <c r="H79" s="26">
        <f>0</f>
        <v>0</v>
      </c>
      <c r="I79" s="26">
        <f>0</f>
        <v>0</v>
      </c>
      <c r="J79" s="26">
        <f>0</f>
        <v>0</v>
      </c>
      <c r="K79" s="26">
        <f>0</f>
        <v>0</v>
      </c>
      <c r="L79" s="26">
        <f>0</f>
        <v>0</v>
      </c>
    </row>
    <row r="80" spans="1:13" ht="30" customHeight="1" x14ac:dyDescent="0.2">
      <c r="B80" s="56" t="s">
        <v>57</v>
      </c>
      <c r="C80" s="57"/>
      <c r="D80" s="57"/>
      <c r="E80" s="58"/>
      <c r="F80" s="26">
        <f>0</f>
        <v>0</v>
      </c>
      <c r="G80" s="26">
        <f>0</f>
        <v>0</v>
      </c>
      <c r="H80" s="26">
        <f>0</f>
        <v>0</v>
      </c>
      <c r="I80" s="26">
        <f>0</f>
        <v>0</v>
      </c>
      <c r="J80" s="26">
        <f>0</f>
        <v>0</v>
      </c>
      <c r="K80" s="26">
        <f>0</f>
        <v>0</v>
      </c>
      <c r="L80" s="26">
        <f>0</f>
        <v>0</v>
      </c>
    </row>
    <row r="81" spans="1:13" ht="33.75" customHeight="1" x14ac:dyDescent="0.2">
      <c r="B81" s="56" t="s">
        <v>58</v>
      </c>
      <c r="C81" s="57"/>
      <c r="D81" s="57"/>
      <c r="E81" s="58"/>
      <c r="F81" s="26">
        <f>0</f>
        <v>0</v>
      </c>
      <c r="G81" s="26">
        <f>0</f>
        <v>0</v>
      </c>
      <c r="H81" s="26">
        <f>0</f>
        <v>0</v>
      </c>
      <c r="I81" s="26">
        <f>0</f>
        <v>0</v>
      </c>
      <c r="J81" s="26">
        <f>0</f>
        <v>0</v>
      </c>
      <c r="K81" s="26">
        <f>0</f>
        <v>0</v>
      </c>
      <c r="L81" s="26">
        <f>0</f>
        <v>0</v>
      </c>
    </row>
    <row r="82" spans="1:13" ht="33.75" customHeight="1" x14ac:dyDescent="0.2">
      <c r="B82" s="56" t="s">
        <v>59</v>
      </c>
      <c r="C82" s="57"/>
      <c r="D82" s="57"/>
      <c r="E82" s="58"/>
      <c r="F82" s="26">
        <f>0</f>
        <v>0</v>
      </c>
      <c r="G82" s="26">
        <f>0</f>
        <v>0</v>
      </c>
      <c r="H82" s="26">
        <f>0</f>
        <v>0</v>
      </c>
      <c r="I82" s="26">
        <f>0</f>
        <v>0</v>
      </c>
      <c r="J82" s="26">
        <f>0</f>
        <v>0</v>
      </c>
      <c r="K82" s="26">
        <f>0</f>
        <v>0</v>
      </c>
      <c r="L82" s="26">
        <f>0</f>
        <v>0</v>
      </c>
    </row>
    <row r="83" spans="1:13" ht="39" customHeight="1" x14ac:dyDescent="0.2">
      <c r="B83" s="56" t="s">
        <v>60</v>
      </c>
      <c r="C83" s="57"/>
      <c r="D83" s="57"/>
      <c r="E83" s="58"/>
      <c r="F83" s="26">
        <f>0</f>
        <v>0</v>
      </c>
      <c r="G83" s="26">
        <f>0</f>
        <v>0</v>
      </c>
      <c r="H83" s="26">
        <f>0</f>
        <v>0</v>
      </c>
      <c r="I83" s="26">
        <f>0</f>
        <v>0</v>
      </c>
      <c r="J83" s="26">
        <f>0</f>
        <v>0</v>
      </c>
      <c r="K83" s="26">
        <f>0</f>
        <v>0</v>
      </c>
      <c r="L83" s="26">
        <f>0</f>
        <v>0</v>
      </c>
    </row>
    <row r="86" spans="1:13" ht="75" customHeight="1" x14ac:dyDescent="0.2">
      <c r="A86" s="36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III Kwartały 2025 roku                 </v>
      </c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</row>
    <row r="87" spans="1:13" ht="13.5" customHeight="1" x14ac:dyDescent="0.2">
      <c r="B87" s="4"/>
    </row>
    <row r="88" spans="1:13" ht="13.5" customHeight="1" x14ac:dyDescent="0.2">
      <c r="B88" s="5"/>
      <c r="C88" s="28"/>
      <c r="D88" s="59"/>
      <c r="E88" s="59"/>
      <c r="F88" s="46"/>
      <c r="G88" s="28" t="s">
        <v>3</v>
      </c>
      <c r="H88" s="46"/>
      <c r="I88" s="28" t="s">
        <v>4</v>
      </c>
      <c r="J88" s="46"/>
      <c r="K88" s="5"/>
    </row>
    <row r="89" spans="1:13" ht="13.5" customHeight="1" x14ac:dyDescent="0.2">
      <c r="B89" s="6"/>
      <c r="C89" s="65" t="s">
        <v>5</v>
      </c>
      <c r="D89" s="66"/>
      <c r="E89" s="66"/>
      <c r="F89" s="67"/>
      <c r="G89" s="41">
        <f>127</f>
        <v>127</v>
      </c>
      <c r="H89" s="42"/>
      <c r="I89" s="43">
        <f>263762356.77</f>
        <v>263762356.77000001</v>
      </c>
      <c r="J89" s="44"/>
      <c r="K89" s="7"/>
    </row>
    <row r="90" spans="1:13" ht="13.5" customHeight="1" x14ac:dyDescent="0.2">
      <c r="B90" s="6"/>
      <c r="C90" s="68" t="s">
        <v>6</v>
      </c>
      <c r="D90" s="69"/>
      <c r="E90" s="69"/>
      <c r="F90" s="70"/>
      <c r="G90" s="71">
        <f>48</f>
        <v>48</v>
      </c>
      <c r="H90" s="72"/>
      <c r="I90" s="60">
        <f>-27917004.01</f>
        <v>-27917004.010000002</v>
      </c>
      <c r="J90" s="61"/>
      <c r="K90" s="7"/>
    </row>
    <row r="91" spans="1:13" ht="13.5" customHeight="1" x14ac:dyDescent="0.2">
      <c r="B91" s="6"/>
      <c r="C91" s="65" t="s">
        <v>7</v>
      </c>
      <c r="D91" s="66"/>
      <c r="E91" s="66"/>
      <c r="F91" s="67"/>
      <c r="G91" s="41">
        <f>1</f>
        <v>1</v>
      </c>
      <c r="H91" s="42"/>
      <c r="I91" s="43">
        <f>0</f>
        <v>0</v>
      </c>
      <c r="J91" s="44"/>
      <c r="K91" s="7"/>
    </row>
    <row r="94" spans="1:13" ht="13.5" customHeight="1" x14ac:dyDescent="0.2">
      <c r="A94" s="8" t="s">
        <v>8</v>
      </c>
      <c r="B94" s="8">
        <f>3</f>
        <v>3</v>
      </c>
      <c r="C94" s="8" t="str">
        <f>IF(B94=1,"I Kwartał",IF(B94=2,"II Kwartały",IF(B94=3,"III Kwartały",IF(B94=4,"IV Kwartały","-"))))</f>
        <v>III Kwartały</v>
      </c>
    </row>
    <row r="95" spans="1:13" ht="13.5" customHeight="1" x14ac:dyDescent="0.2">
      <c r="A95" s="8" t="s">
        <v>9</v>
      </c>
      <c r="B95" s="8">
        <f>2025</f>
        <v>2025</v>
      </c>
      <c r="C95" s="9"/>
    </row>
    <row r="96" spans="1:13" ht="13.5" customHeight="1" x14ac:dyDescent="0.2">
      <c r="A96" s="8" t="s">
        <v>10</v>
      </c>
      <c r="B96" s="10" t="str">
        <f>"Nov 14 2025 12:00AM"</f>
        <v>Nov 14 2025 12:00AM</v>
      </c>
      <c r="C96" s="9"/>
    </row>
    <row r="97" spans="1:2" ht="13.5" customHeight="1" x14ac:dyDescent="0.2">
      <c r="A97" s="15" t="s">
        <v>76</v>
      </c>
      <c r="B97" s="10" t="str">
        <f>""</f>
        <v/>
      </c>
    </row>
  </sheetData>
  <mergeCells count="79">
    <mergeCell ref="K71:K74"/>
    <mergeCell ref="F34:F37"/>
    <mergeCell ref="G34:G37"/>
    <mergeCell ref="H34:H37"/>
    <mergeCell ref="K34:K37"/>
    <mergeCell ref="I34:I37"/>
    <mergeCell ref="J34:J37"/>
    <mergeCell ref="F70:F74"/>
    <mergeCell ref="G71:G74"/>
    <mergeCell ref="O33:Q33"/>
    <mergeCell ref="A31:M31"/>
    <mergeCell ref="B33:B37"/>
    <mergeCell ref="A33:A37"/>
    <mergeCell ref="C34:C37"/>
    <mergeCell ref="E34:E37"/>
    <mergeCell ref="O34:O37"/>
    <mergeCell ref="D34:D37"/>
    <mergeCell ref="H7:H10"/>
    <mergeCell ref="A1:M1"/>
    <mergeCell ref="C5:M5"/>
    <mergeCell ref="A3:M3"/>
    <mergeCell ref="K7:K10"/>
    <mergeCell ref="C7:C10"/>
    <mergeCell ref="B6:B10"/>
    <mergeCell ref="L7:L10"/>
    <mergeCell ref="M7:M10"/>
    <mergeCell ref="G7:G10"/>
    <mergeCell ref="F7:F10"/>
    <mergeCell ref="I7:I10"/>
    <mergeCell ref="J7:J10"/>
    <mergeCell ref="A29:M29"/>
    <mergeCell ref="I91:J91"/>
    <mergeCell ref="I90:J90"/>
    <mergeCell ref="A6:A10"/>
    <mergeCell ref="C6:N6"/>
    <mergeCell ref="D7:D10"/>
    <mergeCell ref="E7:E10"/>
    <mergeCell ref="B81:E81"/>
    <mergeCell ref="B78:E78"/>
    <mergeCell ref="M34:M37"/>
    <mergeCell ref="B77:E77"/>
    <mergeCell ref="C89:F89"/>
    <mergeCell ref="C90:F90"/>
    <mergeCell ref="C91:F91"/>
    <mergeCell ref="G89:H89"/>
    <mergeCell ref="G88:H88"/>
    <mergeCell ref="G90:H90"/>
    <mergeCell ref="G91:H91"/>
    <mergeCell ref="I89:J89"/>
    <mergeCell ref="B68:M68"/>
    <mergeCell ref="I88:J88"/>
    <mergeCell ref="B76:E76"/>
    <mergeCell ref="B70:E74"/>
    <mergeCell ref="B83:E83"/>
    <mergeCell ref="A86:M86"/>
    <mergeCell ref="B79:E79"/>
    <mergeCell ref="B80:E80"/>
    <mergeCell ref="C88:F88"/>
    <mergeCell ref="B82:E82"/>
    <mergeCell ref="G70:L70"/>
    <mergeCell ref="H71:H74"/>
    <mergeCell ref="I71:I74"/>
    <mergeCell ref="J71:J74"/>
    <mergeCell ref="B75:E75"/>
    <mergeCell ref="F76:L76"/>
    <mergeCell ref="L71:L74"/>
    <mergeCell ref="O6:Q6"/>
    <mergeCell ref="O7:O10"/>
    <mergeCell ref="A66:M66"/>
    <mergeCell ref="L34:L37"/>
    <mergeCell ref="P34:P37"/>
    <mergeCell ref="Q34:Q37"/>
    <mergeCell ref="N34:N37"/>
    <mergeCell ref="B12:Q12"/>
    <mergeCell ref="B39:Q39"/>
    <mergeCell ref="Q7:Q10"/>
    <mergeCell ref="C33:N33"/>
    <mergeCell ref="N7:N10"/>
    <mergeCell ref="P7:P10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2016-08-26T11:07:04Z</cp:lastPrinted>
  <dcterms:created xsi:type="dcterms:W3CDTF">2001-05-17T08:58:03Z</dcterms:created>
  <dcterms:modified xsi:type="dcterms:W3CDTF">2025-11-20T08:22:04Z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2025-11-19T09:55:46.9685168+01:00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GRN-86f454e7-2f6e-4882-af6a-052b4b670cdb</vt:lpwstr>
  </property>
  <property fmtid="{D5CDD505-2E9C-101B-9397-08002B2CF9AE}" pid="7" name="MFHash">
    <vt:lpwstr>3dOhST6mw0+tDmALgQy1nWfwy/nvRY8ObzQlSvvvqc4=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