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 kwartał\2025.08.15 Dane ostateczne\Zbiorówki_2025_k2_2025.08.15\Publikacja\"/>
    </mc:Choice>
  </mc:AlternateContent>
  <xr:revisionPtr revIDLastSave="0" documentId="13_ncr:1_{F5A57D43-CB54-4EDB-A4D5-E89A50E3BE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3" i="7" l="1"/>
  <c r="B92" i="7"/>
  <c r="B91" i="7"/>
  <c r="B90" i="7"/>
  <c r="I87" i="7"/>
  <c r="G87" i="7"/>
  <c r="I86" i="7"/>
  <c r="G86" i="7"/>
  <c r="I85" i="7"/>
  <c r="G85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0" i="7" l="1"/>
  <c r="A1" i="7" l="1"/>
  <c r="A27" i="7"/>
  <c r="A63" i="7"/>
  <c r="A82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<sst xmlns="http://schemas.openxmlformats.org/spreadsheetml/2006/main" count="97" uniqueCount="81">
  <si>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</si>
  <si>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</si>
  <si>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</si>
  <si>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</si>
  <si>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</si>
  <si>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</si>
  <si>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</si>
  <si>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</si>
  <si>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</si>
  <si>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</si>
  <si>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</si>
  <si>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</si>
  <si>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</si>
  <si>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</si>
  <si>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</si>
  <si>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</si>
  <si>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</si>
  <si>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</si>
  <si>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</si>
  <si>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</si>
  <si>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</si>
  <si>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</si>
  <si>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</si>
  <si>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</si>
  <si>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</si>
  <si>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</si>
  <si>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</si>
  <si>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</si>
  <si>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</si>
  <si>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</si>
  <si>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</si>
  <si>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</si>
  <si>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</si>
  <si>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</si>
  <si>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</si>
  <si>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</si>
  <si>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</si>
  <si>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</si>
  <si>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</si>
  <si>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</si>
  <si>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</si>
  <si>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</si>
  <si>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</si>
  <si>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</si>
  <si>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</si>
  <si>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</si>
  <si>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</si>
  <si>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</si>
  <si>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</si>
  <si>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</si>
  <si>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</si>
  <si>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</si>
  <si>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</si>
  <si>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</si>
  <si>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</si>
  <si>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</si>
  <si>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</si>
  <si>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</si>
  <si>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</si>
  <si>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</si>
  <si>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</si>
  <si>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</si>
  <si>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</si>
  <si>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</si>
  <si>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</si>
  <si>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</si>
  <si>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</si>
  <si>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</si>
  <si>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</si>
  <si>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</si>
  <si>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</si>
  <si>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</si>
  <si>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</si>
  <si>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</si>
  <si>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</si>
  <si>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</si>
  <si>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</si>
  <si>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E1 papiery wartościowe 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</si>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</sst>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3"/>
  <sheetViews>
    <sheetView tabSelected="1" zoomScaleNormal="100" zoomScaleSheetLayoutView="75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2.570312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5" width="9.140625" style="2"/>
    <col min="16" max="16" width="10.28515625" style="2" customWidth="1"/>
    <col min="17" max="16384" width="9.140625" style="2"/>
  </cols>
  <sheetData>
    <row r="1" spans="1:17" ht="39.75" customHeight="1" x14ac:dyDescent="0.2">
      <c r="A1" s="31" t="str">
        <f>CONCATENATE("Informacja z wykonania budżetów powiatów za   ",$C$90," ",$B$91," roku    ",$B$93,"")</f>
        <v xml:space="preserve">Informacja z wykonania budżetów powiatów za   II Kwartały 2025 roku    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1" t="s">
        <v>60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5" spans="1:17" ht="13.5" customHeight="1" x14ac:dyDescent="0.2">
      <c r="B5" s="12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11"/>
      <c r="O5" s="11"/>
      <c r="P5" s="11"/>
      <c r="Q5" s="11"/>
    </row>
    <row r="6" spans="1:17" ht="13.5" customHeight="1" x14ac:dyDescent="0.2">
      <c r="A6" s="72" t="s">
        <v>0</v>
      </c>
      <c r="B6" s="32" t="s">
        <v>61</v>
      </c>
      <c r="C6" s="27" t="s">
        <v>65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9"/>
      <c r="O6" s="27" t="s">
        <v>64</v>
      </c>
      <c r="P6" s="28"/>
      <c r="Q6" s="29"/>
    </row>
    <row r="7" spans="1:17" ht="13.5" customHeight="1" x14ac:dyDescent="0.2">
      <c r="A7" s="73"/>
      <c r="B7" s="33"/>
      <c r="C7" s="34" t="s">
        <v>62</v>
      </c>
      <c r="D7" s="34" t="s">
        <v>73</v>
      </c>
      <c r="E7" s="34" t="s">
        <v>66</v>
      </c>
      <c r="F7" s="34" t="s">
        <v>67</v>
      </c>
      <c r="G7" s="34" t="s">
        <v>27</v>
      </c>
      <c r="H7" s="34" t="s">
        <v>28</v>
      </c>
      <c r="I7" s="78" t="s">
        <v>63</v>
      </c>
      <c r="J7" s="34" t="s">
        <v>16</v>
      </c>
      <c r="K7" s="34" t="s">
        <v>17</v>
      </c>
      <c r="L7" s="34" t="s">
        <v>18</v>
      </c>
      <c r="M7" s="34" t="s">
        <v>19</v>
      </c>
      <c r="N7" s="33" t="s">
        <v>20</v>
      </c>
      <c r="O7" s="30" t="s">
        <v>21</v>
      </c>
      <c r="P7" s="30" t="s">
        <v>22</v>
      </c>
      <c r="Q7" s="30" t="s">
        <v>23</v>
      </c>
    </row>
    <row r="8" spans="1:17" ht="13.5" customHeight="1" x14ac:dyDescent="0.2">
      <c r="A8" s="73"/>
      <c r="B8" s="33"/>
      <c r="C8" s="30"/>
      <c r="D8" s="30"/>
      <c r="E8" s="30"/>
      <c r="F8" s="30"/>
      <c r="G8" s="30"/>
      <c r="H8" s="30"/>
      <c r="I8" s="78"/>
      <c r="J8" s="30"/>
      <c r="K8" s="30"/>
      <c r="L8" s="30"/>
      <c r="M8" s="30"/>
      <c r="N8" s="33"/>
      <c r="O8" s="30"/>
      <c r="P8" s="30"/>
      <c r="Q8" s="30"/>
    </row>
    <row r="9" spans="1:17" ht="11.25" customHeight="1" x14ac:dyDescent="0.2">
      <c r="A9" s="73"/>
      <c r="B9" s="33"/>
      <c r="C9" s="30"/>
      <c r="D9" s="30"/>
      <c r="E9" s="30"/>
      <c r="F9" s="30"/>
      <c r="G9" s="30"/>
      <c r="H9" s="30"/>
      <c r="I9" s="78"/>
      <c r="J9" s="30"/>
      <c r="K9" s="30"/>
      <c r="L9" s="30"/>
      <c r="M9" s="30"/>
      <c r="N9" s="33"/>
      <c r="O9" s="30"/>
      <c r="P9" s="30"/>
      <c r="Q9" s="30"/>
    </row>
    <row r="10" spans="1:17" ht="33.75" customHeight="1" x14ac:dyDescent="0.2">
      <c r="A10" s="74"/>
      <c r="B10" s="34"/>
      <c r="C10" s="30"/>
      <c r="D10" s="30"/>
      <c r="E10" s="30"/>
      <c r="F10" s="30"/>
      <c r="G10" s="30"/>
      <c r="H10" s="30"/>
      <c r="I10" s="79"/>
      <c r="J10" s="30"/>
      <c r="K10" s="30"/>
      <c r="L10" s="30"/>
      <c r="M10" s="30"/>
      <c r="N10" s="34"/>
      <c r="O10" s="30"/>
      <c r="P10" s="30"/>
      <c r="Q10" s="30"/>
    </row>
    <row r="11" spans="1:17" ht="15.7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2" customHeight="1" x14ac:dyDescent="0.2">
      <c r="A12" s="13"/>
      <c r="B12" s="80" t="s">
        <v>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2"/>
    </row>
    <row r="13" spans="1:17" ht="39.75" customHeight="1" x14ac:dyDescent="0.2">
      <c r="A13" s="20" t="s">
        <v>45</v>
      </c>
      <c r="B13" s="21">
        <f>6967671606.02</f>
        <v>6967671606.0200005</v>
      </c>
      <c r="C13" s="21">
        <f>6967671606.02</f>
        <v>6967671606.0200005</v>
      </c>
      <c r="D13" s="21">
        <f>234238766.32</f>
        <v>234238766.31999999</v>
      </c>
      <c r="E13" s="21">
        <f>192168869.69</f>
        <v>192168869.69</v>
      </c>
      <c r="F13" s="21">
        <f>5490601.23</f>
        <v>5490601.2300000004</v>
      </c>
      <c r="G13" s="21">
        <f>36579295.4</f>
        <v>36579295.399999999</v>
      </c>
      <c r="H13" s="21">
        <f>0</f>
        <v>0</v>
      </c>
      <c r="I13" s="21">
        <f>0</f>
        <v>0</v>
      </c>
      <c r="J13" s="21">
        <f>6366398277.39</f>
        <v>6366398277.3900003</v>
      </c>
      <c r="K13" s="21">
        <f>362353923.44</f>
        <v>362353923.44</v>
      </c>
      <c r="L13" s="21">
        <f>2456897.76</f>
        <v>2456897.7599999998</v>
      </c>
      <c r="M13" s="21">
        <f>53887.78</f>
        <v>53887.78</v>
      </c>
      <c r="N13" s="21">
        <f>2169853.33</f>
        <v>2169853.33</v>
      </c>
      <c r="O13" s="21">
        <f>0</f>
        <v>0</v>
      </c>
      <c r="P13" s="21">
        <f>0</f>
        <v>0</v>
      </c>
      <c r="Q13" s="21">
        <f>0</f>
        <v>0</v>
      </c>
    </row>
    <row r="14" spans="1:17" ht="24.75" customHeight="1" x14ac:dyDescent="0.2">
      <c r="A14" s="19" t="s">
        <v>77</v>
      </c>
      <c r="B14" s="21">
        <f>52850000</f>
        <v>52850000</v>
      </c>
      <c r="C14" s="21">
        <f>52850000</f>
        <v>52850000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52850000</f>
        <v>52850000</v>
      </c>
      <c r="K14" s="21">
        <f>0</f>
        <v>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1" customHeight="1" x14ac:dyDescent="0.2">
      <c r="A15" s="17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0.25" customHeight="1" x14ac:dyDescent="0.2">
      <c r="A16" s="17" t="s">
        <v>47</v>
      </c>
      <c r="B16" s="22">
        <f>52850000</f>
        <v>52850000</v>
      </c>
      <c r="C16" s="22">
        <f>52850000</f>
        <v>52850000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52850000</f>
        <v>52850000</v>
      </c>
      <c r="K16" s="22">
        <f>0</f>
        <v>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24" customHeight="1" x14ac:dyDescent="0.2">
      <c r="A17" s="20" t="s">
        <v>78</v>
      </c>
      <c r="B17" s="21">
        <f>6911997310.83</f>
        <v>6911997310.8299999</v>
      </c>
      <c r="C17" s="21">
        <f>6911997310.83</f>
        <v>6911997310.8299999</v>
      </c>
      <c r="D17" s="21">
        <f>232352481.61</f>
        <v>232352481.61000001</v>
      </c>
      <c r="E17" s="21">
        <f>192110855.23</f>
        <v>192110855.22999999</v>
      </c>
      <c r="F17" s="21">
        <f>5490601.23</f>
        <v>5490601.2300000004</v>
      </c>
      <c r="G17" s="21">
        <f>34751025.15</f>
        <v>34751025.149999999</v>
      </c>
      <c r="H17" s="21">
        <f>0</f>
        <v>0</v>
      </c>
      <c r="I17" s="21">
        <f>0</f>
        <v>0</v>
      </c>
      <c r="J17" s="21">
        <f>6313548277.39</f>
        <v>6313548277.3900003</v>
      </c>
      <c r="K17" s="21">
        <f>362353923.44</f>
        <v>362353923.44</v>
      </c>
      <c r="L17" s="21">
        <f>1942714.63</f>
        <v>1942714.63</v>
      </c>
      <c r="M17" s="21">
        <f>0</f>
        <v>0</v>
      </c>
      <c r="N17" s="21">
        <f>1799913.76</f>
        <v>1799913.76</v>
      </c>
      <c r="O17" s="21">
        <f>0</f>
        <v>0</v>
      </c>
      <c r="P17" s="21">
        <f>0</f>
        <v>0</v>
      </c>
      <c r="Q17" s="21">
        <f>0</f>
        <v>0</v>
      </c>
    </row>
    <row r="18" spans="1:17" ht="23.25" customHeight="1" x14ac:dyDescent="0.2">
      <c r="A18" s="17" t="s">
        <v>48</v>
      </c>
      <c r="B18" s="22">
        <f>24598089.77</f>
        <v>24598089.77</v>
      </c>
      <c r="C18" s="22">
        <f>24598089.77</f>
        <v>24598089.77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24375214.77</f>
        <v>24375214.77</v>
      </c>
      <c r="K18" s="22">
        <f>0</f>
        <v>0</v>
      </c>
      <c r="L18" s="22">
        <f>222875</f>
        <v>222875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1.75" customHeight="1" x14ac:dyDescent="0.2">
      <c r="A19" s="17" t="s">
        <v>49</v>
      </c>
      <c r="B19" s="22">
        <f>6887399221.06</f>
        <v>6887399221.0600004</v>
      </c>
      <c r="C19" s="22">
        <f>6887399221.06</f>
        <v>6887399221.0600004</v>
      </c>
      <c r="D19" s="22">
        <f>232352481.61</f>
        <v>232352481.61000001</v>
      </c>
      <c r="E19" s="22">
        <f>192110855.23</f>
        <v>192110855.22999999</v>
      </c>
      <c r="F19" s="22">
        <f>5490601.23</f>
        <v>5490601.2300000004</v>
      </c>
      <c r="G19" s="22">
        <f>34751025.15</f>
        <v>34751025.149999999</v>
      </c>
      <c r="H19" s="22">
        <f>0</f>
        <v>0</v>
      </c>
      <c r="I19" s="22">
        <f>0</f>
        <v>0</v>
      </c>
      <c r="J19" s="22">
        <f>6289173062.62</f>
        <v>6289173062.6199999</v>
      </c>
      <c r="K19" s="22">
        <f>362353923.44</f>
        <v>362353923.44</v>
      </c>
      <c r="L19" s="22">
        <f>1719839.63</f>
        <v>1719839.63</v>
      </c>
      <c r="M19" s="22">
        <f>0</f>
        <v>0</v>
      </c>
      <c r="N19" s="22">
        <f>1799913.76</f>
        <v>1799913.76</v>
      </c>
      <c r="O19" s="22">
        <f>0</f>
        <v>0</v>
      </c>
      <c r="P19" s="22">
        <f>0</f>
        <v>0</v>
      </c>
      <c r="Q19" s="22">
        <f>0</f>
        <v>0</v>
      </c>
    </row>
    <row r="20" spans="1:17" ht="21.75" customHeight="1" x14ac:dyDescent="0.2">
      <c r="A20" s="17" t="s">
        <v>50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4.75" customHeight="1" x14ac:dyDescent="0.2">
      <c r="A21" s="20" t="s">
        <v>79</v>
      </c>
      <c r="B21" s="21">
        <f>2824295.19</f>
        <v>2824295.19</v>
      </c>
      <c r="C21" s="21">
        <f>2824295.19</f>
        <v>2824295.19</v>
      </c>
      <c r="D21" s="21">
        <f>1886284.71</f>
        <v>1886284.71</v>
      </c>
      <c r="E21" s="21">
        <f>58014.46</f>
        <v>58014.46</v>
      </c>
      <c r="F21" s="21">
        <f>0</f>
        <v>0</v>
      </c>
      <c r="G21" s="21">
        <f>1828270.25</f>
        <v>1828270.25</v>
      </c>
      <c r="H21" s="21">
        <f>0</f>
        <v>0</v>
      </c>
      <c r="I21" s="21">
        <f>0</f>
        <v>0</v>
      </c>
      <c r="J21" s="21">
        <f>0</f>
        <v>0</v>
      </c>
      <c r="K21" s="21">
        <f>0</f>
        <v>0</v>
      </c>
      <c r="L21" s="21">
        <f>514183.13</f>
        <v>514183.13</v>
      </c>
      <c r="M21" s="21">
        <f>53887.78</f>
        <v>53887.78</v>
      </c>
      <c r="N21" s="21">
        <f>369939.57</f>
        <v>369939.57</v>
      </c>
      <c r="O21" s="21">
        <f>0</f>
        <v>0</v>
      </c>
      <c r="P21" s="21">
        <f>0</f>
        <v>0</v>
      </c>
      <c r="Q21" s="21">
        <f>0</f>
        <v>0</v>
      </c>
    </row>
    <row r="22" spans="1:17" ht="22.5" x14ac:dyDescent="0.2">
      <c r="A22" s="17" t="s">
        <v>51</v>
      </c>
      <c r="B22" s="22">
        <f>591500.67</f>
        <v>591500.67000000004</v>
      </c>
      <c r="C22" s="22">
        <f>591500.67</f>
        <v>591500.67000000004</v>
      </c>
      <c r="D22" s="22">
        <f>0</f>
        <v>0</v>
      </c>
      <c r="E22" s="22">
        <f>0</f>
        <v>0</v>
      </c>
      <c r="F22" s="22">
        <f>0</f>
        <v>0</v>
      </c>
      <c r="G22" s="22">
        <f>0</f>
        <v>0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219836.41</f>
        <v>219836.41</v>
      </c>
      <c r="M22" s="22">
        <f>15710.69</f>
        <v>15710.69</v>
      </c>
      <c r="N22" s="22">
        <f>355953.57</f>
        <v>355953.57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2232794.52</f>
        <v>2232794.52</v>
      </c>
      <c r="C23" s="22">
        <f>2232794.52</f>
        <v>2232794.52</v>
      </c>
      <c r="D23" s="22">
        <f>1886284.71</f>
        <v>1886284.71</v>
      </c>
      <c r="E23" s="22">
        <f>58014.46</f>
        <v>58014.46</v>
      </c>
      <c r="F23" s="22">
        <f>0</f>
        <v>0</v>
      </c>
      <c r="G23" s="22">
        <f>1828270.25</f>
        <v>1828270.25</v>
      </c>
      <c r="H23" s="22">
        <f>0</f>
        <v>0</v>
      </c>
      <c r="I23" s="22">
        <f>0</f>
        <v>0</v>
      </c>
      <c r="J23" s="22">
        <f>0</f>
        <v>0</v>
      </c>
      <c r="K23" s="22">
        <f>0</f>
        <v>0</v>
      </c>
      <c r="L23" s="22">
        <f>294346.72</f>
        <v>294346.71999999997</v>
      </c>
      <c r="M23" s="22">
        <f>38177.09</f>
        <v>38177.089999999997</v>
      </c>
      <c r="N23" s="22">
        <f>13986</f>
        <v>13986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45.75" customHeight="1" x14ac:dyDescent="0.2">
      <c r="A27" s="31" t="str">
        <f>CONCATENATE("Informacja z wykonania budżetów powiatów za   ",$C$90," ",$B$91," roku    ",$B$93,"")</f>
        <v xml:space="preserve">Informacja z wykonania budżetów powiatów za   II Kwartały 2025 roku    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9" spans="1:17" ht="13.5" customHeight="1" x14ac:dyDescent="0.2">
      <c r="A29" s="41" t="s">
        <v>11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1" spans="1:17" ht="13.5" customHeight="1" x14ac:dyDescent="0.2">
      <c r="A31" s="72" t="s">
        <v>0</v>
      </c>
      <c r="B31" s="32" t="s">
        <v>12</v>
      </c>
      <c r="C31" s="75" t="s">
        <v>14</v>
      </c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7"/>
      <c r="O31" s="75" t="s">
        <v>24</v>
      </c>
      <c r="P31" s="76"/>
      <c r="Q31" s="77"/>
    </row>
    <row r="32" spans="1:17" ht="13.5" customHeight="1" x14ac:dyDescent="0.2">
      <c r="A32" s="73"/>
      <c r="B32" s="33"/>
      <c r="C32" s="33" t="s">
        <v>13</v>
      </c>
      <c r="D32" s="30" t="s">
        <v>15</v>
      </c>
      <c r="E32" s="30" t="s">
        <v>25</v>
      </c>
      <c r="F32" s="30" t="s">
        <v>26</v>
      </c>
      <c r="G32" s="30" t="s">
        <v>70</v>
      </c>
      <c r="H32" s="30" t="s">
        <v>28</v>
      </c>
      <c r="I32" s="30" t="s">
        <v>1</v>
      </c>
      <c r="J32" s="30" t="s">
        <v>16</v>
      </c>
      <c r="K32" s="30" t="s">
        <v>17</v>
      </c>
      <c r="L32" s="30" t="s">
        <v>18</v>
      </c>
      <c r="M32" s="30" t="s">
        <v>19</v>
      </c>
      <c r="N32" s="35" t="s">
        <v>20</v>
      </c>
      <c r="O32" s="30" t="s">
        <v>21</v>
      </c>
      <c r="P32" s="30" t="s">
        <v>22</v>
      </c>
      <c r="Q32" s="32" t="s">
        <v>23</v>
      </c>
    </row>
    <row r="33" spans="1:17" ht="13.5" customHeight="1" x14ac:dyDescent="0.2">
      <c r="A33" s="73"/>
      <c r="B33" s="33"/>
      <c r="C33" s="33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5"/>
      <c r="O33" s="30"/>
      <c r="P33" s="30"/>
      <c r="Q33" s="33"/>
    </row>
    <row r="34" spans="1:17" ht="11.25" customHeight="1" x14ac:dyDescent="0.2">
      <c r="A34" s="73"/>
      <c r="B34" s="33"/>
      <c r="C34" s="33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5"/>
      <c r="O34" s="30"/>
      <c r="P34" s="30"/>
      <c r="Q34" s="33"/>
    </row>
    <row r="35" spans="1:17" ht="41.25" customHeight="1" x14ac:dyDescent="0.2">
      <c r="A35" s="74"/>
      <c r="B35" s="34"/>
      <c r="C35" s="34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5"/>
      <c r="O35" s="30"/>
      <c r="P35" s="30"/>
      <c r="Q35" s="34"/>
    </row>
    <row r="36" spans="1:17" ht="15.75" customHeight="1" x14ac:dyDescent="0.2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7</v>
      </c>
      <c r="H36" s="13">
        <v>8</v>
      </c>
      <c r="I36" s="13">
        <v>9</v>
      </c>
      <c r="J36" s="13">
        <v>10</v>
      </c>
      <c r="K36" s="13">
        <v>11</v>
      </c>
      <c r="L36" s="13">
        <v>12</v>
      </c>
      <c r="M36" s="13">
        <v>13</v>
      </c>
      <c r="N36" s="13">
        <v>14</v>
      </c>
      <c r="O36" s="13">
        <v>15</v>
      </c>
      <c r="P36" s="13">
        <v>16</v>
      </c>
      <c r="Q36" s="13">
        <v>17</v>
      </c>
    </row>
    <row r="37" spans="1:17" ht="12" customHeight="1" x14ac:dyDescent="0.2">
      <c r="A37" s="13"/>
      <c r="B37" s="80" t="s">
        <v>76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1:17" ht="30" customHeight="1" x14ac:dyDescent="0.2">
      <c r="A38" s="25" t="s">
        <v>40</v>
      </c>
      <c r="B38" s="23">
        <f>0</f>
        <v>0</v>
      </c>
      <c r="C38" s="23">
        <f>0</f>
        <v>0</v>
      </c>
      <c r="D38" s="23">
        <f>0</f>
        <v>0</v>
      </c>
      <c r="E38" s="23">
        <f>0</f>
        <v>0</v>
      </c>
      <c r="F38" s="23">
        <f>0</f>
        <v>0</v>
      </c>
      <c r="G38" s="23">
        <f>0</f>
        <v>0</v>
      </c>
      <c r="H38" s="23">
        <f>0</f>
        <v>0</v>
      </c>
      <c r="I38" s="23">
        <f>0</f>
        <v>0</v>
      </c>
      <c r="J38" s="23">
        <f>0</f>
        <v>0</v>
      </c>
      <c r="K38" s="23">
        <f>0</f>
        <v>0</v>
      </c>
      <c r="L38" s="23">
        <f>0</f>
        <v>0</v>
      </c>
      <c r="M38" s="23">
        <f>0</f>
        <v>0</v>
      </c>
      <c r="N38" s="23">
        <f>0</f>
        <v>0</v>
      </c>
      <c r="O38" s="23">
        <f>0</f>
        <v>0</v>
      </c>
      <c r="P38" s="23">
        <f>0</f>
        <v>0</v>
      </c>
      <c r="Q38" s="23">
        <f>0</f>
        <v>0</v>
      </c>
    </row>
    <row r="39" spans="1:17" ht="25.5" customHeight="1" x14ac:dyDescent="0.2">
      <c r="A39" s="18" t="s">
        <v>29</v>
      </c>
      <c r="B39" s="24">
        <f>0</f>
        <v>0</v>
      </c>
      <c r="C39" s="24">
        <f>0</f>
        <v>0</v>
      </c>
      <c r="D39" s="24">
        <f>0</f>
        <v>0</v>
      </c>
      <c r="E39" s="24">
        <f>0</f>
        <v>0</v>
      </c>
      <c r="F39" s="24">
        <f>0</f>
        <v>0</v>
      </c>
      <c r="G39" s="24">
        <f>0</f>
        <v>0</v>
      </c>
      <c r="H39" s="24">
        <f>0</f>
        <v>0</v>
      </c>
      <c r="I39" s="24">
        <f>0</f>
        <v>0</v>
      </c>
      <c r="J39" s="24">
        <f>0</f>
        <v>0</v>
      </c>
      <c r="K39" s="24">
        <f>0</f>
        <v>0</v>
      </c>
      <c r="L39" s="24">
        <f>0</f>
        <v>0</v>
      </c>
      <c r="M39" s="24">
        <f>0</f>
        <v>0</v>
      </c>
      <c r="N39" s="24">
        <f>0</f>
        <v>0</v>
      </c>
      <c r="O39" s="24">
        <f>0</f>
        <v>0</v>
      </c>
      <c r="P39" s="24">
        <f>0</f>
        <v>0</v>
      </c>
      <c r="Q39" s="24">
        <f>0</f>
        <v>0</v>
      </c>
    </row>
    <row r="40" spans="1:17" ht="25.5" customHeight="1" x14ac:dyDescent="0.2">
      <c r="A40" s="18" t="s">
        <v>30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30" customHeight="1" x14ac:dyDescent="0.2">
      <c r="A41" s="25" t="s">
        <v>41</v>
      </c>
      <c r="B41" s="23">
        <f>301102757.39</f>
        <v>301102757.38999999</v>
      </c>
      <c r="C41" s="23">
        <f>301102757.39</f>
        <v>301102757.38999999</v>
      </c>
      <c r="D41" s="23">
        <f>217338558</f>
        <v>217338558</v>
      </c>
      <c r="E41" s="23">
        <f>15450</f>
        <v>15450</v>
      </c>
      <c r="F41" s="23">
        <f>3502403.2</f>
        <v>3502403.2</v>
      </c>
      <c r="G41" s="23">
        <f>213820704.8</f>
        <v>213820704.80000001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69850452.41</f>
        <v>69850452.409999996</v>
      </c>
      <c r="M41" s="23">
        <f>12067176.1</f>
        <v>12067176.1</v>
      </c>
      <c r="N41" s="23">
        <f>1846570.88</f>
        <v>1846570.88</v>
      </c>
      <c r="O41" s="23">
        <f>0</f>
        <v>0</v>
      </c>
      <c r="P41" s="23">
        <f>0</f>
        <v>0</v>
      </c>
      <c r="Q41" s="23">
        <f>0</f>
        <v>0</v>
      </c>
    </row>
    <row r="42" spans="1:17" ht="25.5" customHeight="1" x14ac:dyDescent="0.2">
      <c r="A42" s="18" t="s">
        <v>31</v>
      </c>
      <c r="B42" s="24">
        <f>67022348.38</f>
        <v>67022348.380000003</v>
      </c>
      <c r="C42" s="24">
        <f>67022348.38</f>
        <v>67022348.380000003</v>
      </c>
      <c r="D42" s="24">
        <f>52740616.29</f>
        <v>52740616.289999999</v>
      </c>
      <c r="E42" s="24">
        <f>0</f>
        <v>0</v>
      </c>
      <c r="F42" s="24">
        <f>3500000</f>
        <v>3500000</v>
      </c>
      <c r="G42" s="24">
        <f>49240616.29</f>
        <v>49240616.289999999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11748051.73</f>
        <v>11748051.73</v>
      </c>
      <c r="M42" s="24">
        <f>1463680.36</f>
        <v>1463680.36</v>
      </c>
      <c r="N42" s="24">
        <f>1070000</f>
        <v>1070000</v>
      </c>
      <c r="O42" s="24">
        <f>0</f>
        <v>0</v>
      </c>
      <c r="P42" s="24">
        <f>0</f>
        <v>0</v>
      </c>
      <c r="Q42" s="24">
        <f>0</f>
        <v>0</v>
      </c>
    </row>
    <row r="43" spans="1:17" ht="25.5" customHeight="1" x14ac:dyDescent="0.2">
      <c r="A43" s="18" t="s">
        <v>32</v>
      </c>
      <c r="B43" s="24">
        <f>234080409.01</f>
        <v>234080409.00999999</v>
      </c>
      <c r="C43" s="24">
        <f>234080409.01</f>
        <v>234080409.00999999</v>
      </c>
      <c r="D43" s="24">
        <f>164597941.71</f>
        <v>164597941.71000001</v>
      </c>
      <c r="E43" s="24">
        <f>15450</f>
        <v>15450</v>
      </c>
      <c r="F43" s="24">
        <f>2403.2</f>
        <v>2403.1999999999998</v>
      </c>
      <c r="G43" s="24">
        <f>164580088.51</f>
        <v>164580088.50999999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58102400.68</f>
        <v>58102400.68</v>
      </c>
      <c r="M43" s="24">
        <f>10603495.74</f>
        <v>10603495.74</v>
      </c>
      <c r="N43" s="24">
        <f>776570.88</f>
        <v>776570.88</v>
      </c>
      <c r="O43" s="24">
        <f>0</f>
        <v>0</v>
      </c>
      <c r="P43" s="24">
        <f>0</f>
        <v>0</v>
      </c>
      <c r="Q43" s="24">
        <f>0</f>
        <v>0</v>
      </c>
    </row>
    <row r="44" spans="1:17" ht="30" customHeight="1" x14ac:dyDescent="0.2">
      <c r="A44" s="25" t="s">
        <v>42</v>
      </c>
      <c r="B44" s="23">
        <f>11771989823.32</f>
        <v>11771989823.32</v>
      </c>
      <c r="C44" s="23">
        <f>11771989823.32</f>
        <v>11771989823.32</v>
      </c>
      <c r="D44" s="23">
        <f>2591961.87</f>
        <v>2591961.87</v>
      </c>
      <c r="E44" s="23">
        <f>2337.07</f>
        <v>2337.0700000000002</v>
      </c>
      <c r="F44" s="23">
        <f>2640</f>
        <v>2640</v>
      </c>
      <c r="G44" s="23">
        <f>2586984.8</f>
        <v>2586984.7999999998</v>
      </c>
      <c r="H44" s="23">
        <f>0</f>
        <v>0</v>
      </c>
      <c r="I44" s="23">
        <f>8157138.69</f>
        <v>8157138.6900000004</v>
      </c>
      <c r="J44" s="23">
        <f>11761012584.05</f>
        <v>11761012584.049999</v>
      </c>
      <c r="K44" s="23">
        <f>81747.29</f>
        <v>81747.289999999994</v>
      </c>
      <c r="L44" s="23">
        <f>50108.3</f>
        <v>50108.3</v>
      </c>
      <c r="M44" s="23">
        <f>2000</f>
        <v>2000</v>
      </c>
      <c r="N44" s="23">
        <f>94283.12</f>
        <v>94283.12</v>
      </c>
      <c r="O44" s="23">
        <f>0</f>
        <v>0</v>
      </c>
      <c r="P44" s="23">
        <f>0</f>
        <v>0</v>
      </c>
      <c r="Q44" s="23">
        <f>0</f>
        <v>0</v>
      </c>
    </row>
    <row r="45" spans="1:17" ht="25.5" customHeight="1" x14ac:dyDescent="0.2">
      <c r="A45" s="18" t="s">
        <v>33</v>
      </c>
      <c r="B45" s="24">
        <f>2557225.63</f>
        <v>2557225.63</v>
      </c>
      <c r="C45" s="24">
        <f>2557225.63</f>
        <v>2557225.63</v>
      </c>
      <c r="D45" s="24">
        <f>2557225.63</f>
        <v>2557225.63</v>
      </c>
      <c r="E45" s="24">
        <f>0</f>
        <v>0</v>
      </c>
      <c r="F45" s="24">
        <f>0</f>
        <v>0</v>
      </c>
      <c r="G45" s="24">
        <f>2557225.63</f>
        <v>2557225.63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0</f>
        <v>0</v>
      </c>
      <c r="M45" s="24">
        <f>0</f>
        <v>0</v>
      </c>
      <c r="N45" s="24">
        <f>0</f>
        <v>0</v>
      </c>
      <c r="O45" s="24">
        <f>0</f>
        <v>0</v>
      </c>
      <c r="P45" s="24">
        <f>0</f>
        <v>0</v>
      </c>
      <c r="Q45" s="24">
        <f>0</f>
        <v>0</v>
      </c>
    </row>
    <row r="46" spans="1:17" ht="25.5" customHeight="1" x14ac:dyDescent="0.2">
      <c r="A46" s="18" t="s">
        <v>34</v>
      </c>
      <c r="B46" s="24">
        <f>9253801444.67</f>
        <v>9253801444.6700001</v>
      </c>
      <c r="C46" s="24">
        <f>9253801444.67</f>
        <v>9253801444.6700001</v>
      </c>
      <c r="D46" s="24">
        <f>26546.49</f>
        <v>26546.49</v>
      </c>
      <c r="E46" s="24">
        <f>807.54</f>
        <v>807.54</v>
      </c>
      <c r="F46" s="24">
        <f>0</f>
        <v>0</v>
      </c>
      <c r="G46" s="24">
        <f>25738.95</f>
        <v>25738.95</v>
      </c>
      <c r="H46" s="24">
        <f>0</f>
        <v>0</v>
      </c>
      <c r="I46" s="24">
        <f>8157138.69</f>
        <v>8157138.6900000004</v>
      </c>
      <c r="J46" s="24">
        <f>9245437926.26</f>
        <v>9245437926.2600002</v>
      </c>
      <c r="K46" s="24">
        <f>70037.35</f>
        <v>70037.350000000006</v>
      </c>
      <c r="L46" s="24">
        <f>15512.76</f>
        <v>15512.76</v>
      </c>
      <c r="M46" s="24">
        <f>0</f>
        <v>0</v>
      </c>
      <c r="N46" s="24">
        <f>94283.12</f>
        <v>94283.12</v>
      </c>
      <c r="O46" s="24">
        <f>0</f>
        <v>0</v>
      </c>
      <c r="P46" s="24">
        <f>0</f>
        <v>0</v>
      </c>
      <c r="Q46" s="24">
        <f>0</f>
        <v>0</v>
      </c>
    </row>
    <row r="47" spans="1:17" ht="25.5" customHeight="1" x14ac:dyDescent="0.2">
      <c r="A47" s="18" t="s">
        <v>35</v>
      </c>
      <c r="B47" s="24">
        <f>2515631153.02</f>
        <v>2515631153.02</v>
      </c>
      <c r="C47" s="24">
        <f>2515631153.02</f>
        <v>2515631153.02</v>
      </c>
      <c r="D47" s="24">
        <f>8189.75</f>
        <v>8189.75</v>
      </c>
      <c r="E47" s="24">
        <f>1529.53</f>
        <v>1529.53</v>
      </c>
      <c r="F47" s="24">
        <f>2640</f>
        <v>2640</v>
      </c>
      <c r="G47" s="24">
        <f>4020.22</f>
        <v>4020.22</v>
      </c>
      <c r="H47" s="24">
        <f>0</f>
        <v>0</v>
      </c>
      <c r="I47" s="24">
        <f>0</f>
        <v>0</v>
      </c>
      <c r="J47" s="24">
        <f>2515574657.79</f>
        <v>2515574657.79</v>
      </c>
      <c r="K47" s="24">
        <f>11709.94</f>
        <v>11709.94</v>
      </c>
      <c r="L47" s="24">
        <f>34595.54</f>
        <v>34595.54</v>
      </c>
      <c r="M47" s="24">
        <f>2000</f>
        <v>2000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30" customHeight="1" x14ac:dyDescent="0.2">
      <c r="A48" s="25" t="s">
        <v>43</v>
      </c>
      <c r="B48" s="23">
        <f>908392915.16</f>
        <v>908392915.15999997</v>
      </c>
      <c r="C48" s="23">
        <f>907345456.29</f>
        <v>907345456.28999996</v>
      </c>
      <c r="D48" s="23">
        <f>37643090.13</f>
        <v>37643090.130000003</v>
      </c>
      <c r="E48" s="23">
        <f>10611659.62</f>
        <v>10611659.619999999</v>
      </c>
      <c r="F48" s="23">
        <f>1293633.55</f>
        <v>1293633.55</v>
      </c>
      <c r="G48" s="23">
        <f>25690068.45</f>
        <v>25690068.449999999</v>
      </c>
      <c r="H48" s="23">
        <f>47728.51</f>
        <v>47728.51</v>
      </c>
      <c r="I48" s="23">
        <f>0</f>
        <v>0</v>
      </c>
      <c r="J48" s="23">
        <f>3987595.15</f>
        <v>3987595.15</v>
      </c>
      <c r="K48" s="23">
        <f>354663.58</f>
        <v>354663.58</v>
      </c>
      <c r="L48" s="23">
        <f>228325156.53</f>
        <v>228325156.53</v>
      </c>
      <c r="M48" s="23">
        <f>633886158.56</f>
        <v>633886158.55999994</v>
      </c>
      <c r="N48" s="23">
        <f>3148792.34</f>
        <v>3148792.34</v>
      </c>
      <c r="O48" s="23">
        <f>1047458.87</f>
        <v>1047458.87</v>
      </c>
      <c r="P48" s="23">
        <f>439190.53</f>
        <v>439190.53</v>
      </c>
      <c r="Q48" s="23">
        <f>608268.34</f>
        <v>608268.34</v>
      </c>
    </row>
    <row r="49" spans="1:17" ht="25.5" customHeight="1" x14ac:dyDescent="0.2">
      <c r="A49" s="18" t="s">
        <v>36</v>
      </c>
      <c r="B49" s="24">
        <f>163257337.48</f>
        <v>163257337.47999999</v>
      </c>
      <c r="C49" s="24">
        <f>163223788.45</f>
        <v>163223788.44999999</v>
      </c>
      <c r="D49" s="24">
        <f>6504343.02</f>
        <v>6504343.0199999996</v>
      </c>
      <c r="E49" s="24">
        <f>1403719.18</f>
        <v>1403719.18</v>
      </c>
      <c r="F49" s="24">
        <f>475841.35</f>
        <v>475841.35</v>
      </c>
      <c r="G49" s="24">
        <f>4579496.06</f>
        <v>4579496.0599999996</v>
      </c>
      <c r="H49" s="24">
        <f>45286.43</f>
        <v>45286.43</v>
      </c>
      <c r="I49" s="24">
        <f>0</f>
        <v>0</v>
      </c>
      <c r="J49" s="24">
        <f>968650.69</f>
        <v>968650.69</v>
      </c>
      <c r="K49" s="24">
        <f>150749.86</f>
        <v>150749.85999999999</v>
      </c>
      <c r="L49" s="24">
        <f>55999900.32</f>
        <v>55999900.32</v>
      </c>
      <c r="M49" s="24">
        <f>98256025.26</f>
        <v>98256025.260000005</v>
      </c>
      <c r="N49" s="24">
        <f>1344119.3</f>
        <v>1344119.3</v>
      </c>
      <c r="O49" s="24">
        <f>33549.03</f>
        <v>33549.03</v>
      </c>
      <c r="P49" s="24">
        <f>24313.96</f>
        <v>24313.96</v>
      </c>
      <c r="Q49" s="24">
        <f>9235.07</f>
        <v>9235.07</v>
      </c>
    </row>
    <row r="50" spans="1:17" ht="25.5" customHeight="1" x14ac:dyDescent="0.2">
      <c r="A50" s="18" t="s">
        <v>37</v>
      </c>
      <c r="B50" s="24">
        <f>745135577.68</f>
        <v>745135577.67999995</v>
      </c>
      <c r="C50" s="24">
        <f>744121667.84</f>
        <v>744121667.84000003</v>
      </c>
      <c r="D50" s="24">
        <f>31138747.11</f>
        <v>31138747.109999999</v>
      </c>
      <c r="E50" s="24">
        <f>9207940.44</f>
        <v>9207940.4399999995</v>
      </c>
      <c r="F50" s="24">
        <f>817792.2</f>
        <v>817792.2</v>
      </c>
      <c r="G50" s="24">
        <f>21110572.39</f>
        <v>21110572.390000001</v>
      </c>
      <c r="H50" s="24">
        <f>2442.08</f>
        <v>2442.08</v>
      </c>
      <c r="I50" s="24">
        <f>0</f>
        <v>0</v>
      </c>
      <c r="J50" s="24">
        <f>3018944.46</f>
        <v>3018944.46</v>
      </c>
      <c r="K50" s="24">
        <f>203913.72</f>
        <v>203913.72</v>
      </c>
      <c r="L50" s="24">
        <f>172325256.21</f>
        <v>172325256.21000001</v>
      </c>
      <c r="M50" s="24">
        <f>535630133.3</f>
        <v>535630133.30000001</v>
      </c>
      <c r="N50" s="24">
        <f>1804673.04</f>
        <v>1804673.04</v>
      </c>
      <c r="O50" s="24">
        <f>1013909.84</f>
        <v>1013909.84</v>
      </c>
      <c r="P50" s="24">
        <f>414876.57</f>
        <v>414876.57</v>
      </c>
      <c r="Q50" s="24">
        <f>599033.27</f>
        <v>599033.27</v>
      </c>
    </row>
    <row r="51" spans="1:17" ht="30" customHeight="1" x14ac:dyDescent="0.2">
      <c r="A51" s="25" t="s">
        <v>44</v>
      </c>
      <c r="B51" s="23">
        <f>853094656.36</f>
        <v>853094656.36000001</v>
      </c>
      <c r="C51" s="23">
        <f>853072546.6</f>
        <v>853072546.60000002</v>
      </c>
      <c r="D51" s="23">
        <f>282945626.04</f>
        <v>282945626.04000002</v>
      </c>
      <c r="E51" s="23">
        <f>47832370.46</f>
        <v>47832370.460000001</v>
      </c>
      <c r="F51" s="23">
        <f>2503185.69</f>
        <v>2503185.69</v>
      </c>
      <c r="G51" s="23">
        <f>224650240.65</f>
        <v>224650240.65000001</v>
      </c>
      <c r="H51" s="23">
        <f>7959829.24</f>
        <v>7959829.2400000002</v>
      </c>
      <c r="I51" s="23">
        <f>0</f>
        <v>0</v>
      </c>
      <c r="J51" s="23">
        <f>201979.85</f>
        <v>201979.85</v>
      </c>
      <c r="K51" s="23">
        <f>15879252.07</f>
        <v>15879252.07</v>
      </c>
      <c r="L51" s="23">
        <f>448508542.23</f>
        <v>448508542.23000002</v>
      </c>
      <c r="M51" s="23">
        <f>101113542.89</f>
        <v>101113542.89</v>
      </c>
      <c r="N51" s="23">
        <f>4423603.52</f>
        <v>4423603.5199999996</v>
      </c>
      <c r="O51" s="23">
        <f>22109.76</f>
        <v>22109.759999999998</v>
      </c>
      <c r="P51" s="23">
        <f>13121.76</f>
        <v>13121.76</v>
      </c>
      <c r="Q51" s="23">
        <f>8988</f>
        <v>8988</v>
      </c>
    </row>
    <row r="52" spans="1:17" ht="31.5" customHeight="1" x14ac:dyDescent="0.2">
      <c r="A52" s="18" t="s">
        <v>38</v>
      </c>
      <c r="B52" s="24">
        <f>96954908.18</f>
        <v>96954908.180000007</v>
      </c>
      <c r="C52" s="24">
        <f>96933738.42</f>
        <v>96933738.420000002</v>
      </c>
      <c r="D52" s="24">
        <f>49219715.76</f>
        <v>49219715.759999998</v>
      </c>
      <c r="E52" s="24">
        <f>2953284.23</f>
        <v>2953284.23</v>
      </c>
      <c r="F52" s="24">
        <f>809001.43</f>
        <v>809001.43</v>
      </c>
      <c r="G52" s="24">
        <f>40743256.56</f>
        <v>40743256.560000002</v>
      </c>
      <c r="H52" s="24">
        <f>4714173.54</f>
        <v>4714173.54</v>
      </c>
      <c r="I52" s="24">
        <f>0</f>
        <v>0</v>
      </c>
      <c r="J52" s="24">
        <f>146068.22</f>
        <v>146068.22</v>
      </c>
      <c r="K52" s="24">
        <f>290363.18</f>
        <v>290363.18</v>
      </c>
      <c r="L52" s="24">
        <f>21178443.91</f>
        <v>21178443.91</v>
      </c>
      <c r="M52" s="24">
        <f>24864196.2</f>
        <v>24864196.199999999</v>
      </c>
      <c r="N52" s="24">
        <f>1234951.15</f>
        <v>1234951.1499999999</v>
      </c>
      <c r="O52" s="24">
        <f>21169.76</f>
        <v>21169.759999999998</v>
      </c>
      <c r="P52" s="24">
        <f>13121.76</f>
        <v>13121.76</v>
      </c>
      <c r="Q52" s="24">
        <f>8048</f>
        <v>8048</v>
      </c>
    </row>
    <row r="53" spans="1:17" ht="35.25" customHeight="1" x14ac:dyDescent="0.2">
      <c r="A53" s="18" t="s">
        <v>80</v>
      </c>
      <c r="B53" s="24">
        <f>8806400.38</f>
        <v>8806400.3800000008</v>
      </c>
      <c r="C53" s="24">
        <f>8806400.38</f>
        <v>8806400.3800000008</v>
      </c>
      <c r="D53" s="24">
        <f>6107074.14</f>
        <v>6107074.1399999997</v>
      </c>
      <c r="E53" s="24">
        <f>3665066.66</f>
        <v>3665066.66</v>
      </c>
      <c r="F53" s="24">
        <f>0</f>
        <v>0</v>
      </c>
      <c r="G53" s="24">
        <f>2348890.06</f>
        <v>2348890.06</v>
      </c>
      <c r="H53" s="24">
        <f>93117.42</f>
        <v>93117.42</v>
      </c>
      <c r="I53" s="24">
        <f>0</f>
        <v>0</v>
      </c>
      <c r="J53" s="24">
        <f>0</f>
        <v>0</v>
      </c>
      <c r="K53" s="24">
        <f>917.42</f>
        <v>917.42</v>
      </c>
      <c r="L53" s="24">
        <f>2304417.02</f>
        <v>2304417.02</v>
      </c>
      <c r="M53" s="24">
        <f>389035.51</f>
        <v>389035.51</v>
      </c>
      <c r="N53" s="24">
        <f>4956.29</f>
        <v>4956.29</v>
      </c>
      <c r="O53" s="24">
        <f>0</f>
        <v>0</v>
      </c>
      <c r="P53" s="24">
        <f>0</f>
        <v>0</v>
      </c>
      <c r="Q53" s="24">
        <f>0</f>
        <v>0</v>
      </c>
    </row>
    <row r="54" spans="1:17" ht="31.5" customHeight="1" x14ac:dyDescent="0.2">
      <c r="A54" s="18" t="s">
        <v>39</v>
      </c>
      <c r="B54" s="24">
        <f>747333347.8</f>
        <v>747333347.79999995</v>
      </c>
      <c r="C54" s="24">
        <f>747332407.8</f>
        <v>747332407.79999995</v>
      </c>
      <c r="D54" s="24">
        <f>227618836.14</f>
        <v>227618836.13999999</v>
      </c>
      <c r="E54" s="24">
        <f>41214019.57</f>
        <v>41214019.57</v>
      </c>
      <c r="F54" s="24">
        <f>1694184.26</f>
        <v>1694184.26</v>
      </c>
      <c r="G54" s="24">
        <f>181558094.03</f>
        <v>181558094.03</v>
      </c>
      <c r="H54" s="24">
        <f>3152538.28</f>
        <v>3152538.28</v>
      </c>
      <c r="I54" s="24">
        <f>0</f>
        <v>0</v>
      </c>
      <c r="J54" s="24">
        <f>55911.63</f>
        <v>55911.63</v>
      </c>
      <c r="K54" s="24">
        <f>15587971.47</f>
        <v>15587971.470000001</v>
      </c>
      <c r="L54" s="24">
        <f>425025681.3</f>
        <v>425025681.30000001</v>
      </c>
      <c r="M54" s="24">
        <f>75860311.18</f>
        <v>75860311.180000007</v>
      </c>
      <c r="N54" s="24">
        <f>3183696.08</f>
        <v>3183696.08</v>
      </c>
      <c r="O54" s="24">
        <f>940</f>
        <v>940</v>
      </c>
      <c r="P54" s="24">
        <f>0</f>
        <v>0</v>
      </c>
      <c r="Q54" s="24">
        <f>940</f>
        <v>940</v>
      </c>
    </row>
    <row r="63" spans="1:17" ht="66" customHeight="1" x14ac:dyDescent="0.2">
      <c r="A63" s="31" t="str">
        <f>CONCATENATE("Informacja z wykonania budżetów powiatów za   ",$C$90," ",$B$91," roku    ",$B$93,"")</f>
        <v xml:space="preserve">Informacja z wykonania budżetów powiatów za   II Kwartały 2025 roku    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17" ht="13.5" customHeight="1" x14ac:dyDescent="0.2">
      <c r="B64" s="41" t="s">
        <v>2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</row>
    <row r="66" spans="2:12" ht="13.5" customHeight="1" x14ac:dyDescent="0.2">
      <c r="B66" s="45" t="s">
        <v>0</v>
      </c>
      <c r="C66" s="46"/>
      <c r="D66" s="46"/>
      <c r="E66" s="47"/>
      <c r="F66" s="67" t="s">
        <v>68</v>
      </c>
      <c r="G66" s="42" t="s">
        <v>74</v>
      </c>
      <c r="H66" s="56"/>
      <c r="I66" s="56"/>
      <c r="J66" s="56"/>
      <c r="K66" s="56"/>
      <c r="L66" s="43"/>
    </row>
    <row r="67" spans="2:12" ht="13.5" customHeight="1" x14ac:dyDescent="0.2">
      <c r="B67" s="48"/>
      <c r="C67" s="49"/>
      <c r="D67" s="49"/>
      <c r="E67" s="50"/>
      <c r="F67" s="68"/>
      <c r="G67" s="70" t="s">
        <v>69</v>
      </c>
      <c r="H67" s="44" t="s">
        <v>66</v>
      </c>
      <c r="I67" s="44" t="s">
        <v>67</v>
      </c>
      <c r="J67" s="44" t="s">
        <v>70</v>
      </c>
      <c r="K67" s="44" t="s">
        <v>71</v>
      </c>
      <c r="L67" s="85" t="s">
        <v>72</v>
      </c>
    </row>
    <row r="68" spans="2:12" ht="13.5" customHeight="1" x14ac:dyDescent="0.2">
      <c r="B68" s="48"/>
      <c r="C68" s="49"/>
      <c r="D68" s="49"/>
      <c r="E68" s="50"/>
      <c r="F68" s="68"/>
      <c r="G68" s="70"/>
      <c r="H68" s="44"/>
      <c r="I68" s="44"/>
      <c r="J68" s="44"/>
      <c r="K68" s="44"/>
      <c r="L68" s="85"/>
    </row>
    <row r="69" spans="2:12" ht="11.25" customHeight="1" x14ac:dyDescent="0.2">
      <c r="B69" s="48"/>
      <c r="C69" s="49"/>
      <c r="D69" s="49"/>
      <c r="E69" s="50"/>
      <c r="F69" s="68"/>
      <c r="G69" s="70"/>
      <c r="H69" s="44"/>
      <c r="I69" s="44"/>
      <c r="J69" s="44"/>
      <c r="K69" s="44"/>
      <c r="L69" s="85"/>
    </row>
    <row r="70" spans="2:12" ht="11.25" customHeight="1" x14ac:dyDescent="0.2">
      <c r="B70" s="51"/>
      <c r="C70" s="52"/>
      <c r="D70" s="52"/>
      <c r="E70" s="53"/>
      <c r="F70" s="69"/>
      <c r="G70" s="70"/>
      <c r="H70" s="44"/>
      <c r="I70" s="44"/>
      <c r="J70" s="44"/>
      <c r="K70" s="44"/>
      <c r="L70" s="85"/>
    </row>
    <row r="71" spans="2:12" ht="11.25" customHeight="1" x14ac:dyDescent="0.2">
      <c r="B71" s="44">
        <v>1</v>
      </c>
      <c r="C71" s="44"/>
      <c r="D71" s="44"/>
      <c r="E71" s="44"/>
      <c r="F71" s="3">
        <v>2</v>
      </c>
      <c r="G71" s="3">
        <v>3</v>
      </c>
      <c r="H71" s="3">
        <v>4</v>
      </c>
      <c r="I71" s="3">
        <v>5</v>
      </c>
      <c r="J71" s="3">
        <v>6</v>
      </c>
      <c r="K71" s="3">
        <v>7</v>
      </c>
      <c r="L71" s="3">
        <v>8</v>
      </c>
    </row>
    <row r="72" spans="2:12" ht="12.75" customHeight="1" x14ac:dyDescent="0.2">
      <c r="B72" s="44"/>
      <c r="C72" s="44"/>
      <c r="D72" s="44"/>
      <c r="E72" s="44"/>
      <c r="F72" s="42" t="s">
        <v>76</v>
      </c>
      <c r="G72" s="83"/>
      <c r="H72" s="83"/>
      <c r="I72" s="83"/>
      <c r="J72" s="83"/>
      <c r="K72" s="83"/>
      <c r="L72" s="84"/>
    </row>
    <row r="73" spans="2:12" ht="33.75" customHeight="1" x14ac:dyDescent="0.2">
      <c r="B73" s="36" t="s">
        <v>53</v>
      </c>
      <c r="C73" s="37"/>
      <c r="D73" s="37"/>
      <c r="E73" s="38"/>
      <c r="F73" s="26">
        <f>491817129.13</f>
        <v>491817129.13</v>
      </c>
      <c r="G73" s="26">
        <f>251844896.74</f>
        <v>251844896.74000001</v>
      </c>
      <c r="H73" s="26">
        <f>29311133.77</f>
        <v>29311133.77</v>
      </c>
      <c r="I73" s="26">
        <f>8405139.55</f>
        <v>8405139.5500000007</v>
      </c>
      <c r="J73" s="26">
        <f>207774569.96</f>
        <v>207774569.96000001</v>
      </c>
      <c r="K73" s="26">
        <f>6354053.46</f>
        <v>6354053.46</v>
      </c>
      <c r="L73" s="26">
        <f>239972232.39</f>
        <v>239972232.38999999</v>
      </c>
    </row>
    <row r="74" spans="2:12" ht="33.75" customHeight="1" x14ac:dyDescent="0.2">
      <c r="B74" s="36" t="s">
        <v>54</v>
      </c>
      <c r="C74" s="37"/>
      <c r="D74" s="37"/>
      <c r="E74" s="38"/>
      <c r="F74" s="26">
        <f>0</f>
        <v>0</v>
      </c>
      <c r="G74" s="26">
        <f>0</f>
        <v>0</v>
      </c>
      <c r="H74" s="26">
        <f>0</f>
        <v>0</v>
      </c>
      <c r="I74" s="26">
        <f>0</f>
        <v>0</v>
      </c>
      <c r="J74" s="26">
        <f>0</f>
        <v>0</v>
      </c>
      <c r="K74" s="26">
        <f>0</f>
        <v>0</v>
      </c>
      <c r="L74" s="26">
        <f>0</f>
        <v>0</v>
      </c>
    </row>
    <row r="75" spans="2:12" ht="33.75" customHeight="1" x14ac:dyDescent="0.2">
      <c r="B75" s="36" t="s">
        <v>55</v>
      </c>
      <c r="C75" s="37"/>
      <c r="D75" s="37"/>
      <c r="E75" s="38"/>
      <c r="F75" s="26">
        <f>47755335.18</f>
        <v>47755335.18</v>
      </c>
      <c r="G75" s="26">
        <f>36843005.93</f>
        <v>36843005.93</v>
      </c>
      <c r="H75" s="26">
        <f>0</f>
        <v>0</v>
      </c>
      <c r="I75" s="26">
        <f>2000000</f>
        <v>2000000</v>
      </c>
      <c r="J75" s="26">
        <f>34843005.93</f>
        <v>34843005.93</v>
      </c>
      <c r="K75" s="26">
        <f>0</f>
        <v>0</v>
      </c>
      <c r="L75" s="26">
        <f>10912329.25</f>
        <v>10912329.25</v>
      </c>
    </row>
    <row r="76" spans="2:12" ht="22.5" customHeight="1" x14ac:dyDescent="0.2">
      <c r="B76" s="36" t="s">
        <v>56</v>
      </c>
      <c r="C76" s="37"/>
      <c r="D76" s="37"/>
      <c r="E76" s="38"/>
      <c r="F76" s="26">
        <f>49120179.2</f>
        <v>49120179.200000003</v>
      </c>
      <c r="G76" s="26">
        <f>20824554.71</f>
        <v>20824554.710000001</v>
      </c>
      <c r="H76" s="26">
        <f>0</f>
        <v>0</v>
      </c>
      <c r="I76" s="26">
        <f>0</f>
        <v>0</v>
      </c>
      <c r="J76" s="26">
        <f>20824554.71</f>
        <v>20824554.710000001</v>
      </c>
      <c r="K76" s="26">
        <f>0</f>
        <v>0</v>
      </c>
      <c r="L76" s="26">
        <f>28295624.49</f>
        <v>28295624.489999998</v>
      </c>
    </row>
    <row r="77" spans="2:12" ht="33.75" customHeight="1" x14ac:dyDescent="0.2">
      <c r="B77" s="36" t="s">
        <v>57</v>
      </c>
      <c r="C77" s="37"/>
      <c r="D77" s="37"/>
      <c r="E77" s="38"/>
      <c r="F77" s="26">
        <f>13198076.7</f>
        <v>13198076.699999999</v>
      </c>
      <c r="G77" s="26">
        <f>13198076.7</f>
        <v>13198076.699999999</v>
      </c>
      <c r="H77" s="26">
        <f>0</f>
        <v>0</v>
      </c>
      <c r="I77" s="26">
        <f>0</f>
        <v>0</v>
      </c>
      <c r="J77" s="26">
        <f>13198076.7</f>
        <v>13198076.699999999</v>
      </c>
      <c r="K77" s="26">
        <f>0</f>
        <v>0</v>
      </c>
      <c r="L77" s="26">
        <f>0</f>
        <v>0</v>
      </c>
    </row>
    <row r="78" spans="2:12" ht="33.75" customHeight="1" x14ac:dyDescent="0.2">
      <c r="B78" s="36" t="s">
        <v>58</v>
      </c>
      <c r="C78" s="37"/>
      <c r="D78" s="37"/>
      <c r="E78" s="38"/>
      <c r="F78" s="26">
        <f>3376044.33</f>
        <v>3376044.33</v>
      </c>
      <c r="G78" s="26">
        <f>986575.51</f>
        <v>986575.51</v>
      </c>
      <c r="H78" s="26">
        <f>0</f>
        <v>0</v>
      </c>
      <c r="I78" s="26">
        <f>0</f>
        <v>0</v>
      </c>
      <c r="J78" s="26">
        <f>986575.51</f>
        <v>986575.51</v>
      </c>
      <c r="K78" s="26">
        <f>0</f>
        <v>0</v>
      </c>
      <c r="L78" s="26">
        <f>2389468.82</f>
        <v>2389468.8199999998</v>
      </c>
    </row>
    <row r="79" spans="2:12" ht="22.5" customHeight="1" x14ac:dyDescent="0.2">
      <c r="B79" s="36" t="s">
        <v>59</v>
      </c>
      <c r="C79" s="37"/>
      <c r="D79" s="37"/>
      <c r="E79" s="38"/>
      <c r="F79" s="26">
        <f>374570.74</f>
        <v>374570.74</v>
      </c>
      <c r="G79" s="26">
        <f>228.56</f>
        <v>228.56</v>
      </c>
      <c r="H79" s="26">
        <f>0</f>
        <v>0</v>
      </c>
      <c r="I79" s="26">
        <f>0</f>
        <v>0</v>
      </c>
      <c r="J79" s="26">
        <f>228.56</f>
        <v>228.56</v>
      </c>
      <c r="K79" s="26">
        <f>0</f>
        <v>0</v>
      </c>
      <c r="L79" s="26">
        <f>374342.18</f>
        <v>374342.18</v>
      </c>
    </row>
    <row r="82" spans="1:13" ht="75" customHeight="1" x14ac:dyDescent="0.2">
      <c r="A82" s="31" t="str">
        <f>CONCATENATE("Informacja z wykonania budżetów powiatów za   ",$C$90," ",$B$91," roku    ",$B$93,"")</f>
        <v xml:space="preserve">Informacja z wykonania budżetów powiatów za   II Kwartały 2025 roku    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</row>
    <row r="83" spans="1:13" ht="13.5" customHeight="1" x14ac:dyDescent="0.2">
      <c r="B83" s="4"/>
    </row>
    <row r="84" spans="1:13" ht="13.5" customHeight="1" x14ac:dyDescent="0.2">
      <c r="B84" s="5"/>
      <c r="C84" s="42"/>
      <c r="D84" s="56"/>
      <c r="E84" s="56"/>
      <c r="F84" s="43"/>
      <c r="G84" s="42" t="s">
        <v>3</v>
      </c>
      <c r="H84" s="43"/>
      <c r="I84" s="42" t="s">
        <v>4</v>
      </c>
      <c r="J84" s="43"/>
      <c r="K84" s="5"/>
    </row>
    <row r="85" spans="1:13" ht="13.5" customHeight="1" x14ac:dyDescent="0.2">
      <c r="B85" s="6"/>
      <c r="C85" s="57" t="s">
        <v>5</v>
      </c>
      <c r="D85" s="58"/>
      <c r="E85" s="58"/>
      <c r="F85" s="59"/>
      <c r="G85" s="54">
        <f>311</f>
        <v>311</v>
      </c>
      <c r="H85" s="55"/>
      <c r="I85" s="39">
        <f>5839982586.01</f>
        <v>5839982586.0100002</v>
      </c>
      <c r="J85" s="40"/>
      <c r="K85" s="7"/>
    </row>
    <row r="86" spans="1:13" ht="13.5" customHeight="1" x14ac:dyDescent="0.2">
      <c r="B86" s="6"/>
      <c r="C86" s="60" t="s">
        <v>6</v>
      </c>
      <c r="D86" s="61"/>
      <c r="E86" s="61"/>
      <c r="F86" s="62"/>
      <c r="G86" s="63">
        <f>3</f>
        <v>3</v>
      </c>
      <c r="H86" s="64"/>
      <c r="I86" s="65">
        <f>-6761563.16</f>
        <v>-6761563.1600000001</v>
      </c>
      <c r="J86" s="66"/>
      <c r="K86" s="7"/>
    </row>
    <row r="87" spans="1:13" ht="13.5" customHeight="1" x14ac:dyDescent="0.2">
      <c r="B87" s="6"/>
      <c r="C87" s="57" t="s">
        <v>7</v>
      </c>
      <c r="D87" s="58"/>
      <c r="E87" s="58"/>
      <c r="F87" s="59"/>
      <c r="G87" s="54">
        <f>0</f>
        <v>0</v>
      </c>
      <c r="H87" s="55"/>
      <c r="I87" s="39">
        <f>0</f>
        <v>0</v>
      </c>
      <c r="J87" s="40"/>
      <c r="K87" s="7"/>
    </row>
    <row r="90" spans="1:13" ht="13.5" customHeight="1" x14ac:dyDescent="0.2">
      <c r="A90" s="8" t="s">
        <v>8</v>
      </c>
      <c r="B90" s="8">
        <f>2</f>
        <v>2</v>
      </c>
      <c r="C90" s="8" t="str">
        <f>IF(B90=1,"I Kwartał",IF(B90=2,"II Kwartały",IF(B90=3,"III Kwartały",IF(B90=4,"IV Kwartały","-"))))</f>
        <v>II Kwartały</v>
      </c>
    </row>
    <row r="91" spans="1:13" ht="13.5" customHeight="1" x14ac:dyDescent="0.2">
      <c r="A91" s="8" t="s">
        <v>9</v>
      </c>
      <c r="B91" s="8">
        <f>2025</f>
        <v>2025</v>
      </c>
      <c r="C91" s="9"/>
    </row>
    <row r="92" spans="1:13" ht="13.5" customHeight="1" x14ac:dyDescent="0.2">
      <c r="A92" s="8" t="s">
        <v>10</v>
      </c>
      <c r="B92" s="10" t="str">
        <f>"Aug 15 2025 12:00AM"</f>
        <v>Aug 15 2025 12:00AM</v>
      </c>
      <c r="C92" s="9"/>
    </row>
    <row r="93" spans="1:13" ht="13.5" customHeight="1" x14ac:dyDescent="0.2">
      <c r="A93" s="14" t="s">
        <v>75</v>
      </c>
      <c r="B93" s="10" t="str">
        <f>""</f>
        <v/>
      </c>
    </row>
  </sheetData>
  <mergeCells count="79">
    <mergeCell ref="B71:E71"/>
    <mergeCell ref="F72:L72"/>
    <mergeCell ref="L67:L70"/>
    <mergeCell ref="F32:F35"/>
    <mergeCell ref="G32:G35"/>
    <mergeCell ref="H32:H35"/>
    <mergeCell ref="K32:K35"/>
    <mergeCell ref="I32:I35"/>
    <mergeCell ref="J32:J35"/>
    <mergeCell ref="A31:A35"/>
    <mergeCell ref="C32:C35"/>
    <mergeCell ref="E32:E35"/>
    <mergeCell ref="B31:B35"/>
    <mergeCell ref="K67:K70"/>
    <mergeCell ref="H67:H70"/>
    <mergeCell ref="I67:I70"/>
    <mergeCell ref="J67:J70"/>
    <mergeCell ref="B37:Q37"/>
    <mergeCell ref="A29:M29"/>
    <mergeCell ref="G7:G10"/>
    <mergeCell ref="F7:F10"/>
    <mergeCell ref="I7:I10"/>
    <mergeCell ref="J7:J10"/>
    <mergeCell ref="B12:Q12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L7:L10"/>
    <mergeCell ref="M7:M10"/>
    <mergeCell ref="N7:N10"/>
    <mergeCell ref="G87:H87"/>
    <mergeCell ref="I87:J87"/>
    <mergeCell ref="C84:F84"/>
    <mergeCell ref="C85:F85"/>
    <mergeCell ref="C86:F86"/>
    <mergeCell ref="C87:F87"/>
    <mergeCell ref="G85:H85"/>
    <mergeCell ref="G84:H84"/>
    <mergeCell ref="G86:H86"/>
    <mergeCell ref="I86:J86"/>
    <mergeCell ref="B78:E78"/>
    <mergeCell ref="I85:J85"/>
    <mergeCell ref="B64:M64"/>
    <mergeCell ref="I84:J84"/>
    <mergeCell ref="B72:E72"/>
    <mergeCell ref="B66:E70"/>
    <mergeCell ref="B79:E79"/>
    <mergeCell ref="A82:M82"/>
    <mergeCell ref="B75:E75"/>
    <mergeCell ref="B76:E76"/>
    <mergeCell ref="B77:E77"/>
    <mergeCell ref="B74:E74"/>
    <mergeCell ref="B73:E73"/>
    <mergeCell ref="F66:F70"/>
    <mergeCell ref="G67:G70"/>
    <mergeCell ref="G66:L66"/>
    <mergeCell ref="O6:Q6"/>
    <mergeCell ref="O7:O10"/>
    <mergeCell ref="A63:M63"/>
    <mergeCell ref="L32:L35"/>
    <mergeCell ref="P32:P35"/>
    <mergeCell ref="Q32:Q35"/>
    <mergeCell ref="N32:N35"/>
    <mergeCell ref="O32:O35"/>
    <mergeCell ref="D32:D35"/>
    <mergeCell ref="H7:H10"/>
    <mergeCell ref="M32:M35"/>
    <mergeCell ref="Q7:Q10"/>
    <mergeCell ref="C31:N31"/>
    <mergeCell ref="P7:P10"/>
    <mergeCell ref="A27:M27"/>
    <mergeCell ref="O31:Q3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6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2009-11-20T13:10:55Z</cp:lastPrinted>
  <dcterms:created xsi:type="dcterms:W3CDTF">2001-05-17T08:58:03Z</dcterms:created>
  <dcterms:modified xsi:type="dcterms:W3CDTF">2025-08-21T11:41:33Z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2025-08-19T09:09:30.1016977+02:00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GRN-8e310120-a5e0-44db-bf5a-e601f2f5c5bc</vt:lpwstr>
  </property>
  <property fmtid="{D5CDD505-2E9C-101B-9397-08002B2CF9AE}" pid="7" name="MFHash">
    <vt:lpwstr>4zsfWtJG0U8jZoMUyofSA0CSnF6Xkk+DHHcZ44zFPqI=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