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67D87662-490C-4064-919D-B9FB5FE56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0" i="4" l="1"/>
  <c r="C139" i="4"/>
  <c r="C138" i="4"/>
  <c r="C137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7" i="4"/>
  <c r="C127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I98" i="4"/>
  <c r="H98" i="4"/>
  <c r="G98" i="4"/>
  <c r="F98" i="4"/>
  <c r="E98" i="4"/>
  <c r="D98" i="4"/>
  <c r="C98" i="4"/>
  <c r="I97" i="4"/>
  <c r="H97" i="4"/>
  <c r="G97" i="4"/>
  <c r="F97" i="4"/>
  <c r="E97" i="4"/>
  <c r="D97" i="4"/>
  <c r="C97" i="4"/>
  <c r="I91" i="4"/>
  <c r="H91" i="4"/>
  <c r="G91" i="4"/>
  <c r="F91" i="4"/>
  <c r="E91" i="4"/>
  <c r="D91" i="4"/>
  <c r="C91" i="4"/>
  <c r="I90" i="4"/>
  <c r="H90" i="4"/>
  <c r="G90" i="4"/>
  <c r="F90" i="4"/>
  <c r="E90" i="4"/>
  <c r="D90" i="4"/>
  <c r="C90" i="4"/>
  <c r="I89" i="4"/>
  <c r="H89" i="4"/>
  <c r="G89" i="4"/>
  <c r="F89" i="4"/>
  <c r="E89" i="4"/>
  <c r="D89" i="4"/>
  <c r="C89" i="4"/>
  <c r="I88" i="4"/>
  <c r="H88" i="4"/>
  <c r="G88" i="4"/>
  <c r="F88" i="4"/>
  <c r="E88" i="4"/>
  <c r="D88" i="4"/>
  <c r="C88" i="4"/>
  <c r="I87" i="4"/>
  <c r="H87" i="4"/>
  <c r="G87" i="4"/>
  <c r="F87" i="4"/>
  <c r="E87" i="4"/>
  <c r="D87" i="4"/>
  <c r="C87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72" i="4"/>
  <c r="H72" i="4"/>
  <c r="G72" i="4"/>
  <c r="F72" i="4"/>
  <c r="E72" i="4"/>
  <c r="D72" i="4"/>
  <c r="C72" i="4"/>
  <c r="D69" i="4"/>
  <c r="C69" i="4"/>
  <c r="D68" i="4"/>
  <c r="C68" i="4"/>
  <c r="D66" i="4"/>
  <c r="C66" i="4"/>
  <c r="D65" i="4"/>
  <c r="C65" i="4"/>
  <c r="D64" i="4"/>
  <c r="C64" i="4"/>
  <c r="D62" i="4"/>
  <c r="C62" i="4"/>
  <c r="D61" i="4"/>
  <c r="C61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1" i="4"/>
  <c r="C31" i="4"/>
  <c r="D30" i="4"/>
  <c r="C30" i="4"/>
  <c r="D29" i="4"/>
  <c r="C29" i="4"/>
  <c r="D28" i="4"/>
  <c r="C28" i="4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K42" i="4" l="1"/>
  <c r="K59" i="4"/>
  <c r="E86" i="4"/>
  <c r="E92" i="4" s="1"/>
  <c r="F86" i="4"/>
  <c r="F92" i="4" s="1"/>
  <c r="K88" i="4"/>
  <c r="K14" i="4"/>
  <c r="H99" i="4"/>
  <c r="I99" i="4"/>
  <c r="K27" i="4"/>
  <c r="F115" i="4"/>
  <c r="C99" i="4"/>
  <c r="K99" i="4" s="1"/>
  <c r="K98" i="4"/>
  <c r="K19" i="4"/>
  <c r="K61" i="4"/>
  <c r="D99" i="4"/>
  <c r="F107" i="4"/>
  <c r="K48" i="4"/>
  <c r="F108" i="4"/>
  <c r="K53" i="4"/>
  <c r="F109" i="4"/>
  <c r="K41" i="4"/>
  <c r="H6" i="4"/>
  <c r="H22" i="4" s="1"/>
  <c r="H71" i="4"/>
  <c r="H73" i="4" s="1"/>
  <c r="C25" i="4"/>
  <c r="K28" i="4"/>
  <c r="G86" i="4"/>
  <c r="G92" i="4" s="1"/>
  <c r="F119" i="4"/>
  <c r="I6" i="4"/>
  <c r="I22" i="4" s="1"/>
  <c r="I71" i="4"/>
  <c r="I73" i="4" s="1"/>
  <c r="K47" i="4"/>
  <c r="K7" i="4"/>
  <c r="D32" i="4"/>
  <c r="J32" i="4" s="1"/>
  <c r="F120" i="4"/>
  <c r="K34" i="4"/>
  <c r="K85" i="4"/>
  <c r="K12" i="4"/>
  <c r="K68" i="4"/>
  <c r="F121" i="4"/>
  <c r="C32" i="4"/>
  <c r="K35" i="4"/>
  <c r="D67" i="4"/>
  <c r="J67" i="4" s="1"/>
  <c r="K91" i="4"/>
  <c r="K17" i="4"/>
  <c r="C67" i="4"/>
  <c r="K67" i="4" s="1"/>
  <c r="K69" i="4"/>
  <c r="D137" i="4"/>
  <c r="D39" i="4"/>
  <c r="J39" i="4" s="1"/>
  <c r="F113" i="4"/>
  <c r="K21" i="4"/>
  <c r="K54" i="4"/>
  <c r="K83" i="4"/>
  <c r="C86" i="4"/>
  <c r="K9" i="4"/>
  <c r="D25" i="4"/>
  <c r="J91" i="4"/>
  <c r="J83" i="4"/>
  <c r="J88" i="4"/>
  <c r="J85" i="4"/>
  <c r="J84" i="4"/>
  <c r="J92" i="4"/>
  <c r="J87" i="4"/>
  <c r="J89" i="4"/>
  <c r="J90" i="4"/>
  <c r="D86" i="4"/>
  <c r="D92" i="4" s="1"/>
  <c r="G99" i="4"/>
  <c r="F114" i="4"/>
  <c r="K55" i="4"/>
  <c r="I86" i="4"/>
  <c r="I92" i="4" s="1"/>
  <c r="F116" i="4"/>
  <c r="K44" i="4"/>
  <c r="J16" i="4"/>
  <c r="J14" i="4"/>
  <c r="J58" i="4"/>
  <c r="J55" i="4"/>
  <c r="J36" i="4"/>
  <c r="J21" i="4"/>
  <c r="J51" i="4"/>
  <c r="J54" i="4"/>
  <c r="J28" i="4"/>
  <c r="J29" i="4"/>
  <c r="J59" i="4"/>
  <c r="J17" i="4"/>
  <c r="J18" i="4"/>
  <c r="J64" i="4"/>
  <c r="J30" i="4"/>
  <c r="J46" i="4"/>
  <c r="J44" i="4"/>
  <c r="J43" i="4"/>
  <c r="J62" i="4"/>
  <c r="J31" i="4"/>
  <c r="J38" i="4"/>
  <c r="J27" i="4"/>
  <c r="J52" i="4"/>
  <c r="J33" i="4"/>
  <c r="J11" i="4"/>
  <c r="J47" i="4"/>
  <c r="J50" i="4"/>
  <c r="J20" i="4"/>
  <c r="J35" i="4"/>
  <c r="J45" i="4"/>
  <c r="J12" i="4"/>
  <c r="J13" i="4"/>
  <c r="J26" i="4"/>
  <c r="J42" i="4"/>
  <c r="J9" i="4"/>
  <c r="J65" i="4"/>
  <c r="J57" i="4"/>
  <c r="J8" i="4"/>
  <c r="J25" i="4"/>
  <c r="J41" i="4"/>
  <c r="J68" i="4"/>
  <c r="J5" i="4"/>
  <c r="J7" i="4"/>
  <c r="J49" i="4"/>
  <c r="J66" i="4"/>
  <c r="J56" i="4"/>
  <c r="J19" i="4"/>
  <c r="J48" i="4"/>
  <c r="J69" i="4"/>
  <c r="J72" i="4"/>
  <c r="J53" i="4"/>
  <c r="D71" i="4"/>
  <c r="D73" i="4" s="1"/>
  <c r="J73" i="4" s="1"/>
  <c r="J61" i="4"/>
  <c r="J40" i="4"/>
  <c r="J15" i="4"/>
  <c r="D93" i="4"/>
  <c r="J37" i="4"/>
  <c r="J10" i="4"/>
  <c r="J34" i="4"/>
  <c r="K97" i="4"/>
  <c r="K8" i="4"/>
  <c r="K51" i="4"/>
  <c r="K87" i="4"/>
  <c r="J98" i="4"/>
  <c r="J99" i="4"/>
  <c r="J97" i="4"/>
  <c r="E122" i="4"/>
  <c r="E117" i="4"/>
  <c r="E120" i="4"/>
  <c r="E118" i="4"/>
  <c r="E121" i="4"/>
  <c r="E119" i="4"/>
  <c r="K29" i="4"/>
  <c r="K43" i="4"/>
  <c r="K62" i="4"/>
  <c r="H86" i="4"/>
  <c r="H92" i="4" s="1"/>
  <c r="F110" i="4"/>
  <c r="K30" i="4"/>
  <c r="K50" i="4"/>
  <c r="K64" i="4"/>
  <c r="C63" i="4"/>
  <c r="K84" i="4"/>
  <c r="K13" i="4"/>
  <c r="F111" i="4"/>
  <c r="E6" i="4"/>
  <c r="E22" i="4" s="1"/>
  <c r="E71" i="4"/>
  <c r="E73" i="4" s="1"/>
  <c r="K20" i="4"/>
  <c r="K38" i="4"/>
  <c r="F71" i="4"/>
  <c r="F73" i="4" s="1"/>
  <c r="F6" i="4"/>
  <c r="F22" i="4" s="1"/>
  <c r="K15" i="4"/>
  <c r="F106" i="4"/>
  <c r="F112" i="4"/>
  <c r="F118" i="4"/>
  <c r="K16" i="4"/>
  <c r="K36" i="4"/>
  <c r="K49" i="4"/>
  <c r="K72" i="4"/>
  <c r="E99" i="4"/>
  <c r="K11" i="4"/>
  <c r="K90" i="4"/>
  <c r="F122" i="4"/>
  <c r="C93" i="4"/>
  <c r="K5" i="4"/>
  <c r="C71" i="4"/>
  <c r="K18" i="4"/>
  <c r="K37" i="4"/>
  <c r="K56" i="4"/>
  <c r="D63" i="4"/>
  <c r="F117" i="4"/>
  <c r="K31" i="4"/>
  <c r="K45" i="4"/>
  <c r="K57" i="4"/>
  <c r="K65" i="4"/>
  <c r="G71" i="4"/>
  <c r="G73" i="4" s="1"/>
  <c r="G6" i="4"/>
  <c r="G22" i="4" s="1"/>
  <c r="K10" i="4"/>
  <c r="K26" i="4"/>
  <c r="K33" i="4"/>
  <c r="C39" i="4"/>
  <c r="K40" i="4"/>
  <c r="K46" i="4"/>
  <c r="K52" i="4"/>
  <c r="K58" i="4"/>
  <c r="K66" i="4"/>
  <c r="K89" i="4"/>
  <c r="F99" i="4"/>
  <c r="E114" i="4"/>
  <c r="E108" i="4"/>
  <c r="E113" i="4"/>
  <c r="E116" i="4"/>
  <c r="E115" i="4"/>
  <c r="E111" i="4"/>
  <c r="E107" i="4"/>
  <c r="E106" i="4"/>
  <c r="E110" i="4"/>
  <c r="E109" i="4"/>
  <c r="E112" i="4"/>
  <c r="D60" i="4" l="1"/>
  <c r="J60" i="4" s="1"/>
  <c r="J86" i="4"/>
  <c r="J63" i="4"/>
  <c r="K63" i="4"/>
  <c r="K39" i="4"/>
  <c r="K32" i="4"/>
  <c r="J71" i="4"/>
  <c r="B76" i="4"/>
  <c r="B101" i="4"/>
  <c r="B1" i="4"/>
  <c r="K71" i="4"/>
  <c r="C73" i="4"/>
  <c r="D24" i="4"/>
  <c r="K86" i="4"/>
  <c r="C92" i="4"/>
  <c r="K92" i="4" s="1"/>
  <c r="D94" i="4"/>
  <c r="C60" i="4"/>
  <c r="K60" i="4" s="1"/>
  <c r="K25" i="4"/>
  <c r="C24" i="4"/>
  <c r="D23" i="4" l="1"/>
  <c r="J24" i="4"/>
  <c r="C94" i="4"/>
  <c r="K73" i="4"/>
  <c r="K24" i="4"/>
  <c r="C23" i="4"/>
  <c r="D6" i="4" l="1"/>
  <c r="J23" i="4"/>
  <c r="K23" i="4"/>
  <c r="C6" i="4"/>
  <c r="J6" i="4" l="1"/>
  <c r="L16" i="4"/>
  <c r="L14" i="4"/>
  <c r="L18" i="4"/>
  <c r="L7" i="4"/>
  <c r="L9" i="4"/>
  <c r="L15" i="4"/>
  <c r="L11" i="4"/>
  <c r="L12" i="4"/>
  <c r="L10" i="4"/>
  <c r="L6" i="4"/>
  <c r="D22" i="4"/>
  <c r="J22" i="4" s="1"/>
  <c r="L17" i="4"/>
  <c r="L8" i="4"/>
  <c r="L20" i="4"/>
  <c r="L21" i="4"/>
  <c r="L13" i="4"/>
  <c r="L19" i="4"/>
  <c r="K6" i="4"/>
  <c r="C22" i="4"/>
  <c r="K22" i="4" l="1"/>
  <c r="L22" i="4"/>
</calcChain>
</file>

<file path=xl/sharedStrings.xml><?xml version="1.0" encoding="utf-8"?>
<sst xmlns="http://schemas.openxmlformats.org/spreadsheetml/2006/main" count="389" uniqueCount="125">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</sst>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9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5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5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5" fontId="34" fillId="0" borderId="10" xfId="0" applyNumberFormat="1" applyFont="1" applyFill="1" applyBorder="1" applyAlignment="1">
      <alignment horizontal="center" vertical="center"/>
    </xf>
    <xf numFmtId="165" fontId="34" fillId="20" borderId="10" xfId="28" applyNumberFormat="1" applyFont="1" applyFill="1" applyBorder="1" applyAlignment="1">
      <alignment horizontal="center" vertical="center"/>
    </xf>
    <xf numFmtId="165" fontId="34" fillId="22" borderId="10" xfId="28" applyNumberFormat="1" applyFont="1" applyFill="1" applyBorder="1" applyAlignment="1">
      <alignment horizontal="center" vertical="center"/>
    </xf>
    <xf numFmtId="165" fontId="34" fillId="22" borderId="10" xfId="0" applyNumberFormat="1" applyFont="1" applyFill="1" applyBorder="1" applyAlignment="1">
      <alignment horizontal="center" vertical="center"/>
    </xf>
    <xf numFmtId="165" fontId="34" fillId="0" borderId="10" xfId="28" applyNumberFormat="1" applyFont="1" applyFill="1" applyBorder="1" applyAlignment="1">
      <alignment horizontal="center" vertical="center"/>
    </xf>
    <xf numFmtId="165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5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5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37" fillId="0" borderId="0" xfId="0" applyFont="1"/>
    <xf numFmtId="0" fontId="37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6" fillId="0" borderId="10" xfId="46" applyFont="1" applyBorder="1" applyAlignment="1">
      <alignment horizontal="left" vertical="center" wrapText="1" inden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0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",$D$137," ",$C$138," rok    ",$C$140,"")</f>
        <v xml:space="preserve">Informacja z wykonania budżetów miast na prawach powiatu za III Kwartały 2023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10" t="s">
        <v>0</v>
      </c>
      <c r="C2" s="5" t="s">
        <v>28</v>
      </c>
      <c r="D2" s="5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  <c r="J2" s="6" t="s">
        <v>2</v>
      </c>
      <c r="K2" s="5" t="s">
        <v>16</v>
      </c>
      <c r="L2" s="5" t="s">
        <v>3</v>
      </c>
    </row>
    <row r="3" spans="2:13" x14ac:dyDescent="0.2">
      <c r="B3" s="110"/>
      <c r="C3" s="119" t="s">
        <v>78</v>
      </c>
      <c r="D3" s="120"/>
      <c r="E3" s="120"/>
      <c r="F3" s="120"/>
      <c r="G3" s="120"/>
      <c r="H3" s="120"/>
      <c r="I3" s="121"/>
      <c r="J3" s="122" t="s">
        <v>4</v>
      </c>
      <c r="K3" s="122"/>
      <c r="L3" s="122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113583565396.43</f>
        <v>113583565396.42999</v>
      </c>
      <c r="D5" s="67">
        <f>86306950579.03</f>
        <v>86306950579.029999</v>
      </c>
      <c r="E5" s="67">
        <f>517820935.97</f>
        <v>517820935.97000003</v>
      </c>
      <c r="F5" s="67">
        <f>100294669.25</f>
        <v>100294669.25</v>
      </c>
      <c r="G5" s="67">
        <f>16046837.36</f>
        <v>16046837.359999999</v>
      </c>
      <c r="H5" s="67">
        <f>73773197.1</f>
        <v>73773197.099999994</v>
      </c>
      <c r="I5" s="67">
        <f>779010.1</f>
        <v>779010.1</v>
      </c>
      <c r="J5" s="16">
        <f t="shared" ref="J5:J73" si="0">IF($D$5=0,"",100*$D5/$D$5)</f>
        <v>100</v>
      </c>
      <c r="K5" s="16">
        <f t="shared" ref="K5:K49" si="1">IF(C5=0,"",100*D5/C5)</f>
        <v>75.985421198745613</v>
      </c>
      <c r="L5" s="16"/>
    </row>
    <row r="6" spans="2:13" ht="25.5" customHeight="1" x14ac:dyDescent="0.2">
      <c r="B6" s="88" t="s">
        <v>57</v>
      </c>
      <c r="C6" s="67">
        <f>C5-C23-C60</f>
        <v>67603674617.089989</v>
      </c>
      <c r="D6" s="67">
        <f>D5-D23-D60</f>
        <v>50917020098.75</v>
      </c>
      <c r="E6" s="67">
        <f>E5</f>
        <v>517820935.97000003</v>
      </c>
      <c r="F6" s="67">
        <f>F5</f>
        <v>100294669.25</v>
      </c>
      <c r="G6" s="67">
        <f>G5</f>
        <v>16046837.359999999</v>
      </c>
      <c r="H6" s="67">
        <f>H5</f>
        <v>73773197.099999994</v>
      </c>
      <c r="I6" s="67">
        <f>I5</f>
        <v>779010.1</v>
      </c>
      <c r="J6" s="16">
        <f t="shared" si="0"/>
        <v>58.995271825907039</v>
      </c>
      <c r="K6" s="16">
        <f t="shared" si="1"/>
        <v>75.316941552579962</v>
      </c>
      <c r="L6" s="16">
        <f t="shared" ref="L6:L22" si="2">IF($D$6=0,"",100*$D6/$D$6)</f>
        <v>100</v>
      </c>
    </row>
    <row r="7" spans="2:13" ht="33.75" outlineLevel="1" x14ac:dyDescent="0.2">
      <c r="B7" s="89" t="s">
        <v>58</v>
      </c>
      <c r="C7" s="68">
        <f>4125436276</f>
        <v>4125436276</v>
      </c>
      <c r="D7" s="68">
        <f>3094076952</f>
        <v>3094076952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3.5849684541534108</v>
      </c>
      <c r="K7" s="18">
        <f t="shared" si="1"/>
        <v>74.999993818835563</v>
      </c>
      <c r="L7" s="18">
        <f t="shared" si="2"/>
        <v>6.0767046971705216</v>
      </c>
    </row>
    <row r="8" spans="2:13" ht="33.75" outlineLevel="1" x14ac:dyDescent="0.2">
      <c r="B8" s="10" t="s">
        <v>59</v>
      </c>
      <c r="C8" s="69">
        <f>860746764</f>
        <v>860746764</v>
      </c>
      <c r="D8" s="69">
        <f>645559794</f>
        <v>645559794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0.74798123403615147</v>
      </c>
      <c r="K8" s="18">
        <f t="shared" si="1"/>
        <v>74.999967586285337</v>
      </c>
      <c r="L8" s="18">
        <f t="shared" si="2"/>
        <v>1.2678664084189961</v>
      </c>
    </row>
    <row r="9" spans="2:13" ht="33.75" outlineLevel="1" x14ac:dyDescent="0.2">
      <c r="B9" s="10" t="s">
        <v>60</v>
      </c>
      <c r="C9" s="69">
        <f>17879541639</f>
        <v>17879541639</v>
      </c>
      <c r="D9" s="69">
        <f>13409655966</f>
        <v>13409655966</v>
      </c>
      <c r="E9" s="69">
        <f>0</f>
        <v>0</v>
      </c>
      <c r="F9" s="69">
        <f>0</f>
        <v>0</v>
      </c>
      <c r="G9" s="69">
        <f>0</f>
        <v>0</v>
      </c>
      <c r="H9" s="69">
        <f>0</f>
        <v>0</v>
      </c>
      <c r="I9" s="69">
        <f>0</f>
        <v>0</v>
      </c>
      <c r="J9" s="18">
        <f t="shared" si="0"/>
        <v>15.537168068197447</v>
      </c>
      <c r="K9" s="18">
        <f t="shared" si="1"/>
        <v>74.999998527646824</v>
      </c>
      <c r="L9" s="18">
        <f t="shared" si="2"/>
        <v>26.336293718667964</v>
      </c>
    </row>
    <row r="10" spans="2:13" ht="33.75" outlineLevel="1" x14ac:dyDescent="0.2">
      <c r="B10" s="10" t="s">
        <v>61</v>
      </c>
      <c r="C10" s="69">
        <f>4772533904</f>
        <v>4772533904</v>
      </c>
      <c r="D10" s="69">
        <f>3579400179</f>
        <v>3579400179</v>
      </c>
      <c r="E10" s="69">
        <f>0</f>
        <v>0</v>
      </c>
      <c r="F10" s="69">
        <f>0</f>
        <v>0</v>
      </c>
      <c r="G10" s="69">
        <f>0</f>
        <v>0</v>
      </c>
      <c r="H10" s="69">
        <f>0</f>
        <v>0</v>
      </c>
      <c r="I10" s="69">
        <f>0</f>
        <v>0</v>
      </c>
      <c r="J10" s="18">
        <f t="shared" si="0"/>
        <v>4.1472907511920445</v>
      </c>
      <c r="K10" s="18">
        <f t="shared" si="1"/>
        <v>74.999994782645757</v>
      </c>
      <c r="L10" s="18">
        <f t="shared" si="2"/>
        <v>7.0298697214762447</v>
      </c>
    </row>
    <row r="11" spans="2:13" ht="12.95" customHeight="1" outlineLevel="1" x14ac:dyDescent="0.2">
      <c r="B11" s="10" t="s">
        <v>17</v>
      </c>
      <c r="C11" s="69">
        <f>27636762</f>
        <v>27636762</v>
      </c>
      <c r="D11" s="69">
        <f>24069526.78</f>
        <v>24069526.780000001</v>
      </c>
      <c r="E11" s="69">
        <f>677314.61</f>
        <v>677314.61</v>
      </c>
      <c r="F11" s="69">
        <f>8525.43</f>
        <v>8525.43</v>
      </c>
      <c r="G11" s="69">
        <f>11205.61</f>
        <v>11205.61</v>
      </c>
      <c r="H11" s="69">
        <f>44827.01</f>
        <v>44827.01</v>
      </c>
      <c r="I11" s="69">
        <f>0</f>
        <v>0</v>
      </c>
      <c r="J11" s="18">
        <f t="shared" si="0"/>
        <v>2.7888283178259077E-2</v>
      </c>
      <c r="K11" s="18">
        <f t="shared" si="1"/>
        <v>87.092427036133969</v>
      </c>
      <c r="L11" s="18">
        <f t="shared" si="2"/>
        <v>4.7272064887770013E-2</v>
      </c>
    </row>
    <row r="12" spans="2:13" ht="12.95" customHeight="1" outlineLevel="1" x14ac:dyDescent="0.2">
      <c r="B12" s="10" t="s">
        <v>18</v>
      </c>
      <c r="C12" s="69">
        <f>11674118492.68</f>
        <v>11674118492.68</v>
      </c>
      <c r="D12" s="70">
        <f>8995534903.11</f>
        <v>8995534903.1100006</v>
      </c>
      <c r="E12" s="69">
        <f>191241030.15</f>
        <v>191241030.15000001</v>
      </c>
      <c r="F12" s="69">
        <f>99954047.21</f>
        <v>99954047.209999993</v>
      </c>
      <c r="G12" s="69">
        <f>12245538.08</f>
        <v>12245538.08</v>
      </c>
      <c r="H12" s="69">
        <f>54892992.36</f>
        <v>54892992.359999999</v>
      </c>
      <c r="I12" s="69">
        <f>715671.75</f>
        <v>715671.75</v>
      </c>
      <c r="J12" s="18">
        <f t="shared" si="0"/>
        <v>10.42272359614064</v>
      </c>
      <c r="K12" s="18">
        <f t="shared" si="1"/>
        <v>77.055367467363411</v>
      </c>
      <c r="L12" s="18">
        <f t="shared" si="2"/>
        <v>17.667049025382454</v>
      </c>
    </row>
    <row r="13" spans="2:13" ht="12.95" customHeight="1" outlineLevel="1" x14ac:dyDescent="0.2">
      <c r="B13" s="10" t="s">
        <v>19</v>
      </c>
      <c r="C13" s="69">
        <f>5793326</f>
        <v>5793326</v>
      </c>
      <c r="D13" s="70">
        <f>5959715.76</f>
        <v>5959715.7599999998</v>
      </c>
      <c r="E13" s="69">
        <f>0</f>
        <v>0</v>
      </c>
      <c r="F13" s="69">
        <f>32751.11</f>
        <v>32751.11</v>
      </c>
      <c r="G13" s="69">
        <f>1705.79</f>
        <v>1705.79</v>
      </c>
      <c r="H13" s="69">
        <f>2928.36</f>
        <v>2928.36</v>
      </c>
      <c r="I13" s="69">
        <f>0</f>
        <v>0</v>
      </c>
      <c r="J13" s="18">
        <f t="shared" si="0"/>
        <v>6.9052558571661921E-3</v>
      </c>
      <c r="K13" s="18">
        <f t="shared" si="1"/>
        <v>102.87209385420395</v>
      </c>
      <c r="L13" s="18">
        <f t="shared" si="2"/>
        <v>1.1704761489265374E-2</v>
      </c>
    </row>
    <row r="14" spans="2:13" ht="12.95" customHeight="1" outlineLevel="1" x14ac:dyDescent="0.2">
      <c r="B14" s="10" t="s">
        <v>20</v>
      </c>
      <c r="C14" s="69">
        <f>398717940.58</f>
        <v>398717940.57999998</v>
      </c>
      <c r="D14" s="70">
        <f>363749711.64</f>
        <v>363749711.63999999</v>
      </c>
      <c r="E14" s="69">
        <f>323145815.75</f>
        <v>323145815.75</v>
      </c>
      <c r="F14" s="69">
        <f>299345.5</f>
        <v>299345.5</v>
      </c>
      <c r="G14" s="69">
        <f>199925.24</f>
        <v>199925.24</v>
      </c>
      <c r="H14" s="69">
        <f>1021474.32</f>
        <v>1021474.32</v>
      </c>
      <c r="I14" s="69">
        <f>0</f>
        <v>0</v>
      </c>
      <c r="J14" s="18">
        <f t="shared" si="0"/>
        <v>0.42146050717771538</v>
      </c>
      <c r="K14" s="18">
        <f t="shared" si="1"/>
        <v>91.229833077204148</v>
      </c>
      <c r="L14" s="18">
        <f t="shared" si="2"/>
        <v>0.71439709341696134</v>
      </c>
    </row>
    <row r="15" spans="2:13" ht="33.75" outlineLevel="1" x14ac:dyDescent="0.2">
      <c r="B15" s="10" t="s">
        <v>36</v>
      </c>
      <c r="C15" s="69">
        <f>96532039.96</f>
        <v>96532039.959999993</v>
      </c>
      <c r="D15" s="70">
        <f>61687081.82</f>
        <v>61687081.82</v>
      </c>
      <c r="E15" s="69">
        <f>0</f>
        <v>0</v>
      </c>
      <c r="F15" s="69">
        <f>0</f>
        <v>0</v>
      </c>
      <c r="G15" s="69">
        <f>5295.77</f>
        <v>5295.77</v>
      </c>
      <c r="H15" s="69">
        <f>243433.48</f>
        <v>243433.48</v>
      </c>
      <c r="I15" s="69">
        <f>0</f>
        <v>0</v>
      </c>
      <c r="J15" s="18">
        <f t="shared" si="0"/>
        <v>7.1474060207368878E-2</v>
      </c>
      <c r="K15" s="18">
        <f t="shared" si="1"/>
        <v>63.903219952216169</v>
      </c>
      <c r="L15" s="18">
        <f t="shared" si="2"/>
        <v>0.12115218388735675</v>
      </c>
    </row>
    <row r="16" spans="2:13" ht="12.95" customHeight="1" outlineLevel="1" x14ac:dyDescent="0.2">
      <c r="B16" s="10" t="s">
        <v>25</v>
      </c>
      <c r="C16" s="69">
        <f>251360251.4</f>
        <v>251360251.40000001</v>
      </c>
      <c r="D16" s="70">
        <f>248130305.04</f>
        <v>248130305.03999999</v>
      </c>
      <c r="E16" s="69">
        <f>0</f>
        <v>0</v>
      </c>
      <c r="F16" s="69">
        <f>0</f>
        <v>0</v>
      </c>
      <c r="G16" s="69">
        <f>956873.89</f>
        <v>956873.89</v>
      </c>
      <c r="H16" s="69">
        <f>7338463.59</f>
        <v>7338463.5899999999</v>
      </c>
      <c r="I16" s="69">
        <f>0</f>
        <v>0</v>
      </c>
      <c r="J16" s="18">
        <f t="shared" si="0"/>
        <v>0.28749747659406727</v>
      </c>
      <c r="K16" s="18">
        <f t="shared" si="1"/>
        <v>98.715013077043736</v>
      </c>
      <c r="L16" s="18">
        <f t="shared" si="2"/>
        <v>0.48732291198261135</v>
      </c>
    </row>
    <row r="17" spans="2:12" ht="22.5" customHeight="1" outlineLevel="1" x14ac:dyDescent="0.2">
      <c r="B17" s="10" t="s">
        <v>26</v>
      </c>
      <c r="C17" s="69">
        <f>2101145851.78</f>
        <v>2101145851.78</v>
      </c>
      <c r="D17" s="70">
        <f>1657963433.72</f>
        <v>1657963433.72</v>
      </c>
      <c r="E17" s="69">
        <f>0</f>
        <v>0</v>
      </c>
      <c r="F17" s="69">
        <f>0</f>
        <v>0</v>
      </c>
      <c r="G17" s="69">
        <f>62911.41</f>
        <v>62911.41</v>
      </c>
      <c r="H17" s="69">
        <f>240249.31</f>
        <v>240249.31</v>
      </c>
      <c r="I17" s="69">
        <f>0</f>
        <v>0</v>
      </c>
      <c r="J17" s="18">
        <f t="shared" si="0"/>
        <v>1.921008009895828</v>
      </c>
      <c r="K17" s="18">
        <f t="shared" si="1"/>
        <v>78.907584274335122</v>
      </c>
      <c r="L17" s="18">
        <f t="shared" si="2"/>
        <v>3.2562067271503632</v>
      </c>
    </row>
    <row r="18" spans="2:12" ht="12.95" customHeight="1" outlineLevel="1" x14ac:dyDescent="0.2">
      <c r="B18" s="10" t="s">
        <v>50</v>
      </c>
      <c r="C18" s="69">
        <f>400834194</f>
        <v>400834194</v>
      </c>
      <c r="D18" s="70">
        <f>327531670.11</f>
        <v>327531670.11000001</v>
      </c>
      <c r="E18" s="69">
        <f>0</f>
        <v>0</v>
      </c>
      <c r="F18" s="69">
        <f>0</f>
        <v>0</v>
      </c>
      <c r="G18" s="69">
        <f>3399</f>
        <v>3399</v>
      </c>
      <c r="H18" s="69">
        <f>0</f>
        <v>0</v>
      </c>
      <c r="I18" s="69">
        <f>0</f>
        <v>0</v>
      </c>
      <c r="J18" s="18">
        <f t="shared" si="0"/>
        <v>0.37949628380171313</v>
      </c>
      <c r="K18" s="18">
        <f t="shared" si="1"/>
        <v>81.712507319173469</v>
      </c>
      <c r="L18" s="18">
        <f t="shared" si="2"/>
        <v>0.64326559070969835</v>
      </c>
    </row>
    <row r="19" spans="2:12" ht="12.95" customHeight="1" outlineLevel="1" x14ac:dyDescent="0.2">
      <c r="B19" s="10" t="s">
        <v>51</v>
      </c>
      <c r="C19" s="69">
        <f>9698000</f>
        <v>9698000</v>
      </c>
      <c r="D19" s="70">
        <f>9598770.86</f>
        <v>9598770.8599999994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1.112166609479563E-2</v>
      </c>
      <c r="K19" s="18">
        <f t="shared" si="1"/>
        <v>98.976808207877909</v>
      </c>
      <c r="L19" s="18">
        <f t="shared" si="2"/>
        <v>1.8851792271786242E-2</v>
      </c>
    </row>
    <row r="20" spans="2:12" ht="12.95" customHeight="1" outlineLevel="1" x14ac:dyDescent="0.2">
      <c r="B20" s="10" t="s">
        <v>52</v>
      </c>
      <c r="C20" s="69">
        <f>14151500</f>
        <v>14151500</v>
      </c>
      <c r="D20" s="70">
        <f>9911381.75</f>
        <v>9911381.75</v>
      </c>
      <c r="E20" s="69">
        <f>0</f>
        <v>0</v>
      </c>
      <c r="F20" s="69">
        <f>0</f>
        <v>0</v>
      </c>
      <c r="G20" s="69">
        <f>600</f>
        <v>600</v>
      </c>
      <c r="H20" s="69">
        <f>0</f>
        <v>0</v>
      </c>
      <c r="I20" s="69">
        <f>0</f>
        <v>0</v>
      </c>
      <c r="J20" s="18">
        <f t="shared" si="0"/>
        <v>1.1483874338630809E-2</v>
      </c>
      <c r="K20" s="18">
        <f t="shared" si="1"/>
        <v>70.037676218068754</v>
      </c>
      <c r="L20" s="18">
        <f t="shared" si="2"/>
        <v>1.9465753751452007E-2</v>
      </c>
    </row>
    <row r="21" spans="2:12" ht="12.95" customHeight="1" outlineLevel="1" x14ac:dyDescent="0.2">
      <c r="B21" s="10" t="s">
        <v>21</v>
      </c>
      <c r="C21" s="69">
        <f>5613780792.72</f>
        <v>5613780792.7200003</v>
      </c>
      <c r="D21" s="70">
        <f>3743923128.44</f>
        <v>3743923128.4400001</v>
      </c>
      <c r="E21" s="69">
        <f>0</f>
        <v>0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4.3379161276376514</v>
      </c>
      <c r="K21" s="18">
        <f t="shared" si="1"/>
        <v>66.691651610179576</v>
      </c>
      <c r="L21" s="18">
        <f t="shared" si="2"/>
        <v>7.3529894742051338</v>
      </c>
    </row>
    <row r="22" spans="2:12" ht="12.95" customHeight="1" outlineLevel="1" x14ac:dyDescent="0.2">
      <c r="B22" s="10" t="s">
        <v>22</v>
      </c>
      <c r="C22" s="69">
        <f>C6-SUM(C7:C21)</f>
        <v>19371646882.969986</v>
      </c>
      <c r="D22" s="69">
        <f t="shared" ref="D22:I22" si="3">D6-SUM(D7:D21)</f>
        <v>14740267578.720001</v>
      </c>
      <c r="E22" s="69">
        <f t="shared" si="3"/>
        <v>2756775.4600000381</v>
      </c>
      <c r="F22" s="69">
        <f t="shared" si="3"/>
        <v>0</v>
      </c>
      <c r="G22" s="69">
        <f t="shared" si="3"/>
        <v>2559382.5700000003</v>
      </c>
      <c r="H22" s="69">
        <f t="shared" si="3"/>
        <v>9988828.6700000018</v>
      </c>
      <c r="I22" s="69">
        <f t="shared" si="3"/>
        <v>63338.349999999977</v>
      </c>
      <c r="J22" s="18">
        <f t="shared" si="0"/>
        <v>17.078888177404153</v>
      </c>
      <c r="K22" s="18">
        <f t="shared" si="1"/>
        <v>76.091969194826035</v>
      </c>
      <c r="L22" s="18">
        <f t="shared" si="2"/>
        <v>28.949588075131423</v>
      </c>
    </row>
    <row r="23" spans="2:12" ht="26.25" customHeight="1" x14ac:dyDescent="0.2">
      <c r="B23" s="88" t="s">
        <v>106</v>
      </c>
      <c r="C23" s="67">
        <f>C24+C56+C58</f>
        <v>19152385339.579998</v>
      </c>
      <c r="D23" s="67">
        <f>D24+D56+D58</f>
        <v>12688380100.159998</v>
      </c>
      <c r="E23" s="20" t="s">
        <v>56</v>
      </c>
      <c r="F23" s="20" t="s">
        <v>56</v>
      </c>
      <c r="G23" s="20" t="s">
        <v>56</v>
      </c>
      <c r="H23" s="20" t="s">
        <v>56</v>
      </c>
      <c r="I23" s="20" t="s">
        <v>56</v>
      </c>
      <c r="J23" s="16">
        <f t="shared" si="0"/>
        <v>14.7014580112426</v>
      </c>
      <c r="K23" s="16">
        <f t="shared" si="1"/>
        <v>66.249607425861484</v>
      </c>
      <c r="L23" s="21"/>
    </row>
    <row r="24" spans="2:12" ht="25.5" customHeight="1" outlineLevel="1" x14ac:dyDescent="0.2">
      <c r="B24" s="90" t="s">
        <v>62</v>
      </c>
      <c r="C24" s="67">
        <f>C25+C32+C39</f>
        <v>13034605341.49</v>
      </c>
      <c r="D24" s="67">
        <f>D25+D32+D39</f>
        <v>9968827498.9399986</v>
      </c>
      <c r="E24" s="20" t="s">
        <v>56</v>
      </c>
      <c r="F24" s="20" t="s">
        <v>56</v>
      </c>
      <c r="G24" s="20" t="s">
        <v>56</v>
      </c>
      <c r="H24" s="20" t="s">
        <v>56</v>
      </c>
      <c r="I24" s="20" t="s">
        <v>56</v>
      </c>
      <c r="J24" s="16">
        <f t="shared" si="0"/>
        <v>11.550434156298561</v>
      </c>
      <c r="K24" s="16">
        <f t="shared" si="1"/>
        <v>76.479703357097975</v>
      </c>
      <c r="L24" s="22"/>
    </row>
    <row r="25" spans="2:12" ht="13.5" customHeight="1" outlineLevel="1" x14ac:dyDescent="0.2">
      <c r="B25" s="91" t="s">
        <v>53</v>
      </c>
      <c r="C25" s="67">
        <f>C26+C28+C30</f>
        <v>5801543714.3699999</v>
      </c>
      <c r="D25" s="67">
        <f>D26+D28+D30</f>
        <v>4590674714.2699995</v>
      </c>
      <c r="E25" s="20" t="s">
        <v>56</v>
      </c>
      <c r="F25" s="20" t="s">
        <v>56</v>
      </c>
      <c r="G25" s="20" t="s">
        <v>56</v>
      </c>
      <c r="H25" s="20" t="s">
        <v>56</v>
      </c>
      <c r="I25" s="20" t="s">
        <v>56</v>
      </c>
      <c r="J25" s="16">
        <f t="shared" si="0"/>
        <v>5.3190092842712433</v>
      </c>
      <c r="K25" s="16">
        <f t="shared" si="1"/>
        <v>79.128503382629589</v>
      </c>
      <c r="L25" s="22"/>
    </row>
    <row r="26" spans="2:12" ht="22.5" customHeight="1" outlineLevel="1" x14ac:dyDescent="0.2">
      <c r="B26" s="93" t="s">
        <v>112</v>
      </c>
      <c r="C26" s="68">
        <f>4026055307.41</f>
        <v>4026055307.4099998</v>
      </c>
      <c r="D26" s="71">
        <f>3237544435.22</f>
        <v>3237544435.2199998</v>
      </c>
      <c r="E26" s="17" t="s">
        <v>56</v>
      </c>
      <c r="F26" s="17" t="s">
        <v>56</v>
      </c>
      <c r="G26" s="17" t="s">
        <v>56</v>
      </c>
      <c r="H26" s="17" t="s">
        <v>56</v>
      </c>
      <c r="I26" s="17" t="s">
        <v>56</v>
      </c>
      <c r="J26" s="18">
        <f t="shared" si="0"/>
        <v>3.7511978044635335</v>
      </c>
      <c r="K26" s="18">
        <f t="shared" si="1"/>
        <v>80.414802778820828</v>
      </c>
      <c r="L26" s="22"/>
    </row>
    <row r="27" spans="2:12" ht="12.95" customHeight="1" outlineLevel="1" x14ac:dyDescent="0.2">
      <c r="B27" s="95" t="s">
        <v>6</v>
      </c>
      <c r="C27" s="69">
        <f>3901331.55</f>
        <v>3901331.55</v>
      </c>
      <c r="D27" s="69">
        <f>680244</f>
        <v>680244</v>
      </c>
      <c r="E27" s="19" t="s">
        <v>56</v>
      </c>
      <c r="F27" s="19" t="s">
        <v>56</v>
      </c>
      <c r="G27" s="19" t="s">
        <v>56</v>
      </c>
      <c r="H27" s="19" t="s">
        <v>56</v>
      </c>
      <c r="I27" s="19" t="s">
        <v>56</v>
      </c>
      <c r="J27" s="18">
        <f t="shared" si="0"/>
        <v>7.8816827084756129E-4</v>
      </c>
      <c r="K27" s="18">
        <f t="shared" si="1"/>
        <v>17.436200724852519</v>
      </c>
      <c r="L27" s="22"/>
    </row>
    <row r="28" spans="2:12" ht="13.5" customHeight="1" outlineLevel="1" x14ac:dyDescent="0.2">
      <c r="B28" s="93" t="s">
        <v>113</v>
      </c>
      <c r="C28" s="69">
        <f>1752156296.51</f>
        <v>1752156296.51</v>
      </c>
      <c r="D28" s="70">
        <f>1336149787.69</f>
        <v>1336149787.6900001</v>
      </c>
      <c r="E28" s="19" t="s">
        <v>56</v>
      </c>
      <c r="F28" s="19" t="s">
        <v>56</v>
      </c>
      <c r="G28" s="19" t="s">
        <v>56</v>
      </c>
      <c r="H28" s="19" t="s">
        <v>56</v>
      </c>
      <c r="I28" s="19" t="s">
        <v>56</v>
      </c>
      <c r="J28" s="18">
        <f t="shared" si="0"/>
        <v>1.548136944621288</v>
      </c>
      <c r="K28" s="18">
        <f t="shared" si="1"/>
        <v>76.257454335060473</v>
      </c>
      <c r="L28" s="22"/>
    </row>
    <row r="29" spans="2:12" ht="12.95" customHeight="1" outlineLevel="1" x14ac:dyDescent="0.2">
      <c r="B29" s="95" t="s">
        <v>6</v>
      </c>
      <c r="C29" s="69">
        <f>298606026.96</f>
        <v>298606026.95999998</v>
      </c>
      <c r="D29" s="69">
        <f>255008794.24</f>
        <v>255008794.24000001</v>
      </c>
      <c r="E29" s="19" t="s">
        <v>56</v>
      </c>
      <c r="F29" s="19" t="s">
        <v>56</v>
      </c>
      <c r="G29" s="19" t="s">
        <v>56</v>
      </c>
      <c r="H29" s="19" t="s">
        <v>56</v>
      </c>
      <c r="I29" s="19" t="s">
        <v>56</v>
      </c>
      <c r="J29" s="18">
        <f t="shared" si="0"/>
        <v>0.2954672741061477</v>
      </c>
      <c r="K29" s="18">
        <f t="shared" si="1"/>
        <v>85.399747900654376</v>
      </c>
      <c r="L29" s="22"/>
    </row>
    <row r="30" spans="2:12" ht="33.75" outlineLevel="1" x14ac:dyDescent="0.2">
      <c r="B30" s="93" t="s">
        <v>8</v>
      </c>
      <c r="C30" s="69">
        <f>23332110.45</f>
        <v>23332110.449999999</v>
      </c>
      <c r="D30" s="70">
        <f>16980491.36</f>
        <v>16980491.359999999</v>
      </c>
      <c r="E30" s="19" t="s">
        <v>56</v>
      </c>
      <c r="F30" s="19" t="s">
        <v>56</v>
      </c>
      <c r="G30" s="19" t="s">
        <v>56</v>
      </c>
      <c r="H30" s="19" t="s">
        <v>56</v>
      </c>
      <c r="I30" s="19" t="s">
        <v>56</v>
      </c>
      <c r="J30" s="18">
        <f t="shared" si="0"/>
        <v>1.967453518642304E-2</v>
      </c>
      <c r="K30" s="18">
        <f t="shared" si="1"/>
        <v>72.777348608856769</v>
      </c>
      <c r="L30" s="22"/>
    </row>
    <row r="31" spans="2:12" ht="12.95" customHeight="1" outlineLevel="1" x14ac:dyDescent="0.2">
      <c r="B31" s="95" t="s">
        <v>6</v>
      </c>
      <c r="C31" s="69">
        <f>2068784.6</f>
        <v>2068784.6</v>
      </c>
      <c r="D31" s="69">
        <f>1227784.6</f>
        <v>1227784.6000000001</v>
      </c>
      <c r="E31" s="19" t="s">
        <v>56</v>
      </c>
      <c r="F31" s="19" t="s">
        <v>56</v>
      </c>
      <c r="G31" s="19" t="s">
        <v>56</v>
      </c>
      <c r="H31" s="19" t="s">
        <v>56</v>
      </c>
      <c r="I31" s="19" t="s">
        <v>56</v>
      </c>
      <c r="J31" s="18">
        <f t="shared" si="0"/>
        <v>1.4225790527446986E-3</v>
      </c>
      <c r="K31" s="18">
        <f t="shared" si="1"/>
        <v>59.348111930067546</v>
      </c>
      <c r="L31" s="22"/>
    </row>
    <row r="32" spans="2:12" ht="13.5" customHeight="1" outlineLevel="1" x14ac:dyDescent="0.2">
      <c r="B32" s="92" t="s">
        <v>54</v>
      </c>
      <c r="C32" s="67">
        <f>C33+C35+C37</f>
        <v>2570612904.6199999</v>
      </c>
      <c r="D32" s="67">
        <f>D33+D35+D37</f>
        <v>2133219393.4300001</v>
      </c>
      <c r="E32" s="20" t="s">
        <v>56</v>
      </c>
      <c r="F32" s="20" t="s">
        <v>56</v>
      </c>
      <c r="G32" s="20" t="s">
        <v>56</v>
      </c>
      <c r="H32" s="20" t="s">
        <v>56</v>
      </c>
      <c r="I32" s="20" t="s">
        <v>56</v>
      </c>
      <c r="J32" s="16">
        <f t="shared" si="0"/>
        <v>2.4716658149990396</v>
      </c>
      <c r="K32" s="16">
        <f t="shared" si="1"/>
        <v>82.98485507468277</v>
      </c>
      <c r="L32" s="22"/>
    </row>
    <row r="33" spans="2:12" ht="22.5" outlineLevel="1" x14ac:dyDescent="0.2">
      <c r="B33" s="93" t="s">
        <v>112</v>
      </c>
      <c r="C33" s="69">
        <f>2250843575.89</f>
        <v>2250843575.8899999</v>
      </c>
      <c r="D33" s="69">
        <f>1907278219.79</f>
        <v>1907278219.79</v>
      </c>
      <c r="E33" s="19" t="s">
        <v>56</v>
      </c>
      <c r="F33" s="19" t="s">
        <v>56</v>
      </c>
      <c r="G33" s="19" t="s">
        <v>56</v>
      </c>
      <c r="H33" s="19" t="s">
        <v>56</v>
      </c>
      <c r="I33" s="19" t="s">
        <v>56</v>
      </c>
      <c r="J33" s="18">
        <f t="shared" si="0"/>
        <v>2.2098778916346182</v>
      </c>
      <c r="K33" s="18">
        <f t="shared" si="1"/>
        <v>84.736151379859805</v>
      </c>
      <c r="L33" s="22"/>
    </row>
    <row r="34" spans="2:12" ht="12.95" customHeight="1" outlineLevel="1" x14ac:dyDescent="0.2">
      <c r="B34" s="95" t="s">
        <v>6</v>
      </c>
      <c r="C34" s="69">
        <f>289432837.99</f>
        <v>289432837.99000001</v>
      </c>
      <c r="D34" s="70">
        <f>255725286.4</f>
        <v>255725286.40000001</v>
      </c>
      <c r="E34" s="19" t="s">
        <v>56</v>
      </c>
      <c r="F34" s="19" t="s">
        <v>56</v>
      </c>
      <c r="G34" s="19" t="s">
        <v>56</v>
      </c>
      <c r="H34" s="19" t="s">
        <v>56</v>
      </c>
      <c r="I34" s="19" t="s">
        <v>56</v>
      </c>
      <c r="J34" s="18">
        <f t="shared" si="0"/>
        <v>0.29629744149729415</v>
      </c>
      <c r="K34" s="18">
        <f t="shared" si="1"/>
        <v>88.353929766889607</v>
      </c>
      <c r="L34" s="22"/>
    </row>
    <row r="35" spans="2:12" ht="12.95" customHeight="1" outlineLevel="1" x14ac:dyDescent="0.2">
      <c r="B35" s="93" t="s">
        <v>113</v>
      </c>
      <c r="C35" s="69">
        <f>255511017.71</f>
        <v>255511017.71000001</v>
      </c>
      <c r="D35" s="69">
        <f>167622330.43</f>
        <v>167622330.43000001</v>
      </c>
      <c r="E35" s="19" t="s">
        <v>56</v>
      </c>
      <c r="F35" s="19" t="s">
        <v>56</v>
      </c>
      <c r="G35" s="19" t="s">
        <v>56</v>
      </c>
      <c r="H35" s="19" t="s">
        <v>56</v>
      </c>
      <c r="I35" s="19" t="s">
        <v>56</v>
      </c>
      <c r="J35" s="18">
        <f t="shared" si="0"/>
        <v>0.19421649045114936</v>
      </c>
      <c r="K35" s="18">
        <f t="shared" si="1"/>
        <v>65.602779845778727</v>
      </c>
      <c r="L35" s="22"/>
    </row>
    <row r="36" spans="2:12" ht="12.95" customHeight="1" outlineLevel="1" x14ac:dyDescent="0.2">
      <c r="B36" s="95" t="s">
        <v>6</v>
      </c>
      <c r="C36" s="69">
        <f>46674225.92</f>
        <v>46674225.920000002</v>
      </c>
      <c r="D36" s="70">
        <f>26544762</f>
        <v>26544762</v>
      </c>
      <c r="E36" s="19" t="s">
        <v>56</v>
      </c>
      <c r="F36" s="19" t="s">
        <v>56</v>
      </c>
      <c r="G36" s="19" t="s">
        <v>56</v>
      </c>
      <c r="H36" s="19" t="s">
        <v>56</v>
      </c>
      <c r="I36" s="19" t="s">
        <v>56</v>
      </c>
      <c r="J36" s="18">
        <f t="shared" si="0"/>
        <v>3.0756227420749103E-2</v>
      </c>
      <c r="K36" s="18">
        <f t="shared" si="1"/>
        <v>56.872420434991113</v>
      </c>
      <c r="L36" s="22"/>
    </row>
    <row r="37" spans="2:12" ht="33.75" outlineLevel="1" x14ac:dyDescent="0.2">
      <c r="B37" s="93" t="s">
        <v>8</v>
      </c>
      <c r="C37" s="69">
        <f>64258311.02</f>
        <v>64258311.020000003</v>
      </c>
      <c r="D37" s="69">
        <f>58318843.21</f>
        <v>58318843.210000001</v>
      </c>
      <c r="E37" s="19" t="s">
        <v>56</v>
      </c>
      <c r="F37" s="19" t="s">
        <v>56</v>
      </c>
      <c r="G37" s="19" t="s">
        <v>56</v>
      </c>
      <c r="H37" s="19" t="s">
        <v>56</v>
      </c>
      <c r="I37" s="19" t="s">
        <v>56</v>
      </c>
      <c r="J37" s="18">
        <f t="shared" si="0"/>
        <v>6.7571432913271917E-2</v>
      </c>
      <c r="K37" s="18">
        <f t="shared" si="1"/>
        <v>90.756887761722552</v>
      </c>
      <c r="L37" s="22"/>
    </row>
    <row r="38" spans="2:12" ht="12.95" customHeight="1" outlineLevel="1" x14ac:dyDescent="0.2">
      <c r="B38" s="95" t="s">
        <v>6</v>
      </c>
      <c r="C38" s="69">
        <f>559000</f>
        <v>559000</v>
      </c>
      <c r="D38" s="70">
        <f>559000</f>
        <v>559000</v>
      </c>
      <c r="E38" s="19" t="s">
        <v>56</v>
      </c>
      <c r="F38" s="19" t="s">
        <v>56</v>
      </c>
      <c r="G38" s="19" t="s">
        <v>56</v>
      </c>
      <c r="H38" s="19" t="s">
        <v>56</v>
      </c>
      <c r="I38" s="19" t="s">
        <v>56</v>
      </c>
      <c r="J38" s="18">
        <f t="shared" si="0"/>
        <v>6.4768827568311772E-4</v>
      </c>
      <c r="K38" s="18">
        <f t="shared" si="1"/>
        <v>100</v>
      </c>
      <c r="L38" s="22"/>
    </row>
    <row r="39" spans="2:12" ht="13.5" customHeight="1" outlineLevel="1" x14ac:dyDescent="0.2">
      <c r="B39" s="91" t="s">
        <v>55</v>
      </c>
      <c r="C39" s="67">
        <f>C40+C42+C44+C48+C50+C46+C52+C54</f>
        <v>4662448722.5</v>
      </c>
      <c r="D39" s="67">
        <f>D40+D42+D44+D48+D50+D46+D52+D54</f>
        <v>3244933391.2399998</v>
      </c>
      <c r="E39" s="20" t="s">
        <v>56</v>
      </c>
      <c r="F39" s="20" t="s">
        <v>56</v>
      </c>
      <c r="G39" s="20" t="s">
        <v>56</v>
      </c>
      <c r="H39" s="20" t="s">
        <v>56</v>
      </c>
      <c r="I39" s="20" t="s">
        <v>56</v>
      </c>
      <c r="J39" s="16">
        <f t="shared" si="0"/>
        <v>3.759759057028278</v>
      </c>
      <c r="K39" s="16">
        <f t="shared" si="1"/>
        <v>69.597192041611777</v>
      </c>
      <c r="L39" s="22"/>
    </row>
    <row r="40" spans="2:12" ht="33.75" outlineLevel="1" x14ac:dyDescent="0.2">
      <c r="B40" s="93" t="s">
        <v>117</v>
      </c>
      <c r="C40" s="68">
        <f>0</f>
        <v>0</v>
      </c>
      <c r="D40" s="71">
        <f>0</f>
        <v>0</v>
      </c>
      <c r="E40" s="19" t="s">
        <v>56</v>
      </c>
      <c r="F40" s="19" t="s">
        <v>56</v>
      </c>
      <c r="G40" s="19" t="s">
        <v>56</v>
      </c>
      <c r="H40" s="19" t="s">
        <v>56</v>
      </c>
      <c r="I40" s="19" t="s">
        <v>56</v>
      </c>
      <c r="J40" s="18">
        <f t="shared" si="0"/>
        <v>0</v>
      </c>
      <c r="K40" s="18" t="str">
        <f t="shared" si="1"/>
        <v/>
      </c>
      <c r="L40" s="22"/>
    </row>
    <row r="41" spans="2:12" ht="13.5" customHeight="1" outlineLevel="1" x14ac:dyDescent="0.2">
      <c r="B41" s="95" t="s">
        <v>6</v>
      </c>
      <c r="C41" s="68">
        <f>0</f>
        <v>0</v>
      </c>
      <c r="D41" s="71">
        <f>0</f>
        <v>0</v>
      </c>
      <c r="E41" s="19" t="s">
        <v>56</v>
      </c>
      <c r="F41" s="19" t="s">
        <v>56</v>
      </c>
      <c r="G41" s="19" t="s">
        <v>56</v>
      </c>
      <c r="H41" s="19" t="s">
        <v>56</v>
      </c>
      <c r="I41" s="19" t="s">
        <v>56</v>
      </c>
      <c r="J41" s="18">
        <f t="shared" si="0"/>
        <v>0</v>
      </c>
      <c r="K41" s="18" t="str">
        <f t="shared" si="1"/>
        <v/>
      </c>
      <c r="L41" s="22"/>
    </row>
    <row r="42" spans="2:12" ht="22.5" outlineLevel="1" x14ac:dyDescent="0.2">
      <c r="B42" s="93" t="s">
        <v>118</v>
      </c>
      <c r="C42" s="68">
        <f>0</f>
        <v>0</v>
      </c>
      <c r="D42" s="71">
        <f>0</f>
        <v>0</v>
      </c>
      <c r="E42" s="19" t="s">
        <v>56</v>
      </c>
      <c r="F42" s="19" t="s">
        <v>56</v>
      </c>
      <c r="G42" s="19" t="s">
        <v>56</v>
      </c>
      <c r="H42" s="19" t="s">
        <v>56</v>
      </c>
      <c r="I42" s="19" t="s">
        <v>56</v>
      </c>
      <c r="J42" s="18">
        <f t="shared" si="0"/>
        <v>0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56</v>
      </c>
      <c r="F43" s="19" t="s">
        <v>56</v>
      </c>
      <c r="G43" s="19" t="s">
        <v>56</v>
      </c>
      <c r="H43" s="19" t="s">
        <v>56</v>
      </c>
      <c r="I43" s="19" t="s">
        <v>56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</v>
      </c>
      <c r="C44" s="68">
        <f>676796790.76</f>
        <v>676796790.75999999</v>
      </c>
      <c r="D44" s="71">
        <f>493972820.88</f>
        <v>493972820.88</v>
      </c>
      <c r="E44" s="17" t="s">
        <v>56</v>
      </c>
      <c r="F44" s="17" t="s">
        <v>56</v>
      </c>
      <c r="G44" s="17" t="s">
        <v>56</v>
      </c>
      <c r="H44" s="17" t="s">
        <v>56</v>
      </c>
      <c r="I44" s="17" t="s">
        <v>56</v>
      </c>
      <c r="J44" s="18">
        <f t="shared" si="0"/>
        <v>0.57234419425776883</v>
      </c>
      <c r="K44" s="18">
        <f t="shared" si="1"/>
        <v>72.986873995856243</v>
      </c>
      <c r="L44" s="22"/>
    </row>
    <row r="45" spans="2:12" ht="12.95" customHeight="1" outlineLevel="1" x14ac:dyDescent="0.2">
      <c r="B45" s="95" t="s">
        <v>6</v>
      </c>
      <c r="C45" s="69">
        <f>10745874.36</f>
        <v>10745874.359999999</v>
      </c>
      <c r="D45" s="69">
        <f>10175083.32</f>
        <v>10175083.32</v>
      </c>
      <c r="E45" s="19" t="s">
        <v>56</v>
      </c>
      <c r="F45" s="19" t="s">
        <v>56</v>
      </c>
      <c r="G45" s="19" t="s">
        <v>56</v>
      </c>
      <c r="H45" s="19" t="s">
        <v>56</v>
      </c>
      <c r="I45" s="19" t="s">
        <v>56</v>
      </c>
      <c r="J45" s="18">
        <f t="shared" si="0"/>
        <v>1.1789413542867357E-2</v>
      </c>
      <c r="K45" s="18">
        <f t="shared" si="1"/>
        <v>94.688277371595845</v>
      </c>
      <c r="L45" s="22"/>
    </row>
    <row r="46" spans="2:12" ht="33.75" outlineLevel="1" x14ac:dyDescent="0.2">
      <c r="B46" s="93" t="s">
        <v>79</v>
      </c>
      <c r="C46" s="69">
        <f>282961147.99</f>
        <v>282961147.99000001</v>
      </c>
      <c r="D46" s="69">
        <f>165938479.81</f>
        <v>165938479.81</v>
      </c>
      <c r="E46" s="19" t="s">
        <v>56</v>
      </c>
      <c r="F46" s="19" t="s">
        <v>56</v>
      </c>
      <c r="G46" s="19" t="s">
        <v>56</v>
      </c>
      <c r="H46" s="19" t="s">
        <v>56</v>
      </c>
      <c r="I46" s="19" t="s">
        <v>56</v>
      </c>
      <c r="J46" s="18">
        <f>IF($D$5=0,"",100*$D46/$D$5)</f>
        <v>0.19226548811738237</v>
      </c>
      <c r="K46" s="18">
        <f>IF(C46=0,"",100*D46/C46)</f>
        <v>58.643556187390203</v>
      </c>
      <c r="L46" s="22"/>
    </row>
    <row r="47" spans="2:12" ht="12.95" customHeight="1" outlineLevel="1" x14ac:dyDescent="0.2">
      <c r="B47" s="95" t="s">
        <v>6</v>
      </c>
      <c r="C47" s="69">
        <f>255720602.09</f>
        <v>255720602.09</v>
      </c>
      <c r="D47" s="69">
        <f>149928737.79</f>
        <v>149928737.78999999</v>
      </c>
      <c r="E47" s="19" t="s">
        <v>56</v>
      </c>
      <c r="F47" s="19" t="s">
        <v>56</v>
      </c>
      <c r="G47" s="19" t="s">
        <v>56</v>
      </c>
      <c r="H47" s="19" t="s">
        <v>56</v>
      </c>
      <c r="I47" s="19" t="s">
        <v>56</v>
      </c>
      <c r="J47" s="18">
        <f>IF($D$5=0,"",100*$D47/$D$5)</f>
        <v>0.17371571673443897</v>
      </c>
      <c r="K47" s="18">
        <f>IF(C47=0,"",100*D47/C47)</f>
        <v>58.62990176178026</v>
      </c>
      <c r="L47" s="22"/>
    </row>
    <row r="48" spans="2:12" ht="12.95" customHeight="1" outlineLevel="1" x14ac:dyDescent="0.2">
      <c r="B48" s="93" t="s">
        <v>7</v>
      </c>
      <c r="C48" s="69">
        <f>209725453.42</f>
        <v>209725453.41999999</v>
      </c>
      <c r="D48" s="70">
        <f>138723874.12</f>
        <v>138723874.12</v>
      </c>
      <c r="E48" s="19" t="s">
        <v>56</v>
      </c>
      <c r="F48" s="19" t="s">
        <v>56</v>
      </c>
      <c r="G48" s="19" t="s">
        <v>56</v>
      </c>
      <c r="H48" s="19" t="s">
        <v>56</v>
      </c>
      <c r="I48" s="19" t="s">
        <v>56</v>
      </c>
      <c r="J48" s="18">
        <f t="shared" si="0"/>
        <v>0.16073314279940015</v>
      </c>
      <c r="K48" s="18">
        <f t="shared" si="1"/>
        <v>66.145463918577903</v>
      </c>
      <c r="L48" s="22"/>
    </row>
    <row r="49" spans="2:12" ht="12.95" customHeight="1" outlineLevel="1" x14ac:dyDescent="0.2">
      <c r="B49" s="95" t="s">
        <v>6</v>
      </c>
      <c r="C49" s="69">
        <f>185770564.14</f>
        <v>185770564.13999999</v>
      </c>
      <c r="D49" s="69">
        <f>124027381.27</f>
        <v>124027381.27</v>
      </c>
      <c r="E49" s="19" t="s">
        <v>56</v>
      </c>
      <c r="F49" s="19" t="s">
        <v>56</v>
      </c>
      <c r="G49" s="19" t="s">
        <v>56</v>
      </c>
      <c r="H49" s="19" t="s">
        <v>56</v>
      </c>
      <c r="I49" s="19" t="s">
        <v>56</v>
      </c>
      <c r="J49" s="18">
        <f t="shared" si="0"/>
        <v>0.14370497444053473</v>
      </c>
      <c r="K49" s="18">
        <f t="shared" si="1"/>
        <v>66.763742600539643</v>
      </c>
      <c r="L49" s="22"/>
    </row>
    <row r="50" spans="2:12" ht="67.5" outlineLevel="1" x14ac:dyDescent="0.2">
      <c r="B50" s="93" t="s">
        <v>100</v>
      </c>
      <c r="C50" s="69">
        <f>1230000</f>
        <v>1230000</v>
      </c>
      <c r="D50" s="69">
        <f>120000</f>
        <v>120000</v>
      </c>
      <c r="E50" s="19" t="s">
        <v>56</v>
      </c>
      <c r="F50" s="19" t="s">
        <v>56</v>
      </c>
      <c r="G50" s="19" t="s">
        <v>56</v>
      </c>
      <c r="H50" s="19" t="s">
        <v>56</v>
      </c>
      <c r="I50" s="19" t="s">
        <v>56</v>
      </c>
      <c r="J50" s="18">
        <f t="shared" si="0"/>
        <v>1.3903862805362098E-4</v>
      </c>
      <c r="K50" s="18">
        <f>IF(C50=0,"",100*D50/C50)</f>
        <v>9.7560975609756095</v>
      </c>
      <c r="L50" s="22"/>
    </row>
    <row r="51" spans="2:12" ht="12.95" customHeight="1" outlineLevel="1" x14ac:dyDescent="0.2">
      <c r="B51" s="95" t="s">
        <v>99</v>
      </c>
      <c r="C51" s="69">
        <f>1190000</f>
        <v>1190000</v>
      </c>
      <c r="D51" s="69">
        <f>80000</f>
        <v>80000</v>
      </c>
      <c r="E51" s="19" t="s">
        <v>56</v>
      </c>
      <c r="F51" s="19" t="s">
        <v>56</v>
      </c>
      <c r="G51" s="19" t="s">
        <v>56</v>
      </c>
      <c r="H51" s="19" t="s">
        <v>56</v>
      </c>
      <c r="I51" s="19" t="s">
        <v>56</v>
      </c>
      <c r="J51" s="18">
        <f t="shared" si="0"/>
        <v>9.2692418702413994E-5</v>
      </c>
      <c r="K51" s="18">
        <f>IF(C51=0,"",100*D51/C51)</f>
        <v>6.7226890756302522</v>
      </c>
      <c r="L51" s="22"/>
    </row>
    <row r="52" spans="2:12" ht="45" outlineLevel="1" x14ac:dyDescent="0.2">
      <c r="B52" s="94" t="s">
        <v>98</v>
      </c>
      <c r="C52" s="72">
        <f>1645923857.26</f>
        <v>1645923857.26</v>
      </c>
      <c r="D52" s="72">
        <f>648493285.7</f>
        <v>648493285.70000005</v>
      </c>
      <c r="E52" s="24" t="s">
        <v>56</v>
      </c>
      <c r="F52" s="24" t="s">
        <v>56</v>
      </c>
      <c r="G52" s="24" t="s">
        <v>56</v>
      </c>
      <c r="H52" s="24" t="s">
        <v>56</v>
      </c>
      <c r="I52" s="24" t="s">
        <v>56</v>
      </c>
      <c r="J52" s="25">
        <f>IF($D$5=0,"",100*$D52/$D$5)</f>
        <v>0.7513801395476073</v>
      </c>
      <c r="K52" s="25">
        <f>IF(C52=0,"",100*D52/C52)</f>
        <v>39.399956616435396</v>
      </c>
      <c r="L52" s="22"/>
    </row>
    <row r="53" spans="2:12" ht="12.95" customHeight="1" outlineLevel="1" x14ac:dyDescent="0.2">
      <c r="B53" s="95" t="s">
        <v>99</v>
      </c>
      <c r="C53" s="69">
        <f>1401702183.82</f>
        <v>1401702183.8199999</v>
      </c>
      <c r="D53" s="69">
        <f>494957113.2</f>
        <v>494957113.19999999</v>
      </c>
      <c r="E53" s="19" t="s">
        <v>56</v>
      </c>
      <c r="F53" s="19" t="s">
        <v>56</v>
      </c>
      <c r="G53" s="19" t="s">
        <v>56</v>
      </c>
      <c r="H53" s="19" t="s">
        <v>56</v>
      </c>
      <c r="I53" s="19" t="s">
        <v>56</v>
      </c>
      <c r="J53" s="18">
        <f t="shared" si="0"/>
        <v>0.57348464970590651</v>
      </c>
      <c r="K53" s="18">
        <f t="shared" ref="K53:K69" si="4">IF(C53=0,"",100*D53/C53)</f>
        <v>35.311146612550338</v>
      </c>
      <c r="L53" s="22"/>
    </row>
    <row r="54" spans="2:12" ht="22.5" outlineLevel="1" x14ac:dyDescent="0.2">
      <c r="B54" s="94" t="s">
        <v>114</v>
      </c>
      <c r="C54" s="69">
        <f>1845811473.07</f>
        <v>1845811473.0699999</v>
      </c>
      <c r="D54" s="69">
        <f>1797684930.73</f>
        <v>1797684930.73</v>
      </c>
      <c r="E54" s="19" t="s">
        <v>56</v>
      </c>
      <c r="F54" s="19" t="s">
        <v>56</v>
      </c>
      <c r="G54" s="19" t="s">
        <v>56</v>
      </c>
      <c r="H54" s="19" t="s">
        <v>56</v>
      </c>
      <c r="I54" s="19" t="s">
        <v>56</v>
      </c>
      <c r="J54" s="18">
        <f t="shared" si="0"/>
        <v>2.0828970536780655</v>
      </c>
      <c r="K54" s="18">
        <f t="shared" si="4"/>
        <v>97.392662086992303</v>
      </c>
      <c r="L54" s="22"/>
    </row>
    <row r="55" spans="2:12" ht="12.95" customHeight="1" outlineLevel="1" x14ac:dyDescent="0.2">
      <c r="B55" s="95" t="s">
        <v>6</v>
      </c>
      <c r="C55" s="69">
        <f>9380212</f>
        <v>9380212</v>
      </c>
      <c r="D55" s="69">
        <f>1781330</f>
        <v>1781330</v>
      </c>
      <c r="E55" s="19" t="s">
        <v>56</v>
      </c>
      <c r="F55" s="19" t="s">
        <v>56</v>
      </c>
      <c r="G55" s="19" t="s">
        <v>56</v>
      </c>
      <c r="H55" s="19" t="s">
        <v>56</v>
      </c>
      <c r="I55" s="19" t="s">
        <v>56</v>
      </c>
      <c r="J55" s="18">
        <f t="shared" si="0"/>
        <v>2.063947327589639E-3</v>
      </c>
      <c r="K55" s="18">
        <f t="shared" si="4"/>
        <v>18.990295741716711</v>
      </c>
      <c r="L55" s="22"/>
    </row>
    <row r="56" spans="2:12" ht="13.5" customHeight="1" outlineLevel="1" x14ac:dyDescent="0.2">
      <c r="B56" s="90" t="s">
        <v>85</v>
      </c>
      <c r="C56" s="67">
        <f>322704897.72</f>
        <v>322704897.72000003</v>
      </c>
      <c r="D56" s="67">
        <f>184939839.91</f>
        <v>184939839.91</v>
      </c>
      <c r="E56" s="20" t="s">
        <v>56</v>
      </c>
      <c r="F56" s="20" t="s">
        <v>56</v>
      </c>
      <c r="G56" s="20" t="s">
        <v>56</v>
      </c>
      <c r="H56" s="20" t="s">
        <v>56</v>
      </c>
      <c r="I56" s="20" t="s">
        <v>56</v>
      </c>
      <c r="J56" s="16">
        <f t="shared" si="0"/>
        <v>0.21428151344618915</v>
      </c>
      <c r="K56" s="16">
        <f t="shared" si="4"/>
        <v>57.309275817209922</v>
      </c>
      <c r="L56" s="22"/>
    </row>
    <row r="57" spans="2:12" ht="12.95" customHeight="1" outlineLevel="1" x14ac:dyDescent="0.2">
      <c r="B57" s="93" t="s">
        <v>86</v>
      </c>
      <c r="C57" s="69">
        <f>262752935.11</f>
        <v>262752935.11000001</v>
      </c>
      <c r="D57" s="69">
        <f>156293530.53</f>
        <v>156293530.53</v>
      </c>
      <c r="E57" s="19" t="s">
        <v>56</v>
      </c>
      <c r="F57" s="19" t="s">
        <v>56</v>
      </c>
      <c r="G57" s="19" t="s">
        <v>56</v>
      </c>
      <c r="H57" s="19" t="s">
        <v>56</v>
      </c>
      <c r="I57" s="19" t="s">
        <v>56</v>
      </c>
      <c r="J57" s="18">
        <f t="shared" si="0"/>
        <v>0.18109031715456606</v>
      </c>
      <c r="K57" s="18">
        <f t="shared" si="4"/>
        <v>59.48307693102214</v>
      </c>
      <c r="L57" s="22"/>
    </row>
    <row r="58" spans="2:12" ht="13.5" customHeight="1" outlineLevel="1" x14ac:dyDescent="0.2">
      <c r="B58" s="90" t="s">
        <v>87</v>
      </c>
      <c r="C58" s="73">
        <f>5795075100.37</f>
        <v>5795075100.3699999</v>
      </c>
      <c r="D58" s="73">
        <f>2534612761.31</f>
        <v>2534612761.3099999</v>
      </c>
      <c r="E58" s="20" t="s">
        <v>56</v>
      </c>
      <c r="F58" s="20" t="s">
        <v>56</v>
      </c>
      <c r="G58" s="20" t="s">
        <v>56</v>
      </c>
      <c r="H58" s="20" t="s">
        <v>56</v>
      </c>
      <c r="I58" s="20" t="s">
        <v>56</v>
      </c>
      <c r="J58" s="23">
        <f t="shared" si="0"/>
        <v>2.9367423414978524</v>
      </c>
      <c r="K58" s="23">
        <f t="shared" si="4"/>
        <v>43.737358315652749</v>
      </c>
      <c r="L58" s="22"/>
    </row>
    <row r="59" spans="2:12" ht="12.95" customHeight="1" outlineLevel="1" x14ac:dyDescent="0.2">
      <c r="B59" s="94" t="s">
        <v>88</v>
      </c>
      <c r="C59" s="72">
        <f>5331158623.45</f>
        <v>5331158623.4499998</v>
      </c>
      <c r="D59" s="72">
        <f>2266331369.46</f>
        <v>2266331369.46</v>
      </c>
      <c r="E59" s="24" t="s">
        <v>56</v>
      </c>
      <c r="F59" s="24" t="s">
        <v>56</v>
      </c>
      <c r="G59" s="24" t="s">
        <v>56</v>
      </c>
      <c r="H59" s="24" t="s">
        <v>56</v>
      </c>
      <c r="I59" s="24" t="s">
        <v>56</v>
      </c>
      <c r="J59" s="25">
        <f t="shared" si="0"/>
        <v>2.62589670270502</v>
      </c>
      <c r="K59" s="25">
        <f t="shared" si="4"/>
        <v>42.511047401425266</v>
      </c>
      <c r="L59" s="22"/>
    </row>
    <row r="60" spans="2:12" s="26" customFormat="1" ht="25.5" customHeight="1" x14ac:dyDescent="0.2">
      <c r="B60" s="88" t="s">
        <v>63</v>
      </c>
      <c r="C60" s="67">
        <f>C61+C62+C63+C67</f>
        <v>26827505439.760002</v>
      </c>
      <c r="D60" s="67">
        <f>D61+D62+D63+D67</f>
        <v>22701550380.119999</v>
      </c>
      <c r="E60" s="20" t="s">
        <v>56</v>
      </c>
      <c r="F60" s="20" t="s">
        <v>56</v>
      </c>
      <c r="G60" s="20" t="s">
        <v>56</v>
      </c>
      <c r="H60" s="20" t="s">
        <v>56</v>
      </c>
      <c r="I60" s="20" t="s">
        <v>56</v>
      </c>
      <c r="J60" s="16">
        <f t="shared" si="0"/>
        <v>26.303270162850357</v>
      </c>
      <c r="K60" s="16">
        <f t="shared" si="4"/>
        <v>84.620429697033686</v>
      </c>
      <c r="L60" s="27"/>
    </row>
    <row r="61" spans="2:12" ht="12.95" customHeight="1" outlineLevel="1" x14ac:dyDescent="0.2">
      <c r="B61" s="10" t="s">
        <v>39</v>
      </c>
      <c r="C61" s="69">
        <f>22792136426</f>
        <v>22792136426</v>
      </c>
      <c r="D61" s="69">
        <f>19286362501</f>
        <v>19286362501</v>
      </c>
      <c r="E61" s="19" t="s">
        <v>56</v>
      </c>
      <c r="F61" s="19" t="s">
        <v>56</v>
      </c>
      <c r="G61" s="19" t="s">
        <v>56</v>
      </c>
      <c r="H61" s="19" t="s">
        <v>56</v>
      </c>
      <c r="I61" s="19" t="s">
        <v>56</v>
      </c>
      <c r="J61" s="18">
        <f t="shared" si="0"/>
        <v>22.346244852365352</v>
      </c>
      <c r="K61" s="18">
        <f t="shared" si="4"/>
        <v>84.618493591496716</v>
      </c>
      <c r="L61" s="22"/>
    </row>
    <row r="62" spans="2:12" s="26" customFormat="1" ht="12.95" customHeight="1" outlineLevel="1" x14ac:dyDescent="0.2">
      <c r="B62" s="10" t="s">
        <v>35</v>
      </c>
      <c r="C62" s="68">
        <f>2727395063.76</f>
        <v>2727395063.7600002</v>
      </c>
      <c r="D62" s="71">
        <f>2437322165.12</f>
        <v>2437322165.1199999</v>
      </c>
      <c r="E62" s="17" t="s">
        <v>56</v>
      </c>
      <c r="F62" s="17" t="s">
        <v>56</v>
      </c>
      <c r="G62" s="17" t="s">
        <v>56</v>
      </c>
      <c r="H62" s="17" t="s">
        <v>56</v>
      </c>
      <c r="I62" s="17" t="s">
        <v>56</v>
      </c>
      <c r="J62" s="18">
        <f t="shared" si="0"/>
        <v>2.8240160830247154</v>
      </c>
      <c r="K62" s="18">
        <f t="shared" si="4"/>
        <v>89.364470791404003</v>
      </c>
      <c r="L62" s="27"/>
    </row>
    <row r="63" spans="2:12" s="26" customFormat="1" ht="25.5" customHeight="1" outlineLevel="1" x14ac:dyDescent="0.2">
      <c r="B63" s="90" t="s">
        <v>107</v>
      </c>
      <c r="C63" s="67">
        <f>C64+C65+C66</f>
        <v>454003984</v>
      </c>
      <c r="D63" s="67">
        <f>D64+D65+D66</f>
        <v>338107608</v>
      </c>
      <c r="E63" s="20" t="s">
        <v>56</v>
      </c>
      <c r="F63" s="20" t="s">
        <v>56</v>
      </c>
      <c r="G63" s="20" t="s">
        <v>56</v>
      </c>
      <c r="H63" s="20" t="s">
        <v>56</v>
      </c>
      <c r="I63" s="20" t="s">
        <v>56</v>
      </c>
      <c r="J63" s="16">
        <f t="shared" si="0"/>
        <v>0.39175014959009574</v>
      </c>
      <c r="K63" s="16">
        <f t="shared" si="4"/>
        <v>74.472387889882484</v>
      </c>
      <c r="L63" s="27"/>
    </row>
    <row r="64" spans="2:12" ht="12.95" customHeight="1" outlineLevel="1" x14ac:dyDescent="0.2">
      <c r="B64" s="93" t="s">
        <v>40</v>
      </c>
      <c r="C64" s="68">
        <f>352393560</f>
        <v>352393560</v>
      </c>
      <c r="D64" s="71">
        <f>264295179</f>
        <v>264295179</v>
      </c>
      <c r="E64" s="17" t="s">
        <v>56</v>
      </c>
      <c r="F64" s="17" t="s">
        <v>56</v>
      </c>
      <c r="G64" s="17" t="s">
        <v>56</v>
      </c>
      <c r="H64" s="17" t="s">
        <v>56</v>
      </c>
      <c r="I64" s="17" t="s">
        <v>56</v>
      </c>
      <c r="J64" s="18">
        <f t="shared" si="0"/>
        <v>0.30622699241121815</v>
      </c>
      <c r="K64" s="18">
        <f t="shared" si="4"/>
        <v>75.000002553962673</v>
      </c>
      <c r="L64" s="22"/>
    </row>
    <row r="65" spans="1:26" ht="12.95" customHeight="1" outlineLevel="1" x14ac:dyDescent="0.2">
      <c r="B65" s="93" t="s">
        <v>38</v>
      </c>
      <c r="C65" s="69">
        <f>3193822</f>
        <v>3193822</v>
      </c>
      <c r="D65" s="69">
        <f>0</f>
        <v>0</v>
      </c>
      <c r="E65" s="19" t="s">
        <v>56</v>
      </c>
      <c r="F65" s="19" t="s">
        <v>56</v>
      </c>
      <c r="G65" s="19" t="s">
        <v>56</v>
      </c>
      <c r="H65" s="19" t="s">
        <v>56</v>
      </c>
      <c r="I65" s="19" t="s">
        <v>56</v>
      </c>
      <c r="J65" s="18">
        <f t="shared" si="0"/>
        <v>0</v>
      </c>
      <c r="K65" s="18">
        <f t="shared" si="4"/>
        <v>0</v>
      </c>
      <c r="L65" s="22"/>
    </row>
    <row r="66" spans="1:26" ht="12.95" customHeight="1" outlineLevel="1" x14ac:dyDescent="0.2">
      <c r="B66" s="93" t="s">
        <v>37</v>
      </c>
      <c r="C66" s="68">
        <f>98416602</f>
        <v>98416602</v>
      </c>
      <c r="D66" s="71">
        <f>73812429</f>
        <v>73812429</v>
      </c>
      <c r="E66" s="17" t="s">
        <v>56</v>
      </c>
      <c r="F66" s="17" t="s">
        <v>56</v>
      </c>
      <c r="G66" s="17" t="s">
        <v>56</v>
      </c>
      <c r="H66" s="17" t="s">
        <v>56</v>
      </c>
      <c r="I66" s="17" t="s">
        <v>56</v>
      </c>
      <c r="J66" s="18">
        <f t="shared" si="0"/>
        <v>8.5523157178877554E-2</v>
      </c>
      <c r="K66" s="18">
        <f t="shared" si="4"/>
        <v>74.999977138003601</v>
      </c>
      <c r="L66" s="22"/>
    </row>
    <row r="67" spans="1:26" s="26" customFormat="1" ht="40.5" customHeight="1" outlineLevel="1" x14ac:dyDescent="0.2">
      <c r="B67" s="90" t="s">
        <v>108</v>
      </c>
      <c r="C67" s="67">
        <f>C68+C69</f>
        <v>853969966</v>
      </c>
      <c r="D67" s="67">
        <f>D68+D69</f>
        <v>639758106</v>
      </c>
      <c r="E67" s="20" t="s">
        <v>56</v>
      </c>
      <c r="F67" s="20" t="s">
        <v>56</v>
      </c>
      <c r="G67" s="20" t="s">
        <v>56</v>
      </c>
      <c r="H67" s="20" t="s">
        <v>56</v>
      </c>
      <c r="I67" s="20" t="s">
        <v>56</v>
      </c>
      <c r="J67" s="16">
        <f t="shared" si="0"/>
        <v>0.74125907787019185</v>
      </c>
      <c r="K67" s="16">
        <f t="shared" si="4"/>
        <v>74.915761850107032</v>
      </c>
      <c r="L67" s="27"/>
    </row>
    <row r="68" spans="1:26" ht="12.95" customHeight="1" outlineLevel="1" x14ac:dyDescent="0.2">
      <c r="B68" s="93" t="s">
        <v>37</v>
      </c>
      <c r="C68" s="68">
        <f>704080922</f>
        <v>704080922</v>
      </c>
      <c r="D68" s="71">
        <f>527341329</f>
        <v>527341329</v>
      </c>
      <c r="E68" s="17" t="s">
        <v>56</v>
      </c>
      <c r="F68" s="17" t="s">
        <v>56</v>
      </c>
      <c r="G68" s="17" t="s">
        <v>56</v>
      </c>
      <c r="H68" s="17" t="s">
        <v>56</v>
      </c>
      <c r="I68" s="17" t="s">
        <v>56</v>
      </c>
      <c r="J68" s="18">
        <f t="shared" si="0"/>
        <v>0.61100679083444309</v>
      </c>
      <c r="K68" s="18">
        <f t="shared" si="4"/>
        <v>74.897829570789028</v>
      </c>
      <c r="L68" s="22"/>
    </row>
    <row r="69" spans="1:26" ht="12.95" customHeight="1" outlineLevel="1" x14ac:dyDescent="0.2">
      <c r="B69" s="93" t="s">
        <v>40</v>
      </c>
      <c r="C69" s="69">
        <f>149889044</f>
        <v>149889044</v>
      </c>
      <c r="D69" s="69">
        <f>112416777</f>
        <v>112416777</v>
      </c>
      <c r="E69" s="19" t="s">
        <v>56</v>
      </c>
      <c r="F69" s="19" t="s">
        <v>56</v>
      </c>
      <c r="G69" s="19" t="s">
        <v>56</v>
      </c>
      <c r="H69" s="19" t="s">
        <v>56</v>
      </c>
      <c r="I69" s="19" t="s">
        <v>56</v>
      </c>
      <c r="J69" s="18">
        <f t="shared" si="0"/>
        <v>0.13025228703574879</v>
      </c>
      <c r="K69" s="18">
        <f t="shared" si="4"/>
        <v>74.99999599703898</v>
      </c>
      <c r="L69" s="22"/>
    </row>
    <row r="70" spans="1:26" ht="11.25" customHeight="1" x14ac:dyDescent="0.2">
      <c r="B70" s="28"/>
      <c r="C70" s="29"/>
      <c r="D70" s="29"/>
      <c r="E70" s="29"/>
      <c r="F70" s="29"/>
      <c r="G70" s="29"/>
      <c r="H70" s="29"/>
      <c r="I70" s="29"/>
      <c r="J70" s="21"/>
      <c r="K70" s="21"/>
      <c r="L70" s="22"/>
    </row>
    <row r="71" spans="1:26" ht="13.5" customHeight="1" x14ac:dyDescent="0.2">
      <c r="B71" s="65" t="s">
        <v>5</v>
      </c>
      <c r="C71" s="20">
        <f t="shared" ref="C71:I71" si="5">+C5</f>
        <v>113583565396.42999</v>
      </c>
      <c r="D71" s="20">
        <f t="shared" si="5"/>
        <v>86306950579.029999</v>
      </c>
      <c r="E71" s="20">
        <f t="shared" si="5"/>
        <v>517820935.97000003</v>
      </c>
      <c r="F71" s="20">
        <f t="shared" si="5"/>
        <v>100294669.25</v>
      </c>
      <c r="G71" s="20">
        <f t="shared" si="5"/>
        <v>16046837.359999999</v>
      </c>
      <c r="H71" s="20">
        <f t="shared" si="5"/>
        <v>73773197.099999994</v>
      </c>
      <c r="I71" s="20">
        <f t="shared" si="5"/>
        <v>779010.1</v>
      </c>
      <c r="J71" s="16">
        <f t="shared" si="0"/>
        <v>100</v>
      </c>
      <c r="K71" s="16">
        <f>IF(C71=0,"",100*D71/C71)</f>
        <v>75.985421198745613</v>
      </c>
      <c r="L71" s="22"/>
    </row>
    <row r="72" spans="1:26" x14ac:dyDescent="0.2">
      <c r="B72" s="100" t="s">
        <v>74</v>
      </c>
      <c r="C72" s="19">
        <f>12602740894.26</f>
        <v>12602740894.26</v>
      </c>
      <c r="D72" s="19">
        <f>6599833206.87</f>
        <v>6599833206.8699999</v>
      </c>
      <c r="E72" s="19">
        <f>0</f>
        <v>0</v>
      </c>
      <c r="F72" s="19">
        <f>0</f>
        <v>0</v>
      </c>
      <c r="G72" s="19">
        <f>0</f>
        <v>0</v>
      </c>
      <c r="H72" s="19">
        <f>0</f>
        <v>0</v>
      </c>
      <c r="I72" s="19">
        <f>0</f>
        <v>0</v>
      </c>
      <c r="J72" s="18">
        <f t="shared" si="0"/>
        <v>7.6469312872161206</v>
      </c>
      <c r="K72" s="18">
        <f>IF(C72=0,"",100*D72/C72)</f>
        <v>52.368236895800472</v>
      </c>
      <c r="L72" s="22"/>
    </row>
    <row r="73" spans="1:26" s="26" customFormat="1" x14ac:dyDescent="0.2">
      <c r="A73" s="9"/>
      <c r="B73" s="100" t="s">
        <v>75</v>
      </c>
      <c r="C73" s="19">
        <f>C71-C72</f>
        <v>100980824502.17</v>
      </c>
      <c r="D73" s="19">
        <f t="shared" ref="D73:I73" si="6">D71-D72</f>
        <v>79707117372.160004</v>
      </c>
      <c r="E73" s="19">
        <f t="shared" si="6"/>
        <v>517820935.97000003</v>
      </c>
      <c r="F73" s="19">
        <f t="shared" si="6"/>
        <v>100294669.25</v>
      </c>
      <c r="G73" s="19">
        <f t="shared" si="6"/>
        <v>16046837.359999999</v>
      </c>
      <c r="H73" s="19">
        <f t="shared" si="6"/>
        <v>73773197.099999994</v>
      </c>
      <c r="I73" s="19">
        <f t="shared" si="6"/>
        <v>779010.1</v>
      </c>
      <c r="J73" s="18">
        <f t="shared" si="0"/>
        <v>92.35306871278388</v>
      </c>
      <c r="K73" s="18">
        <f>IF(C73=0,"",100*D73/C73)</f>
        <v>78.932923914130996</v>
      </c>
      <c r="L73" s="30"/>
    </row>
    <row r="74" spans="1:26" s="26" customFormat="1" x14ac:dyDescent="0.2">
      <c r="A74" s="9"/>
      <c r="B74" s="106" t="s">
        <v>116</v>
      </c>
      <c r="C74" s="29"/>
      <c r="D74" s="29"/>
      <c r="E74" s="29"/>
      <c r="F74" s="29"/>
      <c r="G74" s="29"/>
      <c r="H74" s="29"/>
      <c r="I74" s="29"/>
      <c r="J74" s="21"/>
      <c r="K74" s="21"/>
      <c r="L74" s="30"/>
    </row>
    <row r="75" spans="1:26" s="26" customFormat="1" x14ac:dyDescent="0.2">
      <c r="A75" s="9"/>
      <c r="B75" s="105" t="s">
        <v>115</v>
      </c>
      <c r="C75" s="29"/>
      <c r="D75" s="29"/>
      <c r="E75" s="29"/>
      <c r="F75" s="29"/>
      <c r="G75" s="29"/>
      <c r="H75" s="29"/>
      <c r="I75" s="29"/>
      <c r="J75" s="21"/>
      <c r="K75" s="21"/>
      <c r="L75" s="30"/>
    </row>
    <row r="76" spans="1:26" ht="18" x14ac:dyDescent="0.2">
      <c r="B76" s="87" t="str">
        <f>CONCATENATE("Informacja z wykonania budżetów miast na prawach powiatu za ",$D$137," ",$C$138," rok    ",$C$140,"")</f>
        <v xml:space="preserve">Informacja z wykonania budżetów miast na prawach powiatu za III Kwartały 2023 rok    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</row>
    <row r="77" spans="1:26" s="26" customFormat="1" x14ac:dyDescent="0.2">
      <c r="B77" s="31"/>
      <c r="C77" s="32"/>
      <c r="D77" s="32"/>
      <c r="E77" s="32"/>
      <c r="F77" s="33"/>
      <c r="G77" s="33"/>
      <c r="H77" s="33"/>
      <c r="I77" s="33"/>
      <c r="J77" s="33"/>
      <c r="K77" s="1"/>
      <c r="L77" s="1"/>
      <c r="M77" s="34"/>
    </row>
    <row r="78" spans="1:26" ht="29.25" customHeight="1" x14ac:dyDescent="0.2">
      <c r="B78" s="112" t="s">
        <v>0</v>
      </c>
      <c r="C78" s="111" t="s">
        <v>46</v>
      </c>
      <c r="D78" s="111" t="s">
        <v>48</v>
      </c>
      <c r="E78" s="111" t="s">
        <v>47</v>
      </c>
      <c r="F78" s="111" t="s">
        <v>10</v>
      </c>
      <c r="G78" s="111"/>
      <c r="H78" s="111"/>
      <c r="I78" s="116" t="s">
        <v>84</v>
      </c>
      <c r="J78" s="111" t="s">
        <v>2</v>
      </c>
      <c r="K78" s="113" t="s">
        <v>16</v>
      </c>
      <c r="M78" s="35"/>
      <c r="N78" s="52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8" customHeight="1" x14ac:dyDescent="0.2">
      <c r="B79" s="112"/>
      <c r="C79" s="111"/>
      <c r="D79" s="111"/>
      <c r="E79" s="115"/>
      <c r="F79" s="114" t="s">
        <v>49</v>
      </c>
      <c r="G79" s="123" t="s">
        <v>27</v>
      </c>
      <c r="H79" s="115"/>
      <c r="I79" s="117"/>
      <c r="J79" s="111"/>
      <c r="K79" s="113"/>
      <c r="L79" s="2"/>
      <c r="M79" s="3"/>
      <c r="N79" s="5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58.5" customHeight="1" x14ac:dyDescent="0.2">
      <c r="B80" s="112"/>
      <c r="C80" s="111"/>
      <c r="D80" s="111"/>
      <c r="E80" s="115"/>
      <c r="F80" s="115"/>
      <c r="G80" s="7" t="s">
        <v>44</v>
      </c>
      <c r="H80" s="7" t="s">
        <v>45</v>
      </c>
      <c r="I80" s="118"/>
      <c r="J80" s="111"/>
      <c r="K80" s="113"/>
      <c r="L80" s="2"/>
      <c r="M80" s="35"/>
      <c r="N80" s="52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2:26" ht="13.5" customHeight="1" x14ac:dyDescent="0.2">
      <c r="B81" s="112"/>
      <c r="C81" s="119" t="s">
        <v>78</v>
      </c>
      <c r="D81" s="120"/>
      <c r="E81" s="120"/>
      <c r="F81" s="120"/>
      <c r="G81" s="120"/>
      <c r="H81" s="120"/>
      <c r="I81" s="121"/>
      <c r="J81" s="122" t="s">
        <v>4</v>
      </c>
      <c r="K81" s="122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2:26" ht="11.25" customHeight="1" x14ac:dyDescent="0.2">
      <c r="B82" s="6">
        <v>1</v>
      </c>
      <c r="C82" s="8">
        <v>2</v>
      </c>
      <c r="D82" s="8">
        <v>3</v>
      </c>
      <c r="E82" s="8">
        <v>4</v>
      </c>
      <c r="F82" s="6">
        <v>5</v>
      </c>
      <c r="G82" s="6">
        <v>6</v>
      </c>
      <c r="H82" s="8">
        <v>7</v>
      </c>
      <c r="I82" s="8">
        <v>8</v>
      </c>
      <c r="J82" s="6">
        <v>9</v>
      </c>
      <c r="K82" s="8">
        <v>10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2:26" ht="25.5" customHeight="1" x14ac:dyDescent="0.2">
      <c r="B83" s="65" t="s">
        <v>64</v>
      </c>
      <c r="C83" s="74">
        <f>130998873946.29</f>
        <v>130998873946.28999</v>
      </c>
      <c r="D83" s="74">
        <f>86292629767.85</f>
        <v>86292629767.850006</v>
      </c>
      <c r="E83" s="74">
        <f>115086220309.21</f>
        <v>115086220309.21001</v>
      </c>
      <c r="F83" s="74">
        <f>3669886567.07</f>
        <v>3669886567.0700002</v>
      </c>
      <c r="G83" s="74">
        <f>346245.67</f>
        <v>346245.67</v>
      </c>
      <c r="H83" s="74">
        <f>2498307.07</f>
        <v>2498307.0699999998</v>
      </c>
      <c r="I83" s="74">
        <f>0</f>
        <v>0</v>
      </c>
      <c r="J83" s="43">
        <f>IF($D$83=0,"",100*$D83/$D$83)</f>
        <v>100</v>
      </c>
      <c r="K83" s="43">
        <f>IF(C83=0,"",100*D83/C83)</f>
        <v>65.872802695411181</v>
      </c>
      <c r="N83" s="53"/>
      <c r="O83" s="54"/>
    </row>
    <row r="84" spans="2:26" x14ac:dyDescent="0.2">
      <c r="B84" s="88" t="s">
        <v>12</v>
      </c>
      <c r="C84" s="75">
        <f>27094252194.18</f>
        <v>27094252194.18</v>
      </c>
      <c r="D84" s="75">
        <f>12195726408.19</f>
        <v>12195726408.190001</v>
      </c>
      <c r="E84" s="75">
        <f>21171842564.22</f>
        <v>21171842564.220001</v>
      </c>
      <c r="F84" s="75">
        <f>845413676.16</f>
        <v>845413676.15999997</v>
      </c>
      <c r="G84" s="75">
        <f>132263.6</f>
        <v>132263.6</v>
      </c>
      <c r="H84" s="75">
        <f>13318.85</f>
        <v>13318.85</v>
      </c>
      <c r="I84" s="75">
        <f>0</f>
        <v>0</v>
      </c>
      <c r="J84" s="43">
        <f t="shared" ref="J84:J92" si="7">IF($D$83=0,"",100*$D84/$D$83)</f>
        <v>14.132987302623329</v>
      </c>
      <c r="K84" s="43">
        <f t="shared" ref="K84:K92" si="8">IF(C84=0,"",100*D84/C84)</f>
        <v>45.012227393416346</v>
      </c>
      <c r="N84" s="55"/>
      <c r="O84" s="54"/>
    </row>
    <row r="85" spans="2:26" ht="12.95" customHeight="1" outlineLevel="1" x14ac:dyDescent="0.2">
      <c r="B85" s="10" t="s">
        <v>11</v>
      </c>
      <c r="C85" s="69">
        <f>24446322173.36</f>
        <v>24446322173.360001</v>
      </c>
      <c r="D85" s="69">
        <f>10441356027.77</f>
        <v>10441356027.77</v>
      </c>
      <c r="E85" s="69">
        <f>19225482109.64</f>
        <v>19225482109.639999</v>
      </c>
      <c r="F85" s="69">
        <f>822101254.37</f>
        <v>822101254.37</v>
      </c>
      <c r="G85" s="69">
        <f>132263.6</f>
        <v>132263.6</v>
      </c>
      <c r="H85" s="69">
        <f>13318.85</f>
        <v>13318.85</v>
      </c>
      <c r="I85" s="69">
        <f>0</f>
        <v>0</v>
      </c>
      <c r="J85" s="43">
        <f t="shared" si="7"/>
        <v>12.099939538127426</v>
      </c>
      <c r="K85" s="43">
        <f t="shared" si="8"/>
        <v>42.711357371982544</v>
      </c>
      <c r="N85" s="29"/>
      <c r="O85" s="54"/>
    </row>
    <row r="86" spans="2:26" ht="25.5" customHeight="1" x14ac:dyDescent="0.2">
      <c r="B86" s="88" t="s">
        <v>65</v>
      </c>
      <c r="C86" s="75">
        <f t="shared" ref="C86:I86" si="9">C83-C84</f>
        <v>103904621752.10999</v>
      </c>
      <c r="D86" s="75">
        <f t="shared" si="9"/>
        <v>74096903359.660004</v>
      </c>
      <c r="E86" s="75">
        <f>E83-E84</f>
        <v>93914377744.990005</v>
      </c>
      <c r="F86" s="75">
        <f t="shared" si="9"/>
        <v>2824472890.9100003</v>
      </c>
      <c r="G86" s="75">
        <f t="shared" si="9"/>
        <v>213982.06999999998</v>
      </c>
      <c r="H86" s="75">
        <f t="shared" si="9"/>
        <v>2484988.2199999997</v>
      </c>
      <c r="I86" s="75">
        <f t="shared" si="9"/>
        <v>0</v>
      </c>
      <c r="J86" s="43">
        <f t="shared" si="7"/>
        <v>85.867012697376666</v>
      </c>
      <c r="K86" s="43">
        <f t="shared" si="8"/>
        <v>71.312422980025261</v>
      </c>
      <c r="N86" s="55"/>
      <c r="O86" s="54"/>
    </row>
    <row r="87" spans="2:26" ht="24" customHeight="1" outlineLevel="1" x14ac:dyDescent="0.2">
      <c r="B87" s="10" t="s">
        <v>105</v>
      </c>
      <c r="C87" s="69">
        <f>41484799063.94</f>
        <v>41484799063.940002</v>
      </c>
      <c r="D87" s="69">
        <f>31320248644.35</f>
        <v>31320248644.349998</v>
      </c>
      <c r="E87" s="69">
        <f>39730976595.75</f>
        <v>39730976595.75</v>
      </c>
      <c r="F87" s="69">
        <f>1248560732.74</f>
        <v>1248560732.74</v>
      </c>
      <c r="G87" s="69">
        <f>7717.82</f>
        <v>7717.82</v>
      </c>
      <c r="H87" s="69">
        <f>67332.17</f>
        <v>67332.17</v>
      </c>
      <c r="I87" s="69">
        <f>0</f>
        <v>0</v>
      </c>
      <c r="J87" s="43">
        <f t="shared" si="7"/>
        <v>36.295392467015724</v>
      </c>
      <c r="K87" s="43">
        <f t="shared" si="8"/>
        <v>75.498132692113302</v>
      </c>
      <c r="N87" s="29"/>
      <c r="O87" s="54"/>
    </row>
    <row r="88" spans="2:26" ht="12.95" customHeight="1" outlineLevel="1" x14ac:dyDescent="0.2">
      <c r="B88" s="10" t="s">
        <v>43</v>
      </c>
      <c r="C88" s="76">
        <f>13482648388</f>
        <v>13482648388</v>
      </c>
      <c r="D88" s="76">
        <f>10498796920.2</f>
        <v>10498796920.200001</v>
      </c>
      <c r="E88" s="76">
        <f>12138068484.28</f>
        <v>12138068484.280001</v>
      </c>
      <c r="F88" s="76">
        <f>111411485.39</f>
        <v>111411485.39</v>
      </c>
      <c r="G88" s="76">
        <f>0</f>
        <v>0</v>
      </c>
      <c r="H88" s="76">
        <f>0</f>
        <v>0</v>
      </c>
      <c r="I88" s="76">
        <f>0</f>
        <v>0</v>
      </c>
      <c r="J88" s="43">
        <f t="shared" si="7"/>
        <v>12.16650477386602</v>
      </c>
      <c r="K88" s="43">
        <f t="shared" si="8"/>
        <v>77.868951396405734</v>
      </c>
      <c r="N88" s="56"/>
      <c r="O88" s="54"/>
    </row>
    <row r="89" spans="2:26" ht="12.95" customHeight="1" outlineLevel="1" x14ac:dyDescent="0.2">
      <c r="B89" s="10" t="s">
        <v>42</v>
      </c>
      <c r="C89" s="69">
        <f>3088276451.68</f>
        <v>3088276451.6799998</v>
      </c>
      <c r="D89" s="69">
        <f>1913560858.81</f>
        <v>1913560858.8099999</v>
      </c>
      <c r="E89" s="69">
        <f>2614297421.64</f>
        <v>2614297421.6399999</v>
      </c>
      <c r="F89" s="69">
        <f>83312925.32</f>
        <v>83312925.319999993</v>
      </c>
      <c r="G89" s="69">
        <f>0</f>
        <v>0</v>
      </c>
      <c r="H89" s="69">
        <f>0</f>
        <v>0</v>
      </c>
      <c r="I89" s="69">
        <f>0</f>
        <v>0</v>
      </c>
      <c r="J89" s="43">
        <f t="shared" si="7"/>
        <v>2.2175252555843814</v>
      </c>
      <c r="K89" s="43">
        <f t="shared" si="8"/>
        <v>61.962097265257356</v>
      </c>
      <c r="N89" s="29"/>
      <c r="O89" s="54"/>
    </row>
    <row r="90" spans="2:26" ht="22.5" customHeight="1" outlineLevel="1" x14ac:dyDescent="0.2">
      <c r="B90" s="10" t="s">
        <v>71</v>
      </c>
      <c r="C90" s="76">
        <f>88035970.83</f>
        <v>88035970.829999998</v>
      </c>
      <c r="D90" s="76">
        <f>7072227.23</f>
        <v>7072227.2300000004</v>
      </c>
      <c r="E90" s="76">
        <f>13444646.8</f>
        <v>13444646.800000001</v>
      </c>
      <c r="F90" s="76">
        <f>115781.13</f>
        <v>115781.13</v>
      </c>
      <c r="G90" s="76">
        <f>0</f>
        <v>0</v>
      </c>
      <c r="H90" s="76">
        <f>0</f>
        <v>0</v>
      </c>
      <c r="I90" s="76">
        <f>0</f>
        <v>0</v>
      </c>
      <c r="J90" s="43">
        <f t="shared" si="7"/>
        <v>8.1956329863004072E-3</v>
      </c>
      <c r="K90" s="43">
        <f t="shared" si="8"/>
        <v>8.0333381495351208</v>
      </c>
      <c r="N90" s="56"/>
      <c r="O90" s="54"/>
    </row>
    <row r="91" spans="2:26" ht="22.5" customHeight="1" outlineLevel="1" x14ac:dyDescent="0.2">
      <c r="B91" s="10" t="s">
        <v>72</v>
      </c>
      <c r="C91" s="76">
        <f>6001252648.23</f>
        <v>6001252648.2299995</v>
      </c>
      <c r="D91" s="76">
        <f>4534307413.09</f>
        <v>4534307413.0900002</v>
      </c>
      <c r="E91" s="76">
        <f>5354244260.75</f>
        <v>5354244260.75</v>
      </c>
      <c r="F91" s="76">
        <f>53761668.07</f>
        <v>53761668.07</v>
      </c>
      <c r="G91" s="76">
        <f>10463.14</f>
        <v>10463.14</v>
      </c>
      <c r="H91" s="76">
        <f>179913.86</f>
        <v>179913.86</v>
      </c>
      <c r="I91" s="77">
        <f>0</f>
        <v>0</v>
      </c>
      <c r="J91" s="43">
        <f t="shared" si="7"/>
        <v>5.2545709005374919</v>
      </c>
      <c r="K91" s="43">
        <f t="shared" si="8"/>
        <v>75.556016033208365</v>
      </c>
      <c r="N91" s="56"/>
      <c r="O91" s="54"/>
    </row>
    <row r="92" spans="2:26" ht="12.95" customHeight="1" outlineLevel="1" x14ac:dyDescent="0.2">
      <c r="B92" s="10" t="s">
        <v>41</v>
      </c>
      <c r="C92" s="69">
        <f t="shared" ref="C92:I92" si="10">C86-C87-C88-C89-C90-C91</f>
        <v>39759609229.429977</v>
      </c>
      <c r="D92" s="69">
        <f t="shared" si="10"/>
        <v>25822917295.980003</v>
      </c>
      <c r="E92" s="69">
        <f>E86-E87-E88-E89-E90-E91</f>
        <v>34063346335.770004</v>
      </c>
      <c r="F92" s="69">
        <f t="shared" si="10"/>
        <v>1327310298.2600002</v>
      </c>
      <c r="G92" s="69">
        <f t="shared" si="10"/>
        <v>195801.11</v>
      </c>
      <c r="H92" s="69">
        <f t="shared" si="10"/>
        <v>2237742.19</v>
      </c>
      <c r="I92" s="77">
        <f t="shared" si="10"/>
        <v>0</v>
      </c>
      <c r="J92" s="43">
        <f t="shared" si="7"/>
        <v>29.924823667386754</v>
      </c>
      <c r="K92" s="43">
        <f t="shared" si="8"/>
        <v>64.947613410812735</v>
      </c>
      <c r="N92" s="29"/>
      <c r="O92" s="54"/>
    </row>
    <row r="93" spans="2:26" x14ac:dyDescent="0.2">
      <c r="B93" s="65" t="s">
        <v>13</v>
      </c>
      <c r="C93" s="75">
        <f>C5-C83</f>
        <v>-17415308549.860001</v>
      </c>
      <c r="D93" s="75">
        <f>D5-D83</f>
        <v>14320811.179992676</v>
      </c>
      <c r="E93" s="61"/>
      <c r="F93" s="55"/>
      <c r="G93" s="55"/>
      <c r="H93" s="55"/>
      <c r="I93" s="124"/>
      <c r="J93" s="124"/>
      <c r="K93" s="37"/>
      <c r="L93" s="37"/>
      <c r="M93" s="4"/>
      <c r="N93" s="54"/>
      <c r="O93" s="55"/>
    </row>
    <row r="94" spans="2:26" ht="38.25" x14ac:dyDescent="0.2">
      <c r="B94" s="96" t="s">
        <v>109</v>
      </c>
      <c r="C94" s="75">
        <f>+C73-C86</f>
        <v>-2923797249.9399872</v>
      </c>
      <c r="D94" s="75">
        <f>+D73-D86</f>
        <v>5610214012.5</v>
      </c>
      <c r="E94" s="61"/>
      <c r="F94" s="55"/>
      <c r="G94" s="55"/>
      <c r="H94" s="55"/>
      <c r="I94" s="55"/>
      <c r="J94" s="55"/>
      <c r="K94" s="37"/>
      <c r="L94" s="37"/>
      <c r="M94" s="4"/>
      <c r="N94" s="54"/>
      <c r="O94" s="55"/>
    </row>
    <row r="95" spans="2:26" ht="8.25" customHeight="1" x14ac:dyDescent="0.2">
      <c r="B95" s="38"/>
      <c r="C95" s="39"/>
      <c r="D95" s="39"/>
      <c r="E95" s="39"/>
      <c r="F95" s="40"/>
      <c r="G95" s="40"/>
      <c r="H95" s="40"/>
      <c r="I95" s="40"/>
      <c r="J95" s="41"/>
      <c r="K95" s="41"/>
      <c r="L95" s="42"/>
      <c r="M95" s="35"/>
    </row>
    <row r="96" spans="2:26" x14ac:dyDescent="0.2">
      <c r="B96" s="104" t="s">
        <v>111</v>
      </c>
      <c r="C96" s="57"/>
      <c r="D96" s="57"/>
      <c r="E96" s="57"/>
      <c r="F96" s="58"/>
      <c r="G96" s="58"/>
      <c r="H96" s="58"/>
      <c r="I96" s="58"/>
      <c r="J96" s="59"/>
      <c r="K96" s="59"/>
      <c r="L96" s="42"/>
      <c r="M96" s="35"/>
    </row>
    <row r="97" spans="2:13" ht="26.25" customHeight="1" x14ac:dyDescent="0.2">
      <c r="B97" s="65" t="s">
        <v>89</v>
      </c>
      <c r="C97" s="78">
        <f>8564394791.95</f>
        <v>8564394791.9499998</v>
      </c>
      <c r="D97" s="79">
        <f>3968969199.13</f>
        <v>3968969199.1300001</v>
      </c>
      <c r="E97" s="79">
        <f>6869095576.63999</f>
        <v>6869095576.6399899</v>
      </c>
      <c r="F97" s="79">
        <f>203769065.14</f>
        <v>203769065.13999999</v>
      </c>
      <c r="G97" s="79">
        <f>0</f>
        <v>0</v>
      </c>
      <c r="H97" s="79">
        <f>0</f>
        <v>0</v>
      </c>
      <c r="I97" s="79">
        <f>0</f>
        <v>0</v>
      </c>
      <c r="J97" s="62">
        <f>IF($D$97=0,"",100*$D97/$D$97)</f>
        <v>100</v>
      </c>
      <c r="K97" s="43">
        <f>IF(C97=0,"",100*D97/C97)</f>
        <v>46.342669803832315</v>
      </c>
      <c r="L97" s="35"/>
    </row>
    <row r="98" spans="2:13" ht="15" customHeight="1" x14ac:dyDescent="0.2">
      <c r="B98" s="101" t="s">
        <v>76</v>
      </c>
      <c r="C98" s="80">
        <f>7841257077.25</f>
        <v>7841257077.25</v>
      </c>
      <c r="D98" s="76">
        <f>3536634385.72</f>
        <v>3536634385.7199998</v>
      </c>
      <c r="E98" s="76">
        <f>6361098943.92</f>
        <v>6361098943.9200001</v>
      </c>
      <c r="F98" s="76">
        <f>198793406.78</f>
        <v>198793406.78</v>
      </c>
      <c r="G98" s="76">
        <f>0</f>
        <v>0</v>
      </c>
      <c r="H98" s="76">
        <f>0</f>
        <v>0</v>
      </c>
      <c r="I98" s="76">
        <f>0</f>
        <v>0</v>
      </c>
      <c r="J98" s="62">
        <f>IF($D$97=0,"",100*$D98/$D$97)</f>
        <v>89.107126013858505</v>
      </c>
      <c r="K98" s="62">
        <f>IF(C98=0,"",100*D98/C98)</f>
        <v>45.102900604813861</v>
      </c>
      <c r="L98" s="35"/>
    </row>
    <row r="99" spans="2:13" x14ac:dyDescent="0.2">
      <c r="B99" s="102" t="s">
        <v>77</v>
      </c>
      <c r="C99" s="80">
        <f>C97-C98</f>
        <v>723137714.69999981</v>
      </c>
      <c r="D99" s="76">
        <f t="shared" ref="D99:I99" si="11">D97-D98</f>
        <v>432334813.41000032</v>
      </c>
      <c r="E99" s="76">
        <f t="shared" si="11"/>
        <v>507996632.71998978</v>
      </c>
      <c r="F99" s="76">
        <f t="shared" si="11"/>
        <v>4975658.3599999845</v>
      </c>
      <c r="G99" s="76">
        <f t="shared" si="11"/>
        <v>0</v>
      </c>
      <c r="H99" s="76">
        <f t="shared" si="11"/>
        <v>0</v>
      </c>
      <c r="I99" s="76">
        <f t="shared" si="11"/>
        <v>0</v>
      </c>
      <c r="J99" s="62">
        <f>IF($D$97=0,"",100*$D99/$D$97)</f>
        <v>10.892873986141497</v>
      </c>
      <c r="K99" s="62">
        <f>IF(C99=0,"",100*D99/C99)</f>
        <v>59.785958417250896</v>
      </c>
    </row>
    <row r="100" spans="2:13" ht="6" customHeight="1" x14ac:dyDescent="0.2"/>
    <row r="101" spans="2:13" ht="18" x14ac:dyDescent="0.2">
      <c r="B101" s="87" t="str">
        <f>CONCATENATE("Informacja z wykonania budżetów miast na prawach powiatu za ",$D$137," ",$C$138," rok    ",$C$140,"")</f>
        <v xml:space="preserve">Informacja z wykonania budżetów miast na prawach powiatu za III Kwartały 2023 rok    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</row>
    <row r="102" spans="2:13" ht="6.75" customHeight="1" x14ac:dyDescent="0.2"/>
    <row r="103" spans="2:13" x14ac:dyDescent="0.2">
      <c r="B103" s="13" t="s">
        <v>14</v>
      </c>
      <c r="C103" s="51" t="s">
        <v>15</v>
      </c>
      <c r="D103" s="8" t="s">
        <v>1</v>
      </c>
      <c r="E103" s="8" t="s">
        <v>23</v>
      </c>
      <c r="F103" s="8" t="s">
        <v>24</v>
      </c>
    </row>
    <row r="104" spans="2:13" x14ac:dyDescent="0.2">
      <c r="B104" s="13"/>
      <c r="C104" s="114" t="s">
        <v>78</v>
      </c>
      <c r="D104" s="125"/>
      <c r="E104" s="128" t="s">
        <v>4</v>
      </c>
      <c r="F104" s="129"/>
    </row>
    <row r="105" spans="2:13" x14ac:dyDescent="0.2">
      <c r="B105" s="11">
        <v>1</v>
      </c>
      <c r="C105" s="14">
        <v>2</v>
      </c>
      <c r="D105" s="12">
        <v>3</v>
      </c>
      <c r="E105" s="12">
        <v>4</v>
      </c>
      <c r="F105" s="12">
        <v>5</v>
      </c>
    </row>
    <row r="106" spans="2:13" ht="25.5" x14ac:dyDescent="0.2">
      <c r="B106" s="63" t="s">
        <v>66</v>
      </c>
      <c r="C106" s="81">
        <f>20609336763.32</f>
        <v>20609336763.32</v>
      </c>
      <c r="D106" s="74">
        <f>13179337921.18</f>
        <v>13179337921.18</v>
      </c>
      <c r="E106" s="44">
        <f>IF($D$106=0,"",100*$D106/$D$106)</f>
        <v>100</v>
      </c>
      <c r="F106" s="36">
        <f t="shared" ref="F106:F113" si="12">IF(C106=0,"",100*D106/C106)</f>
        <v>63.948384523641089</v>
      </c>
    </row>
    <row r="107" spans="2:13" ht="22.5" x14ac:dyDescent="0.2">
      <c r="B107" s="97" t="s">
        <v>90</v>
      </c>
      <c r="C107" s="82">
        <f>11950760588.84</f>
        <v>11950760588.84</v>
      </c>
      <c r="D107" s="71">
        <f>2986867444.48</f>
        <v>2986867444.48</v>
      </c>
      <c r="E107" s="45">
        <f t="shared" ref="E107:E116" si="13">IF($D$106=0,"",100*$D107/$D$106)</f>
        <v>22.663258673107713</v>
      </c>
      <c r="F107" s="46">
        <f t="shared" si="12"/>
        <v>24.993115896483037</v>
      </c>
    </row>
    <row r="108" spans="2:13" ht="11.25" customHeight="1" x14ac:dyDescent="0.2">
      <c r="B108" s="99" t="s">
        <v>91</v>
      </c>
      <c r="C108" s="83">
        <f>1188000000</f>
        <v>1188000000</v>
      </c>
      <c r="D108" s="70">
        <f>836000000</f>
        <v>836000000</v>
      </c>
      <c r="E108" s="47">
        <f t="shared" si="13"/>
        <v>6.3432624992223392</v>
      </c>
      <c r="F108" s="43">
        <f t="shared" si="12"/>
        <v>70.370370370370367</v>
      </c>
    </row>
    <row r="109" spans="2:13" ht="12.95" customHeight="1" x14ac:dyDescent="0.2">
      <c r="B109" s="98" t="s">
        <v>92</v>
      </c>
      <c r="C109" s="83">
        <f>60860923.47</f>
        <v>60860923.469999999</v>
      </c>
      <c r="D109" s="70">
        <f>20947674.61</f>
        <v>20947674.609999999</v>
      </c>
      <c r="E109" s="47">
        <f t="shared" si="13"/>
        <v>0.15894329999943174</v>
      </c>
      <c r="F109" s="43">
        <f t="shared" si="12"/>
        <v>34.418923367677252</v>
      </c>
    </row>
    <row r="110" spans="2:13" ht="45.75" customHeight="1" x14ac:dyDescent="0.2">
      <c r="B110" s="98" t="s">
        <v>101</v>
      </c>
      <c r="C110" s="83">
        <f>12044946.04</f>
        <v>12044946.039999999</v>
      </c>
      <c r="D110" s="70">
        <f>74936078.56</f>
        <v>74936078.560000002</v>
      </c>
      <c r="E110" s="47">
        <f t="shared" si="13"/>
        <v>0.56858758010577415</v>
      </c>
      <c r="F110" s="43">
        <f t="shared" si="12"/>
        <v>622.13710473376273</v>
      </c>
    </row>
    <row r="111" spans="2:13" ht="35.25" customHeight="1" x14ac:dyDescent="0.2">
      <c r="B111" s="98" t="s">
        <v>97</v>
      </c>
      <c r="C111" s="83">
        <f>1122578659.61</f>
        <v>1122578659.6099999</v>
      </c>
      <c r="D111" s="70">
        <f>1409369764.11</f>
        <v>1409369764.1099999</v>
      </c>
      <c r="E111" s="47">
        <f t="shared" si="13"/>
        <v>10.693782741886121</v>
      </c>
      <c r="F111" s="43">
        <f t="shared" si="12"/>
        <v>125.54752863372937</v>
      </c>
    </row>
    <row r="112" spans="2:13" ht="12.95" customHeight="1" x14ac:dyDescent="0.2">
      <c r="B112" s="98" t="s">
        <v>93</v>
      </c>
      <c r="C112" s="83">
        <f>22960000</f>
        <v>22960000</v>
      </c>
      <c r="D112" s="70">
        <f>0</f>
        <v>0</v>
      </c>
      <c r="E112" s="47">
        <f t="shared" si="13"/>
        <v>0</v>
      </c>
      <c r="F112" s="43">
        <f t="shared" si="12"/>
        <v>0</v>
      </c>
    </row>
    <row r="113" spans="2:8" ht="35.25" customHeight="1" x14ac:dyDescent="0.2">
      <c r="B113" s="98" t="s">
        <v>96</v>
      </c>
      <c r="C113" s="83">
        <f>5086608385.07</f>
        <v>5086608385.0699997</v>
      </c>
      <c r="D113" s="70">
        <f>5980770489.5</f>
        <v>5980770489.5</v>
      </c>
      <c r="E113" s="47">
        <f t="shared" si="13"/>
        <v>45.379900912082519</v>
      </c>
      <c r="F113" s="43">
        <f t="shared" si="12"/>
        <v>117.57874868162659</v>
      </c>
    </row>
    <row r="114" spans="2:8" ht="56.25" x14ac:dyDescent="0.2">
      <c r="B114" s="107" t="s">
        <v>123</v>
      </c>
      <c r="C114" s="83">
        <f>0</f>
        <v>0</v>
      </c>
      <c r="D114" s="70">
        <f>42923209.63</f>
        <v>42923209.630000003</v>
      </c>
      <c r="E114" s="47">
        <f t="shared" si="13"/>
        <v>0.32568562917731841</v>
      </c>
      <c r="F114" s="43" t="str">
        <f t="shared" ref="F114:F122" si="14">IF(C114=0,"",100*D114/C114)</f>
        <v/>
      </c>
    </row>
    <row r="115" spans="2:8" x14ac:dyDescent="0.2">
      <c r="B115" s="107" t="s">
        <v>119</v>
      </c>
      <c r="C115" s="83">
        <f>2353523260.29</f>
        <v>2353523260.29</v>
      </c>
      <c r="D115" s="70">
        <f>2663523260.29</f>
        <v>2663523260.29</v>
      </c>
      <c r="E115" s="47">
        <f t="shared" si="13"/>
        <v>20.209841163641123</v>
      </c>
      <c r="F115" s="43">
        <f t="shared" si="14"/>
        <v>113.1717415005196</v>
      </c>
    </row>
    <row r="116" spans="2:8" ht="22.5" x14ac:dyDescent="0.2">
      <c r="B116" s="108" t="s">
        <v>120</v>
      </c>
      <c r="C116" s="83">
        <f>2331302284.73</f>
        <v>2331302284.73</v>
      </c>
      <c r="D116" s="70">
        <f>2331302284.73</f>
        <v>2331302284.73</v>
      </c>
      <c r="E116" s="47">
        <f t="shared" si="13"/>
        <v>17.689069805118624</v>
      </c>
      <c r="F116" s="43">
        <f t="shared" si="14"/>
        <v>100</v>
      </c>
    </row>
    <row r="117" spans="2:8" ht="25.5" x14ac:dyDescent="0.2">
      <c r="B117" s="66" t="s">
        <v>67</v>
      </c>
      <c r="C117" s="84">
        <f>3194028213.46</f>
        <v>3194028213.46</v>
      </c>
      <c r="D117" s="74">
        <f>2447564163.68</f>
        <v>2447564163.6799998</v>
      </c>
      <c r="E117" s="48">
        <f t="shared" ref="E117:E122" si="15">IF($D$117=0,"",100*$D117/$D$117)</f>
        <v>100</v>
      </c>
      <c r="F117" s="36">
        <f t="shared" si="14"/>
        <v>76.62938459233655</v>
      </c>
    </row>
    <row r="118" spans="2:8" ht="22.5" x14ac:dyDescent="0.2">
      <c r="B118" s="98" t="s">
        <v>94</v>
      </c>
      <c r="C118" s="83">
        <f>3051474106.21</f>
        <v>3051474106.21</v>
      </c>
      <c r="D118" s="70">
        <f>1940189420.54</f>
        <v>1940189420.54</v>
      </c>
      <c r="E118" s="47">
        <f t="shared" si="15"/>
        <v>79.270216868302896</v>
      </c>
      <c r="F118" s="43">
        <f t="shared" si="14"/>
        <v>63.58203782858768</v>
      </c>
    </row>
    <row r="119" spans="2:8" ht="12.95" customHeight="1" x14ac:dyDescent="0.2">
      <c r="B119" s="99" t="s">
        <v>95</v>
      </c>
      <c r="C119" s="83">
        <f>196616000</f>
        <v>196616000</v>
      </c>
      <c r="D119" s="70">
        <f>120016000</f>
        <v>120016000</v>
      </c>
      <c r="E119" s="47">
        <f t="shared" si="15"/>
        <v>4.9034873847618226</v>
      </c>
      <c r="F119" s="43">
        <f t="shared" si="14"/>
        <v>61.040810513895103</v>
      </c>
    </row>
    <row r="120" spans="2:8" ht="12.95" customHeight="1" x14ac:dyDescent="0.2">
      <c r="B120" s="98" t="s">
        <v>110</v>
      </c>
      <c r="C120" s="83">
        <f>78084188</f>
        <v>78084188</v>
      </c>
      <c r="D120" s="70">
        <f>53880368.37</f>
        <v>53880368.369999997</v>
      </c>
      <c r="E120" s="47">
        <f t="shared" si="15"/>
        <v>2.2013873699224682</v>
      </c>
      <c r="F120" s="43">
        <f t="shared" si="14"/>
        <v>69.002918196447141</v>
      </c>
    </row>
    <row r="121" spans="2:8" ht="12.95" customHeight="1" x14ac:dyDescent="0.2">
      <c r="B121" s="98" t="s">
        <v>121</v>
      </c>
      <c r="C121" s="83">
        <f>64469919.25</f>
        <v>64469919.25</v>
      </c>
      <c r="D121" s="70">
        <f>453494374.77</f>
        <v>453494374.76999998</v>
      </c>
      <c r="E121" s="47">
        <f t="shared" si="15"/>
        <v>18.52839576177464</v>
      </c>
      <c r="F121" s="43">
        <f t="shared" si="14"/>
        <v>703.42010668797298</v>
      </c>
    </row>
    <row r="122" spans="2:8" ht="22.5" x14ac:dyDescent="0.2">
      <c r="B122" s="108" t="s">
        <v>122</v>
      </c>
      <c r="C122" s="83">
        <f>13257234</f>
        <v>13257234</v>
      </c>
      <c r="D122" s="70">
        <f>0</f>
        <v>0</v>
      </c>
      <c r="E122" s="47">
        <f t="shared" si="15"/>
        <v>0</v>
      </c>
      <c r="F122" s="43">
        <f t="shared" si="14"/>
        <v>0</v>
      </c>
    </row>
    <row r="123" spans="2:8" x14ac:dyDescent="0.2">
      <c r="B123" s="26"/>
      <c r="C123" s="26"/>
      <c r="D123" s="26"/>
      <c r="E123" s="26"/>
      <c r="F123" s="26"/>
      <c r="G123" s="26"/>
      <c r="H123" s="26"/>
    </row>
    <row r="124" spans="2:8" x14ac:dyDescent="0.2">
      <c r="B124" s="13" t="s">
        <v>14</v>
      </c>
      <c r="C124" s="11" t="s">
        <v>15</v>
      </c>
      <c r="D124" s="11" t="s">
        <v>1</v>
      </c>
      <c r="E124" s="60"/>
    </row>
    <row r="125" spans="2:8" x14ac:dyDescent="0.2">
      <c r="B125" s="13"/>
      <c r="C125" s="126" t="s">
        <v>78</v>
      </c>
      <c r="D125" s="127"/>
      <c r="E125" s="60"/>
    </row>
    <row r="126" spans="2:8" x14ac:dyDescent="0.2">
      <c r="B126" s="11">
        <v>1</v>
      </c>
      <c r="C126" s="11">
        <v>2</v>
      </c>
      <c r="D126" s="11">
        <v>3</v>
      </c>
      <c r="E126" s="60"/>
    </row>
    <row r="127" spans="2:8" ht="36" customHeight="1" x14ac:dyDescent="0.2">
      <c r="B127" s="64" t="s">
        <v>124</v>
      </c>
      <c r="C127" s="83">
        <f>17416629202.95</f>
        <v>17416629202.950001</v>
      </c>
      <c r="D127" s="70">
        <f>0</f>
        <v>0</v>
      </c>
      <c r="E127" s="60"/>
    </row>
    <row r="128" spans="2:8" ht="33.75" x14ac:dyDescent="0.2">
      <c r="B128" s="103" t="s">
        <v>80</v>
      </c>
      <c r="C128" s="83">
        <f>934844770.56</f>
        <v>934844770.55999994</v>
      </c>
      <c r="D128" s="70">
        <f>0</f>
        <v>0</v>
      </c>
      <c r="E128" s="60"/>
    </row>
    <row r="129" spans="2:8" ht="12.95" customHeight="1" x14ac:dyDescent="0.2">
      <c r="B129" s="103" t="s">
        <v>81</v>
      </c>
      <c r="C129" s="83">
        <f>8880971972.18</f>
        <v>8880971972.1800003</v>
      </c>
      <c r="D129" s="70">
        <f>0</f>
        <v>0</v>
      </c>
      <c r="E129" s="60"/>
    </row>
    <row r="130" spans="2:8" ht="22.5" x14ac:dyDescent="0.2">
      <c r="B130" s="103" t="s">
        <v>82</v>
      </c>
      <c r="C130" s="83">
        <f>22960000</f>
        <v>22960000</v>
      </c>
      <c r="D130" s="70">
        <f>0</f>
        <v>0</v>
      </c>
      <c r="E130" s="60"/>
    </row>
    <row r="131" spans="2:8" ht="58.5" customHeight="1" x14ac:dyDescent="0.2">
      <c r="B131" s="103" t="s">
        <v>104</v>
      </c>
      <c r="C131" s="83">
        <f>12044946.04</f>
        <v>12044946.039999999</v>
      </c>
      <c r="D131" s="70">
        <f>0</f>
        <v>0</v>
      </c>
      <c r="E131" s="60"/>
    </row>
    <row r="132" spans="2:8" ht="78.75" x14ac:dyDescent="0.2">
      <c r="B132" s="103" t="s">
        <v>83</v>
      </c>
      <c r="C132" s="83">
        <f>4123869761.05</f>
        <v>4123869761.0500002</v>
      </c>
      <c r="D132" s="70">
        <f>0</f>
        <v>0</v>
      </c>
      <c r="E132" s="60"/>
    </row>
    <row r="133" spans="2:8" ht="147" customHeight="1" x14ac:dyDescent="0.2">
      <c r="B133" s="103" t="s">
        <v>102</v>
      </c>
      <c r="C133" s="83">
        <f>1100403061.3</f>
        <v>1100403061.3</v>
      </c>
      <c r="D133" s="70">
        <f>0</f>
        <v>0</v>
      </c>
      <c r="E133" s="35"/>
    </row>
    <row r="134" spans="2:8" ht="22.5" x14ac:dyDescent="0.2">
      <c r="B134" s="103" t="s">
        <v>103</v>
      </c>
      <c r="C134" s="83">
        <f>25924242.76</f>
        <v>25924242.760000002</v>
      </c>
      <c r="D134" s="70">
        <f>0</f>
        <v>0</v>
      </c>
      <c r="E134" s="35"/>
    </row>
    <row r="135" spans="2:8" ht="22.5" x14ac:dyDescent="0.2">
      <c r="B135" s="109" t="s">
        <v>120</v>
      </c>
      <c r="C135" s="83">
        <f>2315610449.06</f>
        <v>2315610449.0599999</v>
      </c>
      <c r="D135" s="70">
        <f>0</f>
        <v>0</v>
      </c>
      <c r="E135" s="35"/>
    </row>
    <row r="136" spans="2:8" x14ac:dyDescent="0.2">
      <c r="B136" s="49"/>
      <c r="C136" s="41"/>
      <c r="D136" s="41"/>
      <c r="E136" s="41"/>
      <c r="F136" s="41"/>
      <c r="G136" s="41"/>
      <c r="H136" s="41"/>
    </row>
    <row r="137" spans="2:8" ht="12" customHeight="1" x14ac:dyDescent="0.2">
      <c r="B137" s="50" t="s">
        <v>68</v>
      </c>
      <c r="C137" s="50">
        <f>3</f>
        <v>3</v>
      </c>
      <c r="D137" s="50" t="str">
        <f>IF(C137=1,"I Kwartał",IF(C137=2,"II Kwartały",IF(C137=3,"III Kwartały",IF(C137=4,"IV Kwartały",IF(C137="M1","Styczeń",IF(C137="M11","Listopad",IF(C137="M12","Grudzień","-")))))))</f>
        <v>III Kwartały</v>
      </c>
    </row>
    <row r="138" spans="2:8" x14ac:dyDescent="0.2">
      <c r="B138" s="50" t="s">
        <v>69</v>
      </c>
      <c r="C138" s="85">
        <f>2023</f>
        <v>2023</v>
      </c>
      <c r="D138" s="49"/>
    </row>
    <row r="139" spans="2:8" x14ac:dyDescent="0.2">
      <c r="B139" s="50" t="s">
        <v>70</v>
      </c>
      <c r="C139" s="130" t="str">
        <f>"Nov 14 2023 12:00AM"</f>
        <v>Nov 14 2023 12:00AM</v>
      </c>
      <c r="D139" s="131"/>
    </row>
    <row r="140" spans="2:8" hidden="1" x14ac:dyDescent="0.2">
      <c r="B140" s="50" t="s">
        <v>73</v>
      </c>
      <c r="C140" s="86" t="str">
        <f>""</f>
        <v/>
      </c>
      <c r="D140" s="49"/>
    </row>
  </sheetData>
  <mergeCells count="20">
    <mergeCell ref="C139:D139"/>
    <mergeCell ref="I93:J93"/>
    <mergeCell ref="D78:D80"/>
    <mergeCell ref="E78:E80"/>
    <mergeCell ref="C104:D104"/>
    <mergeCell ref="C125:D125"/>
    <mergeCell ref="E104:F104"/>
    <mergeCell ref="J81:K81"/>
    <mergeCell ref="B2:B3"/>
    <mergeCell ref="C78:C80"/>
    <mergeCell ref="B78:B81"/>
    <mergeCell ref="J78:J80"/>
    <mergeCell ref="K78:K80"/>
    <mergeCell ref="F79:F80"/>
    <mergeCell ref="F78:H78"/>
    <mergeCell ref="I78:I80"/>
    <mergeCell ref="C81:I81"/>
    <mergeCell ref="J3:L3"/>
    <mergeCell ref="C3:I3"/>
    <mergeCell ref="G79:H79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5" max="16383" man="1"/>
    <brk id="100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2023-11-27T09:46:26Z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